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Lista C " sheetId="1" r:id="rId1"/>
  </sheets>
  <definedNames>
    <definedName name="_xlnm._FilterDatabase" localSheetId="0" hidden="1">'Lista C '!$A$1:$Q$233</definedName>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'!$A$1:$N$233</definedName>
    <definedName name="_xlnm.Print_Titles" localSheetId="0">'Lista C '!$1:$1</definedName>
  </definedNames>
  <calcPr fullCalcOnLoad="1"/>
</workbook>
</file>

<file path=xl/sharedStrings.xml><?xml version="1.0" encoding="utf-8"?>
<sst xmlns="http://schemas.openxmlformats.org/spreadsheetml/2006/main" count="2817" uniqueCount="1119">
  <si>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</si>
  <si>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</si>
  <si>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</si>
  <si>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</si>
  <si>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</si>
  <si>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</si>
  <si>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</si>
  <si>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</si>
  <si>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</si>
  <si>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</si>
  <si>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</si>
  <si>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</si>
  <si>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</si>
  <si>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</si>
  <si>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</si>
  <si>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</si>
  <si>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</si>
  <si>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</si>
  <si>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</si>
  <si>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</si>
  <si>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</si>
  <si>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</si>
  <si>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</si>
  <si>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</si>
  <si>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</si>
  <si>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</si>
  <si>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</si>
  <si>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</si>
  <si>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</si>
  <si>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</si>
  <si>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</si>
  <si>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</si>
  <si>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</si>
  <si>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</si>
  <si>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</si>
  <si>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</si>
  <si>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</si>
  <si>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</si>
  <si>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</si>
  <si>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</si>
  <si>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</si>
  <si>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</si>
  <si>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</si>
  <si>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</si>
  <si>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</si>
  <si>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</si>
  <si>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</si>
  <si>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</si>
  <si>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</si>
  <si>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</si>
  <si>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</si>
  <si>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</si>
  <si>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</si>
  <si>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</si>
  <si>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</si>
  <si>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</si>
  <si>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</si>
  <si>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</si>
  <si>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</si>
  <si>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</si>
  <si>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</si>
  <si>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</si>
  <si>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</si>
  <si>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</si>
  <si>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</si>
  <si>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</si>
  <si>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</si>
  <si>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</si>
  <si>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</si>
  <si>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</si>
  <si>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</si>
  <si>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</si>
  <si>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</si>
  <si>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</si>
  <si>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</si>
  <si>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</si>
  <si>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</si>
  <si>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</si>
  <si>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</si>
  <si>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</si>
  <si>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</si>
  <si>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</si>
  <si>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</si>
  <si>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</si>
  <si>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</si>
  <si>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</si>
  <si>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</si>
  <si>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</si>
  <si>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</si>
  <si>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</si>
  <si>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</si>
  <si>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</si>
  <si>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</si>
  <si>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</si>
  <si>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</si>
  <si>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</si>
  <si>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Pfizer Italia S.R.L.</t>
  </si>
  <si>
    <t>blister, 28 po 25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</si>
  <si>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</si>
  <si>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</si>
  <si>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</si>
  <si>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</si>
  <si>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</si>
  <si>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</si>
  <si>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</si>
  <si>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</si>
  <si>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</si>
  <si>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</si>
  <si>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</si>
  <si>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</si>
  <si>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</si>
  <si>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</si>
  <si>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</si>
  <si>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</si>
  <si>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</si>
  <si>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</si>
  <si>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</si>
  <si>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</si>
  <si>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</si>
  <si>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</si>
  <si>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</si>
  <si>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</si>
  <si>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</si>
  <si>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</si>
  <si>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</si>
  <si>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</si>
  <si>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</si>
  <si>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</si>
  <si>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</si>
  <si>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</si>
  <si>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</si>
  <si>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</si>
  <si>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</si>
  <si>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</si>
  <si>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</si>
  <si>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</si>
  <si>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</si>
  <si>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20 mg</t>
  </si>
  <si>
    <t>L04AB01</t>
  </si>
  <si>
    <t>etanercept</t>
  </si>
  <si>
    <t>ENBREL</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</si>
  <si>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</si>
  <si>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</si>
  <si>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</si>
  <si>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</si>
  <si>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</si>
  <si>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</si>
  <si>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</si>
  <si>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</si>
  <si>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</si>
  <si>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</si>
  <si>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</si>
  <si>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</si>
  <si>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</si>
  <si>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</si>
  <si>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</si>
  <si>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</si>
  <si>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</si>
  <si>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</si>
  <si>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</si>
  <si>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</si>
  <si>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</si>
  <si>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</si>
  <si>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</si>
  <si>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</si>
  <si>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</si>
  <si>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</si>
  <si>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</si>
  <si>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</si>
  <si>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</si>
  <si>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</si>
  <si>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</si>
  <si>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</si>
  <si>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</si>
  <si>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</si>
  <si>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</si>
  <si>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</si>
  <si>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</si>
  <si>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</si>
  <si>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</si>
  <si>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</si>
  <si>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</si>
  <si>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</si>
  <si>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</si>
  <si>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</si>
  <si>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</si>
  <si>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</si>
  <si>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</si>
  <si>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</si>
  <si>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</si>
  <si>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</si>
  <si>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</si>
  <si>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</si>
  <si>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</si>
  <si>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</si>
  <si>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</si>
  <si>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</si>
  <si>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</si>
  <si>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</si>
  <si>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</si>
  <si>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</si>
  <si>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</si>
  <si>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</si>
  <si>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</si>
  <si>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</si>
  <si>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</si>
  <si>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</si>
  <si>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</si>
  <si>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</si>
  <si>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</si>
  <si>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</si>
  <si>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</si>
  <si>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</si>
  <si>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</si>
  <si>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</si>
  <si>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</si>
  <si>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</si>
  <si>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</si>
  <si>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</si>
  <si>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</si>
  <si>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</si>
  <si>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</si>
  <si>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</si>
  <si>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</si>
  <si>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</si>
  <si>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</si>
  <si>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</si>
  <si>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</si>
  <si>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</si>
  <si>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</si>
  <si>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</si>
  <si>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</si>
  <si>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</si>
  <si>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</si>
  <si>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</si>
  <si>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</si>
  <si>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</si>
  <si>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</si>
  <si>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</si>
  <si>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</si>
  <si>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</si>
  <si>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</si>
  <si>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</si>
  <si>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</si>
  <si>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Rumunija</t>
  </si>
  <si>
    <t>0014204</t>
  </si>
  <si>
    <t>REMSIMA</t>
  </si>
  <si>
    <t>Biotec Services International Limited</t>
  </si>
  <si>
    <t>0014221</t>
  </si>
  <si>
    <t>INFLECTRA</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</si>
  <si>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</si>
  <si>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</si>
  <si>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</si>
  <si>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</si>
  <si>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</si>
  <si>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</si>
  <si>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</si>
  <si>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</si>
  <si>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</si>
  <si>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</si>
  <si>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</si>
  <si>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</si>
  <si>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</si>
  <si>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</si>
  <si>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bočica, 30 po 200mg</t>
  </si>
  <si>
    <t xml:space="preserve">Glaxo Wellcome S.A.; Glaxo Wellcome Operations      </t>
  </si>
  <si>
    <t>Španija; Velika Britanija</t>
  </si>
  <si>
    <t>bočica, 60 po 400mg</t>
  </si>
  <si>
    <t>L01XE13</t>
  </si>
  <si>
    <t>afatinib</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</si>
  <si>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</si>
  <si>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</si>
  <si>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</si>
  <si>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</si>
  <si>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</si>
  <si>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</si>
  <si>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</si>
  <si>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</si>
  <si>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</si>
  <si>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</si>
  <si>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</si>
  <si>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</si>
  <si>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</si>
  <si>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</si>
  <si>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</si>
  <si>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</si>
  <si>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</si>
  <si>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</si>
  <si>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</si>
  <si>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</si>
  <si>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</si>
  <si>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</si>
  <si>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</si>
  <si>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</si>
  <si>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</si>
  <si>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</si>
  <si>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</si>
  <si>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</si>
  <si>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pembrolizumab</t>
  </si>
  <si>
    <t>KEYTRUDA ◊</t>
  </si>
  <si>
    <t>1039151</t>
  </si>
  <si>
    <t>L01XE05</t>
  </si>
  <si>
    <t>sorafenib</t>
  </si>
  <si>
    <t>NEXAVAR ◊</t>
  </si>
  <si>
    <t>1039152</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</si>
  <si>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</si>
  <si>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</si>
  <si>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</si>
  <si>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</si>
  <si>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</si>
  <si>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</si>
  <si>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</si>
  <si>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</si>
  <si>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</si>
  <si>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</si>
  <si>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</si>
  <si>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</si>
  <si>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</si>
  <si>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</si>
  <si>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</si>
  <si>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</si>
  <si>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</si>
  <si>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</si>
  <si>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</si>
  <si>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</si>
  <si>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</si>
  <si>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</si>
  <si>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</si>
  <si>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</si>
  <si>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</si>
  <si>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</si>
  <si>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</si>
  <si>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</si>
  <si>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</si>
  <si>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</si>
  <si>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</si>
  <si>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</si>
  <si>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</si>
  <si>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</si>
  <si>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</si>
  <si>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</si>
  <si>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</si>
  <si>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</si>
  <si>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</si>
  <si>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</si>
  <si>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</si>
  <si>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</si>
  <si>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</si>
  <si>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</si>
  <si>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</si>
  <si>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</si>
  <si>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</si>
  <si>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Synthon Hispania, S.L.; Synthon S.R.O</t>
  </si>
  <si>
    <t>Španija; Češka</t>
  </si>
  <si>
    <t>0034669</t>
  </si>
  <si>
    <t xml:space="preserve">bočica staklena, 1 po 500 mg </t>
  </si>
  <si>
    <t>0014142</t>
  </si>
  <si>
    <t>bočica staklena, 1 po 11.7mL (1400mg/11.7mL)</t>
  </si>
  <si>
    <t>F. Hoffmann-La Roche Ltd</t>
  </si>
  <si>
    <t>glatiramer-acetat</t>
  </si>
  <si>
    <t>REMUREL</t>
  </si>
  <si>
    <t>Španija; Holandija</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</si>
  <si>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</si>
  <si>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</si>
  <si>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</si>
  <si>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</si>
  <si>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</si>
  <si>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</si>
  <si>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</si>
  <si>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</si>
  <si>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</si>
  <si>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</si>
  <si>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</si>
  <si>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</si>
  <si>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</si>
  <si>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</si>
  <si>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</si>
  <si>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</si>
  <si>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</si>
  <si>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</si>
  <si>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</si>
  <si>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</si>
  <si>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</si>
  <si>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</si>
  <si>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</si>
  <si>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</si>
  <si>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Holandija;
Velika Britanija</t>
  </si>
  <si>
    <t>Teva Pharmaceuticals Europe B.V.;
Norton Healthcare Limited T/A Ivax Pharmaceuticals UK</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</si>
  <si>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</si>
  <si>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</si>
  <si>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</si>
  <si>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</si>
  <si>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</si>
  <si>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</si>
  <si>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</si>
  <si>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</si>
  <si>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</si>
  <si>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</si>
  <si>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</si>
  <si>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</si>
  <si>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</si>
  <si>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</si>
  <si>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</si>
  <si>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</si>
  <si>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</si>
  <si>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</si>
  <si>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</si>
  <si>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</si>
  <si>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</si>
  <si>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</si>
  <si>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</si>
  <si>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J05AX65</t>
  </si>
  <si>
    <t>sofosbuvir, ledipasvir</t>
  </si>
  <si>
    <t>HARVONI</t>
  </si>
  <si>
    <t>boca plastična, 28 po (400mg+90mg)</t>
  </si>
  <si>
    <t xml:space="preserve">1 tableta </t>
  </si>
  <si>
    <t>elbasvir, grazoprevir</t>
  </si>
  <si>
    <t>ZEPATIER</t>
  </si>
  <si>
    <t>blister, 28 po (50 mg+100mg)</t>
  </si>
  <si>
    <t>Schering-Plough Labo NV</t>
  </si>
  <si>
    <t>Indikacija</t>
  </si>
  <si>
    <t>Napomena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</si>
  <si>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</si>
  <si>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</si>
  <si>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</si>
  <si>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</si>
  <si>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</si>
  <si>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</si>
  <si>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</si>
  <si>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</si>
  <si>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Nesitnoćelijski karcinom pluća u stadijumu IIIb i IV u prvoj liniji lečenja kod pacijenata sa pozitivnim testom na mutaciju tirozin kinaze receptora za epidermalni faktor rasta (EGFR-TK), PS 0 ili 1.</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</si>
  <si>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</si>
  <si>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</si>
  <si>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</si>
  <si>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</si>
  <si>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</si>
  <si>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</si>
  <si>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</si>
  <si>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</si>
  <si>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</si>
  <si>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</si>
  <si>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</si>
  <si>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</si>
  <si>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</si>
  <si>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</si>
  <si>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</si>
  <si>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</si>
  <si>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</si>
  <si>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</si>
  <si>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</si>
  <si>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</si>
  <si>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</si>
  <si>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</si>
  <si>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</si>
  <si>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</si>
  <si>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</si>
  <si>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</si>
  <si>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</si>
  <si>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</si>
  <si>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</si>
  <si>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</si>
  <si>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</si>
  <si>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</si>
  <si>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</si>
  <si>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</si>
  <si>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</si>
  <si>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</si>
  <si>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</si>
  <si>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</si>
  <si>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</si>
  <si>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</si>
  <si>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</si>
  <si>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</si>
  <si>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</si>
  <si>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</si>
  <si>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</si>
  <si>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</si>
  <si>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</si>
  <si>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</si>
  <si>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</si>
  <si>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</si>
  <si>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</si>
  <si>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</si>
  <si>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</si>
  <si>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</si>
  <si>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</si>
  <si>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</si>
  <si>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</si>
  <si>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</si>
  <si>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</si>
  <si>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</si>
  <si>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</si>
  <si>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</si>
  <si>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</si>
  <si>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</si>
  <si>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</si>
  <si>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</si>
  <si>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</si>
  <si>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</si>
  <si>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</si>
  <si>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</si>
  <si>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</si>
  <si>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</si>
  <si>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</si>
  <si>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</si>
  <si>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</si>
  <si>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</si>
  <si>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</si>
  <si>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</si>
  <si>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</si>
  <si>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</si>
  <si>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</si>
  <si>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</si>
  <si>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</si>
  <si>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</si>
  <si>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L01XX46</t>
  </si>
  <si>
    <t>olaparib</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</si>
  <si>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</si>
  <si>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</si>
  <si>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</si>
  <si>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</si>
  <si>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</si>
  <si>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</si>
  <si>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</si>
  <si>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</si>
  <si>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</si>
  <si>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</si>
  <si>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</si>
  <si>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</si>
  <si>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</si>
  <si>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</si>
  <si>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</si>
  <si>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</si>
  <si>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</si>
  <si>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</si>
  <si>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</si>
  <si>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</si>
  <si>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</si>
  <si>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</si>
  <si>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</si>
  <si>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</si>
  <si>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</si>
  <si>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</si>
  <si>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</si>
  <si>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</si>
  <si>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</si>
  <si>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</si>
  <si>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0014298</t>
  </si>
  <si>
    <t>rastvor za injekciju u napunjenom injekcionom penu</t>
  </si>
  <si>
    <t>napunjeni injekcioni pen, 2 po 0,4 ml (40mg/0,4ml)</t>
  </si>
  <si>
    <t>Abbvie Biotechnology GmbH</t>
  </si>
  <si>
    <t>Celgene Europe Limited; 
Celgene Distribution B.V.</t>
  </si>
  <si>
    <t>1014041</t>
  </si>
  <si>
    <t>blister, 7 po 5 mg</t>
  </si>
  <si>
    <t>Pharmadox Healthcare Ltd.; Pharmacare Premium Ltd.; S.C. Labormed-Pharma S.A.</t>
  </si>
  <si>
    <t>Malta; Malta; Rumunija</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</si>
  <si>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</si>
  <si>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</si>
  <si>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</si>
  <si>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</si>
  <si>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</si>
  <si>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</si>
  <si>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</si>
  <si>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0039334</t>
  </si>
  <si>
    <t>nivolumab</t>
  </si>
  <si>
    <t>OPDIVO ◊</t>
  </si>
  <si>
    <t>bočica staklena, 1 po 4 ml (10mg/ml)</t>
  </si>
  <si>
    <t>0039333</t>
  </si>
  <si>
    <t>bočica staklena, 1 po 10 ml (10mg/ml)</t>
  </si>
  <si>
    <t>Delpharm Milano S.R.L.; F.Hoffmann-La Roche LTD</t>
  </si>
  <si>
    <t>Sistemsko lečenje pacijenata sa uznapredovalim i/ili metastatskim BRAF pozitivnim melanomom kože PS 0-1(C43).</t>
  </si>
  <si>
    <t>1039102</t>
  </si>
  <si>
    <t>L01XE23</t>
  </si>
  <si>
    <t>dabrafenib</t>
  </si>
  <si>
    <t>TAFINLAR ◊</t>
  </si>
  <si>
    <t>boca plastična,120 po 75mg</t>
  </si>
  <si>
    <t>L01XE25</t>
  </si>
  <si>
    <t>trametinib</t>
  </si>
  <si>
    <t>MEKINIST ◊</t>
  </si>
  <si>
    <t>boca plastična, 30 po 2 mg</t>
  </si>
  <si>
    <t>osimertinib</t>
  </si>
  <si>
    <t>TAGRISSO ◊</t>
  </si>
  <si>
    <t>blister deljiv na pojedinačne doze, 30 po 80 mg</t>
  </si>
  <si>
    <t>AstraZeneca AB</t>
  </si>
  <si>
    <t>Švedska</t>
  </si>
  <si>
    <t>1039650</t>
  </si>
  <si>
    <t>L01XE36</t>
  </si>
  <si>
    <t>alektinib</t>
  </si>
  <si>
    <t>ALECENSA ◊</t>
  </si>
  <si>
    <t>blister, 224 po 150 mg</t>
  </si>
  <si>
    <t>Prva linija terapije za lečenje odraslih pacijenata sa uznapredovalim nemikrocelularnim karcinomom pluća pozitivnim na kinazu anaplastičnog limfoma.</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</si>
  <si>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</si>
  <si>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</si>
  <si>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</si>
  <si>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</si>
  <si>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</si>
  <si>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</si>
  <si>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</si>
  <si>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</si>
  <si>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</si>
  <si>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</si>
  <si>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</si>
  <si>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1014075</t>
  </si>
  <si>
    <t>L04AA27</t>
  </si>
  <si>
    <t>fingolimod</t>
  </si>
  <si>
    <t>GILENYA</t>
  </si>
  <si>
    <t>blister, 28 po 0,5 mg</t>
  </si>
  <si>
    <t>0,5 mg</t>
  </si>
  <si>
    <t>L04AA31</t>
  </si>
  <si>
    <t>teriflunomid</t>
  </si>
  <si>
    <t>AUBAGIO</t>
  </si>
  <si>
    <t>blister, 28 po 14 mg</t>
  </si>
  <si>
    <t>14 mg</t>
  </si>
  <si>
    <t>0014002</t>
  </si>
  <si>
    <t>L04AA34</t>
  </si>
  <si>
    <t>alemtuzumab</t>
  </si>
  <si>
    <t>LEMTRADA</t>
  </si>
  <si>
    <t>bočica, 1 po 1.2ml (12mg/1.2ml)</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</si>
  <si>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</si>
  <si>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</si>
  <si>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</si>
  <si>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</si>
  <si>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</si>
  <si>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</si>
  <si>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</si>
  <si>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</si>
  <si>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</si>
  <si>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</si>
  <si>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</si>
  <si>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</si>
  <si>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</si>
  <si>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</si>
  <si>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</si>
  <si>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</si>
  <si>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dimetilfumarat</t>
  </si>
  <si>
    <t>TECFIDERA</t>
  </si>
  <si>
    <t>gastrorezistentna kapsula, tvrda</t>
  </si>
  <si>
    <t>blister, 14 po 120 mg</t>
  </si>
  <si>
    <t>0,48 g</t>
  </si>
  <si>
    <t>0039370</t>
  </si>
  <si>
    <t>HERZUMA ◊</t>
  </si>
  <si>
    <t>bočica staklena, 1 po 150 mg</t>
  </si>
  <si>
    <t>0039375</t>
  </si>
  <si>
    <t>KANJINTI ◊</t>
  </si>
  <si>
    <t>0039376</t>
  </si>
  <si>
    <t>bočica staklena, 1 po 420 mg</t>
  </si>
  <si>
    <t>1039500</t>
  </si>
  <si>
    <t>GEFITINIB ZENTIVA ◊</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</si>
  <si>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</si>
  <si>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</si>
  <si>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</si>
  <si>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</si>
  <si>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</si>
  <si>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</si>
  <si>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</si>
  <si>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</si>
  <si>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</si>
  <si>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</si>
  <si>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</si>
  <si>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</si>
  <si>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</si>
  <si>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1039412</t>
  </si>
  <si>
    <t>ERLOTINIB REMEDICA ◊</t>
  </si>
  <si>
    <t>Remedica LTD</t>
  </si>
  <si>
    <t>1039415</t>
  </si>
  <si>
    <t>1039416</t>
  </si>
  <si>
    <t>1039417</t>
  </si>
  <si>
    <t>ERLOTINIB SANDOZ ◊</t>
  </si>
  <si>
    <t>blister, 30 po 100mg</t>
  </si>
  <si>
    <t>Lek Farmacevtska Družba d.d.</t>
  </si>
  <si>
    <t>Slovenija</t>
  </si>
  <si>
    <t>1039418</t>
  </si>
  <si>
    <t>blister, 30 po 150mg</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</si>
  <si>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</si>
  <si>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</si>
  <si>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</si>
  <si>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</si>
  <si>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</si>
  <si>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</si>
  <si>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</si>
  <si>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</si>
  <si>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</si>
  <si>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</si>
  <si>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</si>
  <si>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</si>
  <si>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</si>
  <si>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</si>
  <si>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</si>
  <si>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</si>
  <si>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</si>
  <si>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</si>
  <si>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</si>
  <si>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</si>
  <si>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</si>
  <si>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</si>
  <si>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</si>
  <si>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</si>
  <si>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</si>
  <si>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blister, 21 po 5 mg</t>
  </si>
  <si>
    <t>J05AP54</t>
  </si>
  <si>
    <t>VOTRIENT ◊</t>
  </si>
  <si>
    <t>GIOTRIF ◊</t>
  </si>
  <si>
    <t>LENALIDOMIDE ZENTIVA ◊</t>
  </si>
  <si>
    <t>PEMETREXED ZENTIVA ◊</t>
  </si>
  <si>
    <t xml:space="preserve">
Hospira Zagreb d.o.o.</t>
  </si>
  <si>
    <t xml:space="preserve">
Republika Hrvatska</t>
  </si>
  <si>
    <t>L01FF01</t>
  </si>
  <si>
    <t>1328010</t>
  </si>
  <si>
    <t>J05AP57</t>
  </si>
  <si>
    <t>glekaprevir, pibrentasvir</t>
  </si>
  <si>
    <t>MAVIRET</t>
  </si>
  <si>
    <t>blister, 84 po (100 mg + 40 mg)</t>
  </si>
  <si>
    <t>Abbvie Deutschland GmbH &amp; Co.KG; Abbvie Logistics B.V.</t>
  </si>
  <si>
    <t>Nemačka; Holandija</t>
  </si>
  <si>
    <t xml:space="preserve"> 3 tablete</t>
  </si>
  <si>
    <t>1328005</t>
  </si>
  <si>
    <t>J05AX69</t>
  </si>
  <si>
    <t>sofosbuvir, velpatasvir</t>
  </si>
  <si>
    <t>EPCLUSA</t>
  </si>
  <si>
    <t>boca plastična, 28 po (400 mg + 100 mg)</t>
  </si>
  <si>
    <t>1 tableta</t>
  </si>
  <si>
    <t>L01EL01</t>
  </si>
  <si>
    <t>ibrutinib</t>
  </si>
  <si>
    <t>IMBRUVICA  ◊</t>
  </si>
  <si>
    <t>boca plastična, 90 po 140 mg</t>
  </si>
  <si>
    <t>Janssen Pharmaceutica N.V.</t>
  </si>
  <si>
    <t>420 mg</t>
  </si>
  <si>
    <t>L01XE17</t>
  </si>
  <si>
    <t>aksitinib</t>
  </si>
  <si>
    <t>INLYTA ◊</t>
  </si>
  <si>
    <t>blister, 56 po 1 mg</t>
  </si>
  <si>
    <t>Pfizer Manufacturing Deutschland GmbH-Betriebsstatte Freiburg</t>
  </si>
  <si>
    <t>Druga terapijska linija metastatskog ili uznapredovalog, svetloćelijskog karcinoma bubrega, dobre ili srednje prognoze, PS 0-1 (C64).</t>
  </si>
  <si>
    <t>blister, 56 po 5 mg</t>
  </si>
  <si>
    <t>1039730</t>
  </si>
  <si>
    <t>L01XE26</t>
  </si>
  <si>
    <t>kabozantinib</t>
  </si>
  <si>
    <t>CABOMETYX ◊</t>
  </si>
  <si>
    <t>boca plastična, 30 po 20 mg</t>
  </si>
  <si>
    <t>Patheon France - Bourgoin Jallieu; Tjoapack Netherlands B.V.</t>
  </si>
  <si>
    <t>Francuska; Holandija</t>
  </si>
  <si>
    <t>1039731</t>
  </si>
  <si>
    <t>boca plastična, 30 po 40 mg</t>
  </si>
  <si>
    <t>1039732</t>
  </si>
  <si>
    <t>boca plastična, 30 po 60 mg</t>
  </si>
  <si>
    <t>L01XE33</t>
  </si>
  <si>
    <t>palbociklib</t>
  </si>
  <si>
    <t>IBRANCE ◊</t>
  </si>
  <si>
    <t>blister, 21 po 75 mg</t>
  </si>
  <si>
    <t>blister, 21 po 100 mg</t>
  </si>
  <si>
    <t>blister, 21 po 125 mg</t>
  </si>
  <si>
    <t>1039103</t>
  </si>
  <si>
    <t xml:space="preserve">1039104 </t>
  </si>
  <si>
    <t>1039105</t>
  </si>
  <si>
    <t>L01XE42</t>
  </si>
  <si>
    <t>ribociklib</t>
  </si>
  <si>
    <t>KISQALI ◊</t>
  </si>
  <si>
    <t>blister, 63 po 200 mg</t>
  </si>
  <si>
    <t xml:space="preserve">Novartis Pharma Produktions GmbH; Novartis Pharma Stein AG  </t>
  </si>
  <si>
    <t>Nemačka; Švajcarska</t>
  </si>
  <si>
    <t>L01XE43</t>
  </si>
  <si>
    <t>brigatinib</t>
  </si>
  <si>
    <t>ALUNBRIG ◊</t>
  </si>
  <si>
    <t>1039991</t>
  </si>
  <si>
    <t>blister, 56 po 100 mg</t>
  </si>
  <si>
    <t>AstraZeneca AB; AstraZeneca UK Limited</t>
  </si>
  <si>
    <t>Švedska; Velika Britanija</t>
  </si>
  <si>
    <t>1039990</t>
  </si>
  <si>
    <t>blister, 56 po 150 mg</t>
  </si>
  <si>
    <t>1014015</t>
  </si>
  <si>
    <t>L04AA42</t>
  </si>
  <si>
    <t>siponimod</t>
  </si>
  <si>
    <t>MAYZENT</t>
  </si>
  <si>
    <t>blister, 12 po 0,25 mg</t>
  </si>
  <si>
    <t>Novartis Farmaceutica S.A.</t>
  </si>
  <si>
    <t>1014013</t>
  </si>
  <si>
    <t>blister, 120 po 0,25 mg</t>
  </si>
  <si>
    <t>1014014</t>
  </si>
  <si>
    <t>blister, 28 po 2 mg</t>
  </si>
  <si>
    <t>bočica staklena, 1 po 10 mg</t>
  </si>
  <si>
    <t>bočica staklena, 1 po 4 ml (100 mg/4 ml)</t>
  </si>
  <si>
    <t>F. Hoffmann-La Roche Ltd.;
Roche Diagnostics GmbH</t>
  </si>
  <si>
    <t>Švajcarska;
Nemačka</t>
  </si>
  <si>
    <t>bočica staklena, 1 po 16 ml (400 mg/16 ml)</t>
  </si>
  <si>
    <t>blister deljiv na pojedinačne doze, 28 po 12,5 mg</t>
  </si>
  <si>
    <t>blister deljiv na pojedinačne doze, 28 po 25 mg</t>
  </si>
  <si>
    <t>blister deljiv na pojedinačne doze, 28 po 50 mg</t>
  </si>
  <si>
    <t>Wyeth Pharmaceuticals; Pfizer Manufacturing Belgium NV</t>
  </si>
  <si>
    <t>Velika Britanija; Belgija</t>
  </si>
  <si>
    <t>napunjen injekcioni špric, 1 po 0,5 ml (50 mg/0,5 ml)</t>
  </si>
  <si>
    <t>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</si>
  <si>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</si>
  <si>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</si>
  <si>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</si>
  <si>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</si>
  <si>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</si>
  <si>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</si>
  <si>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Lek se uvodi u terapiju  na osnovu mišljenja  tri lekara  neurologa ili neuropsihijatra Klinike za neurologiju UKCS kod pacijenata koji nisu respiratorno ugroženi.</t>
  </si>
  <si>
    <t>Hronični hepatitis C (B18.2).</t>
  </si>
  <si>
    <t>Hronični hepatitis C- isključivo genotip 1b (B18.2).</t>
  </si>
  <si>
    <t>1. Bolesnici sa hroničnom limfocitnom leukemijom (HLL) sa delecijom 17p/TP53 mutacijom, novootkriveni ili prethodno lečeni.
2. Bolesnici sa relapsirajućom/refraktornom HLL koji nisu postigli odgovor na primenjenu terapiju ili je došlo do ranog relapsa (relaps u okviru 36 meseci od započinjanja terapije).
3. Bolesnici sa relapsirajućom/refraktorom HLL koji su primili ≥2 terapijske linije, a imaju dobro opšte funkcionalno stanje (PS-ECOG 0 i 1).
4. Bolesnici sa mantle cell ćelijskim limfomom koji su refraktorni ili su relapsirali posle najmanje jedne prethodno primenjene terapijske linije, a imaju dobro opšte funkcionalno stanje (PS ECOG 0 i 1, CIRS &lt; 6).</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</si>
  <si>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</si>
  <si>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</si>
  <si>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</si>
  <si>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</si>
  <si>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</si>
  <si>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</si>
  <si>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</si>
  <si>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Za lečenje lokalno uznapredovalog ili metastatskog karcinoma dojke, pozitivnog na hormonski receptor (HR) i negativnog na receptor humanog epidermalnog faktora rasta 2 (HER2):
- početna endokrina terapija u kombinaciji sa inhibitorom aromataze,
 -u drugoj liniji u kombinaciji sa fulvestrantom kod žena koje su  prethodno primale endokrinu terapiju.
(C50)</t>
  </si>
  <si>
    <t>Za lečenje lokalno uznapredovalog ili metastatskog karcinoma dojke, pozitivnog na hormonski receptor (HR) i negativnog na receptor humanog epidermalnog faktora rasta 2 (HER2):
- početna endokrina terapija u kombinaciji sa inhibitorom aromataze,
- u drugoj liniji u kombinaciji sa fulvestrantom kod žena koje su prethodno primale endokrinu terapiju. (C50)</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</si>
  <si>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</si>
  <si>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t>
  </si>
  <si>
    <t>Terapija odraslih pacijenata sa sekundarno progresivnom multiplom sklerozom (SPMS) sa aktivnom bolešću koja je potvrđena relapsima ili nalazima zapaljenske aktivnosti na snimcima (imidžing).</t>
  </si>
  <si>
    <t>Lek se uvodi u terapiju na osnovu mišljenja tri lekara sledećih zdravstvenih ustanova:
- Institut za onkologiju i radiologiju Srbije,
- KBC Bežanijska Kosa,
- Klinika za onkologiju UKC Niš,
- Institut za onkologiju Vojvodine,
- UKC Kragujevac,
- Vojnomedicinska akademija uz učešće stručnjaka iz oblasti karcinoma dojke sa Instituta za onkologiju i radiologiju Srbije ili KBC Bežanijska Kosa,
 - KBC Zemun.</t>
  </si>
  <si>
    <t>blister, 28 po 90 mg</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</si>
  <si>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</si>
  <si>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1. Karcinom kolorektuma: 
    a) metastatska bolest, posle hemioterapije na bazi oksaliplatine i irinotekana, isključivo za pacijente sa tumorima koji sadrže nemutirani K/Ras gen, PS 0 ili 1, kao monoterapija ili u kombinaciji sa irinotekanom;
   b) terapija pacijenata sa RAS wild-type metastatskim  kolorektalnim karcinomom koji eksprimiraju receptore za epidermalni faktor rasta (EGFR) kao prva linija terapije u kombinaciji sa FOLFOX-om ili sa hemioterapijom na bazi irinotekana;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</si>
  <si>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 xml:space="preserve">Karcinom kolorektuma:
a) metastatska bolest, posle hemioterapije na bazi oksaliplatine i irinotekana, isključivo za pacijente sa tumorima koji sadrže nemutirani K/Ras gen, PS 0 ili 1, kao monoterapija.
b) lečenje odraslih pacijenata sa metastatskim kolorektalnim karcinomom (mCRC) sa divljim tipom RAS gena, kao prva linija terapije u kombinaciji sa FOLFOX ili FOLFIRI hemioterapijskim režimom. </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</si>
  <si>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
c) Rani stadijum HER2 pozitivnog karcinoma dojke sa visokim rizikom od relapsa definisanim kao karcinom dojke sa pozitivnim limfnim čvorovima, u kombinaciji sa trastuzumabom i hemioterapijom , bez obzira na vrstu inicijalnog lečenja ( inicijalno hiruško lečenje ili neoadjuvantna terapija praćena hiruškim lečenjem), u trajanju do ukupno godinu dana od prve aplikacije anti-HER2 terapije.</t>
  </si>
  <si>
    <t>1. 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
2. Lečenje pacijenata sa progresivnim, lokalno uznapredovalim ili metastaziranim, diferenciranim (papilarne/folikularne Hurthe-ijeve ćelije) karcinomom tireoidne žlezde koji ne reaguju na terapiju radioaktivnim jodom.</t>
  </si>
  <si>
    <t>Za indikaciju pod tačkom 1. odobrava se primena terapije za 2 meseca, nakon čega se sprovodi provera efikasnosti terapije.
Za indikaciju pod tačkom 1.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tri lekara zdravstvene ustanove koja obavlja zdravstvenu delatnost na teracijarnom nivou zdravstvene zaštite.</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</si>
  <si>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</si>
  <si>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UKC Kragujevac, 
 - Vojnomedicinska akademija,
 -  Klinika za hematologiju i kliničku imunologiju UKC Niš,
 -  Univerzitetska dečja klinika,
 -   Institut za zdravstvenu zaštitu majke i deteta Srbije „Dr Vukan Čupić”,
 - Institut za zdravstvenu zaštitu dece i omladine Vojvodine,
 - Klinika za dečje interne bolesti UKC Niš,
 - KBC Zemun.</t>
  </si>
  <si>
    <t>0034460</t>
  </si>
  <si>
    <t>PEMETREXED ACCORD ◊</t>
  </si>
  <si>
    <t>Accord Healthcare Limited; Accord Healthcare Polska SP. Z.O.O.</t>
  </si>
  <si>
    <t>Velika Britanija; Poljska</t>
  </si>
  <si>
    <t>Corden Pharma Latina S.P.A.</t>
  </si>
  <si>
    <t>STAC; Lek se uvodi u terapiju na osnovu mišljenja tri lekara sledećih zdravstvenih ustanova:
  - Institut za onkologiju i radiologiju Srbije, 
  - Klinika za hematologiju UKC Srbije, a na osnovu čijeg mišljenja se lek može primenjivati i u KBC Zvezdara,
  - Univerzitetska dečja klinika,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Vojnomedicinska akademija,
  - KBC Zemun.</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</si>
  <si>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</si>
  <si>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</si>
  <si>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Klinika za hematologiju UKC Kragujevac,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</si>
  <si>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</si>
  <si>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</si>
  <si>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</si>
  <si>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L01FD01</t>
  </si>
  <si>
    <t>0039371</t>
  </si>
  <si>
    <t>Biotec Services International Limited;
Millmount Healthcare Ltd.</t>
  </si>
  <si>
    <t>Velika Britanija; 
Irska</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</si>
  <si>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trastuzumaba u kombinaciji sa taksanskom hemioterapijom tokom 4 ciklusa a nakon prethodne sekvencijalne primene antraciklina. Kod ove grupe nastavak primene trastuzumaba u adjuvantnom tretmanu, nakon operacije, do ukupno godinu dana, računajući i primenu trastuzumaba u neoadjuvantnom pristupu.</t>
  </si>
  <si>
    <t>0039391</t>
  </si>
  <si>
    <t>TRAZIMERA ◊</t>
  </si>
  <si>
    <t>Pfizer Manufacturing Belgium NV</t>
  </si>
  <si>
    <t>0039392</t>
  </si>
  <si>
    <t>STAC; Za indikaciju pod tačkom 1.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Za  indikaciju pod tačkom 2. lek se uvodi u terapiju na osnovu mišljenja tri lekara sledećih zdravstvenih ustanova:
  - Institut za onkologiju i radiologiju Srbije, 
  - Institut za onkologiju Vojvodine, 
  - Klinika za onkologiju UKC Niš, 
  - UKC Kragujevac,
  - Vojnomedicinska akademija.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</si>
  <si>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STAC; Za indikaciju pod tačkom 1.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</si>
  <si>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0039431</t>
  </si>
  <si>
    <t>L01FG01</t>
  </si>
  <si>
    <t>OYAVAS ◊</t>
  </si>
  <si>
    <t>GH Genhelix S.A.</t>
  </si>
  <si>
    <t>1.Lečenje pacijenata sa mCRC, PS 0 ili 1, u prvoj liniji lečenja, uz hemioterapiju koja sadrži fluoropirimidine.
2. OYAVAS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</si>
  <si>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0039430</t>
  </si>
  <si>
    <t>bočica staklena, 1 po 16 ml (25mg/ml)</t>
  </si>
  <si>
    <t>STAC;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</si>
  <si>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Lek se uvodi u terapiju na osnovu mišljenja Komisije RFZO, a na osnovu mišljenja tri lekara sledećih zdravstvenih ustanova:
 -  Institut za onkologiju i radiologiju Srbije,
 -  Klinika za hematologiju UKC Srbije,a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</si>
  <si>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STAC; 
Za indikaciju pod tačkom 1. 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
Za indikaciju pod tačkom 2.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</si>
  <si>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L01FF02</t>
  </si>
  <si>
    <t>0.25 g</t>
  </si>
  <si>
    <t>1039555</t>
  </si>
  <si>
    <t>GEFITINIB CORAPHARM ◊</t>
  </si>
  <si>
    <t>Synthon Hispania, S.L.</t>
  </si>
  <si>
    <t>1039560</t>
  </si>
  <si>
    <t>SPIRTOS ◊</t>
  </si>
  <si>
    <t>Stada Arzneimittel AG;
Stadapharm GmbH</t>
  </si>
  <si>
    <t>Nemačka;
Nemačka</t>
  </si>
  <si>
    <t>0,15 g</t>
  </si>
  <si>
    <t>1039420</t>
  </si>
  <si>
    <t>ERLOTINIB MYLAN ◊</t>
  </si>
  <si>
    <t>1039421</t>
  </si>
  <si>
    <t>33 mg</t>
  </si>
  <si>
    <t>Lek se uvodi u terapiju na osnovu mišljenja Komisije RFZO, a na osnovu mišljenja tri lekara sledećih zdravstvenih ustanova:
  - Institut za onkologiju i radiologiju Srbije, 
  - Klinika za urologiju UKCS, 
  - KBC Bežanijska Kosa,
  - Institut za onkologiju Vojvodine, 
  - Klinika za onkologiju UKC Niš,
  - UKC Kragujevac,
  - Vojnomedicinska akademija,
  - KBC Zemun.</t>
  </si>
  <si>
    <t>SUNITINIB SANDOZ ◊</t>
  </si>
  <si>
    <t>blister, 28 po 12,5 mg</t>
  </si>
  <si>
    <t>Lek Farmacevtska      Družba d.d.</t>
  </si>
  <si>
    <t>SUNITINIB  SANDOZ ◊</t>
  </si>
  <si>
    <t>Lek Farmacevtska     Družba d.d.</t>
  </si>
  <si>
    <t>blister, 28 po 50 mg</t>
  </si>
  <si>
    <t>Lek Farmacevtska            Družba d.d.</t>
  </si>
  <si>
    <t>1039746</t>
  </si>
  <si>
    <t>L01EX01</t>
  </si>
  <si>
    <t>NERSAN ◊</t>
  </si>
  <si>
    <t>blister, 28 po 37,5 mg</t>
  </si>
  <si>
    <t>Remedica LTD; Pharmacare Premium LTD; Stadapharm GmbH</t>
  </si>
  <si>
    <t>Kipar;
Malta;
Nemačka</t>
  </si>
  <si>
    <t>1039744</t>
  </si>
  <si>
    <t>MISVENOL ◊</t>
  </si>
  <si>
    <t>Pharmacare Premium Ltd; Genepharm SA</t>
  </si>
  <si>
    <t>Malta; Grčka</t>
  </si>
  <si>
    <t>0.8 g</t>
  </si>
  <si>
    <t xml:space="preserve">SORAFENIB TEVA ◊ </t>
  </si>
  <si>
    <t>Merckle GmbH; 
Pliva Hrvatska d.o.o.;
Teva Operations Poland SP.Z.O.O.;
Teva Pharma B.V.</t>
  </si>
  <si>
    <t>Nemačka; Hrvatska; Poljska; Holandija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</si>
  <si>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</si>
  <si>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</si>
  <si>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1039141</t>
  </si>
  <si>
    <t>L01EX02</t>
  </si>
  <si>
    <t xml:space="preserve">SALTAPSA ◊ </t>
  </si>
  <si>
    <t>Pharmacare Premium Ltd.;
Genepharm SA</t>
  </si>
  <si>
    <t>Malta;
Grčka</t>
  </si>
  <si>
    <t>SORAFENIB S.K. ◊</t>
  </si>
  <si>
    <t>Pharmacare Premium LTD.;
Genepharm SA</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</si>
  <si>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Univerzitetska dečja klinika,
 - Institut za zdravstvenu zaštitu majke i deteta Srbije „Dr Vukan Čupić”,
 - Institut za zdravstvenu zaštitu dece i omladine Vojvodine,
 - KBC Zemun.</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</si>
  <si>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</si>
  <si>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Takeda Austria GmbH</t>
  </si>
  <si>
    <t>Lek se uvodi u terapiju na osnovu mišljenja tri lekara sledećih zdravstvenih ustanova:
  - Klinika za hematologiju UKC Srbije, a na osnovu čijeg mišljenja se lek može primenjivati i u KBC Zvezdara,
  - Univerzitetska dečja klinika, 
  - Klinika za hematologiju UKC Vojvodine,
  - Klinika za hematologiju i kliničku imunologiju UKC Niš, 
  - UKC Kragujevac, 
  - Institut za zdravstvenu zaštitu majke i deteta Srbije „Dr Vukan Čupić”, 
  - Institut za decu i omladinu Vojvodine, 
  - Klinika za dečje interne bolesti UKC Niš, 
  - KBC Bežanijska Kosa,
  - Vojnomedicinska akademija,
  - KBC Zemun.</t>
  </si>
  <si>
    <t>ABIRATERON CORAPHARM ◊</t>
  </si>
  <si>
    <t>bočica plastična, 120 po 250 mg</t>
  </si>
  <si>
    <t>Synthon Hispania, SL;
Synthon BV</t>
  </si>
  <si>
    <t>Španija;
Holandija</t>
  </si>
  <si>
    <t>blister, 60 po 500 mg</t>
  </si>
  <si>
    <t xml:space="preserve">FUJIFILM Diosynth Biotechnologies Denmark ApS; Biogen Netherlands B.V. </t>
  </si>
  <si>
    <t>Danska; Holandija</t>
  </si>
  <si>
    <t>1014076</t>
  </si>
  <si>
    <t>FINGOLIMOD TEVA</t>
  </si>
  <si>
    <t>blister deljiv na pojedinačne doze, 28 po 0,5 mg</t>
  </si>
  <si>
    <t>Balkanpharm-Dupnitsa AD</t>
  </si>
  <si>
    <t>Bugarska</t>
  </si>
  <si>
    <t>FILIVAL</t>
  </si>
  <si>
    <t>ESTRELA</t>
  </si>
  <si>
    <t>Bluepharma - Industria Farmaceutica S.A.</t>
  </si>
  <si>
    <t>Portugalija</t>
  </si>
  <si>
    <t>0.5 mg</t>
  </si>
  <si>
    <t xml:space="preserve"> Pfizer Manufacturing Belgium NV</t>
  </si>
  <si>
    <t xml:space="preserve"> Belgija</t>
  </si>
  <si>
    <t>0014321</t>
  </si>
  <si>
    <t>ERELZI</t>
  </si>
  <si>
    <t>napunjen injekcioni špric, 4 po 0.5mL (25mg/0.5mL)</t>
  </si>
  <si>
    <t>Sandoz GmbH -  Betriebsstatte/Manufacturing Site Aseptics Drug Product Schaftenau (Aseptics DPS)</t>
  </si>
  <si>
    <t>0014322</t>
  </si>
  <si>
    <t>napunjeni injekcioni pen, 4 po 1mL (50mg/mL)</t>
  </si>
  <si>
    <t>0014209</t>
  </si>
  <si>
    <t>0014421</t>
  </si>
  <si>
    <t>napunjen injekcioni pen, 2 po 1 ml (150mg)</t>
  </si>
  <si>
    <t>Lenalidomid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</si>
  <si>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t>
  </si>
  <si>
    <t>1014026</t>
  </si>
  <si>
    <t>MUNDUS ◊</t>
  </si>
  <si>
    <t>Pharmadox Healthcare Ltd.;
Stada Arzneimittel AG</t>
  </si>
  <si>
    <t>Malta;
Nemačka</t>
  </si>
  <si>
    <t>1014027</t>
  </si>
  <si>
    <t>1014028</t>
  </si>
  <si>
    <t>1014029</t>
  </si>
  <si>
    <t>EUlen ◊</t>
  </si>
  <si>
    <t>Synthon BV; Synthon Hispania, SL</t>
  </si>
  <si>
    <t>Holandija; Španija</t>
  </si>
  <si>
    <t>LENALIDOMIDE GRINDEKS ◊</t>
  </si>
  <si>
    <t>AS Grindeks</t>
  </si>
  <si>
    <t>Letonija</t>
  </si>
  <si>
    <t>Novartis Pharma  Stein AG; Laboratori Fundacio Dau</t>
  </si>
  <si>
    <t>Švajcarska; Španija</t>
  </si>
  <si>
    <t>L04AX07</t>
  </si>
  <si>
    <t>Amgen Europe B.V.
Amgen Technology (Ireland) Unlimited Company</t>
  </si>
  <si>
    <t>Holandija,
Irska</t>
  </si>
  <si>
    <t>0069402</t>
  </si>
  <si>
    <t>bočica sa praškom, 1 po 250 mcg i napunjeni injekcioni špric sa rastvaračem, 1 po 0,72mL</t>
  </si>
  <si>
    <t>Holandija;
Irska</t>
  </si>
  <si>
    <t xml:space="preserve"> 1. Maligni pleuralni mezoteliom, uznapredovala neresektabilna bolest, PS 0 ili 1.
 2. U kombinaciji sa pembrolizumabiom i hemioterapijom koja sadrži platinu indikovan je za prvu liniju lečenja metastatskog neskvamoznog nesitnoćelijskog karcinoma pluća kod odraslih čiji tumori nisu pozitivni na mutacije gena EGFR ili ALK, čiji tumori eksprimiraju PD-L1 sa TPS 1% - 49% (C34).</t>
  </si>
  <si>
    <t>1039722</t>
  </si>
  <si>
    <t>L01BC59</t>
  </si>
  <si>
    <t>trifluridin, tipiracil</t>
  </si>
  <si>
    <t>LONSURF ◊</t>
  </si>
  <si>
    <t>blister, 20 po (15mg+6,14mg)</t>
  </si>
  <si>
    <t xml:space="preserve">
Les Laboratoires Servier Industrie;
Servier (Ireland) Industries Limited</t>
  </si>
  <si>
    <t xml:space="preserve"> Francuska;
Irska</t>
  </si>
  <si>
    <t>Za terapiju odraslih pacijenata sa metastatskim kolorektalnim karcinomom (mCRC) koji su prethodno lečeni ili nisu kandidati za lečenje, raspoloživim terapijama koje uključuju hemioterapiju baziranu na fluoropirimidinu, oksaliplatinu i irinotekanu, anti-VEGF i anti-EGFR lekove; pacijenti dobrog opšteg stanja (ECOG PS 0 ili 1) koji imaju indolentnu bolest sa manjim tumorskim opterećenjem dominantno van jetre</t>
  </si>
  <si>
    <t>1039725</t>
  </si>
  <si>
    <t>blister, 20 po (20mg+8,19mg)</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</si>
  <si>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</si>
  <si>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 xml:space="preserve">
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</si>
  <si>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kabazitaksel</t>
  </si>
  <si>
    <t>L01EF03</t>
  </si>
  <si>
    <t>abemaciklib</t>
  </si>
  <si>
    <t>VERZENIOS ◊</t>
  </si>
  <si>
    <t>LILLY S.A. Španija, Alcobendas, Madrid</t>
  </si>
  <si>
    <t>0.3 g</t>
  </si>
  <si>
    <t>blister, 28 po 100 mg</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</si>
  <si>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</si>
  <si>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blister, 28 po 150 mg</t>
  </si>
  <si>
    <r>
      <t>U kombinaciji sa hormonskom terapijom indikovan je za adjuvantno lečenje odraslih pacijenata sa nodus pozitivnim ranim karcinomom dojke, pozitivnim na hormonski receptor (hormone receptor, HR), negativnim na receptor humanog epidermalnog faktora rasta 2 (human epidermal growth factor receptor 2, HER2), koji su pod visokim rizikom od recidiva (C50).
Kod žena u predmenopauzi ili perimenopauzi, hormonsku terapiju inhibitorom aromataze treba primenjivati u kombinaciji sa agonistom hormona koji oslobađa luteinizirajući hormon (</t>
    </r>
    <r>
      <rPr>
        <sz val="8"/>
        <color indexed="8"/>
        <rFont val="Arial"/>
        <family val="2"/>
      </rPr>
      <t>luteinising hormone-releasing hormone, LHRH).</t>
    </r>
  </si>
  <si>
    <t>0039410</t>
  </si>
  <si>
    <t>L01FC01</t>
  </si>
  <si>
    <t>daratumumab</t>
  </si>
  <si>
    <t>DARZALEX ◊</t>
  </si>
  <si>
    <t>bočica staklena, 1 po 15mL (120mg/mL)</t>
  </si>
  <si>
    <t xml:space="preserve">Multipli mijelom (C90)
1. kombinacija leka sa lenalidomidom i deksametazonom ili kombinacija sa bortezomibom i deksametazonom kod bolesnika sa multiplim mijelomom koji su refraktarni na prethodno primenjenu terapiju.
2. kod bolesnika u relapsu multiplog mijeloma, a koji imaju umerene i visokorizične karakteristike bolesti (R-ISS 2 ili R-ISS 3 skor) i/ili kod kojih je remisija trajala kraće od 24 meseca. </t>
  </si>
  <si>
    <t xml:space="preserve">1. Lečenje uznapredovalog (neresektabilnog ili metastatskog)  melanoma, kao monoterapija PS 0-1 (C43).
2. Druga terapijska linija metastatskog ili uznapredovalog, svetloćelijskog karcinoma bubrega, dobre ili srednje prognoze, PS 0-1 (C64).
3. Adjuvantno lečenje pacijenata sa melanomom, sa zahvaćenim limfnim čvorovima ili metastazama, koji su prethodno podvrgnuti potpunoj resekciji (stadijum III) (C43). </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</si>
  <si>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i 3.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</si>
  <si>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1.Lečenje pacijenata sa metastatskim kolorektalnim karcinomom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
3. Terapija odraslih pacijenata  sa uznapredovalim ili neresektabilnim hepatocelularnim karcinomom (hepatocellular carcinoma, HCC) koji prethodno nisu primali sistemsku terapiju, u kombinaciji sa lekom atezolizumab (C22.0).
4. Prva linija lečenja metastatskog neskvamoznog nesitnoćelijskog karcinoma pluća, u kombinaciji sa atezolizumabom, paklitakselom i karboplatinom, kod odraslih čiji tumori nisu pozitivni na mutacije gena EGFR ili ALK. I sa vrednostima PD-L1 ekspresije od 1-49%.(PS 0 ili 1) (C34).</t>
  </si>
  <si>
    <t>F.Hoffman-LA Roche LTD</t>
  </si>
  <si>
    <t>1. 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(C50)
Pacijenti bi trebalo da su: 
- primali prethodnu terapiju za lokalno uznapredovalu ili metastatsku bolest, ili 
- dobili relaps bolesti tokom ili u roku od šest meseci od završetka ajduvantne terapije trastuzumabom.
2. Adjuvantno lečenje odraslih pacijenata sa HER2 pozitivnim ranim karcinomom dojke koji imaju rezidualnu invanzivnu bolest, koja zahvata dojku i/ili limfne čvorove, nakon neoadjuvantne terapije zasnovane na taksanu i ciljane HER2 terapije (C50)</t>
  </si>
  <si>
    <t>Organon Heist B.V.</t>
  </si>
  <si>
    <t xml:space="preserve">1.Lečenje uznapredovalog (neresektabilnog ili metastatskog)  melanoma, kao monoterapija PS 0-1  (C43). 
2.Kao monoterapija za prvu liniju terapije metastatskog nesitnoćelijskog karcinoma pluća kod odraslih pacijenata čiji tumori eksprimiraju PD-L1 sa TPS≥ 50% i koji nisu pozitivni na tumorske mutacije gena EGFR ili ALK, a imaju ECOG status 0-1  (C34).
3. Prva linija lečenja metastatskog neskvamoznog nesitnoćelijskog karcinoma pluća, u kombinaciji sa pemetreksedom i hemioterapijom koja sadrži platinu, kod odraslih čiji tumori nisu pozitivni na mutacije gena EGFR ili ALK i sa vrednostima PD-L1 ekspresije od 1-49% (PS 0 ili 1) (C34).
4. Adjuvantno lečenje pacijenata sa melanomom, sa zahvaćenim limfnim čvorovima ili metastazama, koji su prethodno podvrgnuti potpunoj resekciji (stadijum III) (C43).
5. Za lečenje odraslih pacijenata sa lokalno uznapredovalim ili ranim trostruko negativnim karcinomom dojke s visokim rizikom od recidiva u kombinaciji sa hemioterapijom za neoadjuvantno lečenje, a zatim u nastavku kao monoterapija u adjuvantnom lečenju nakon hirurškog zahvata (C50).
6.Za lečenje lokalno rekurentnog neresektabilnog ili metastatskog trostruko negativnog karcinoma dojke kod odraslih čiji tumori eksprimiraju PD L1 sa CPSom ≥10 i koji prethodno nisu primili hemioterapiju za metastatsku bolest je u kombinaciji sa hemioterapijom (C50). </t>
  </si>
  <si>
    <t>Za indikaciju pod tačkom 1, 2. i 3.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1.i 4.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i 3.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
Za indikaciju pod tačkom 5. i 6.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</si>
  <si>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0039406</t>
  </si>
  <si>
    <t>L01FF05</t>
  </si>
  <si>
    <t>atezolizumab</t>
  </si>
  <si>
    <t>TECENTRIQ ◊</t>
  </si>
  <si>
    <t xml:space="preserve"> koncentrat za rastvor za infuziju</t>
  </si>
  <si>
    <t>bočica staklena 1 po 20 ml (1200mg/20ml)</t>
  </si>
  <si>
    <t>1.Kao monoterapija za prvu liniju terapije metastatskog nesitnoćelijskog karcinoma pluća kod odraslih pacijenata čiji tumori eksprimiraju PD-L1 sa TPS≥ 50% i koji nisu pozitivni na tumorske mutacije gena EGFR ili ALK, a imaju ECOG status 0-1 (C34). 
2.Prva linija lečenja metastatskog neskvamoznog nesitnoćelijskog karcinoma pluća, u kombinaciji sa bevacizumabom, paklitakselom i karboplatinom, kod odraslih čiji tumori nisu pozitivni na mutacije gena EGFR ili ALK  i sa vrednostima PD-L1 ekspresije od 1-49% (PS 0 ili 1) (C34).
3.Kao monoterapija za lečenje lokalno uznapredovalog ili metastatskog nesitnoćelijskog karcinoma pluća kod odraslih pacijenata koji su prethodno primili hemioterapije. Potrebno je da su pacijenti sa EGFR aktivirajućim mutacijama ili ALK pozitivnim tumorskim mutacijama takođe primali ciljanu terapiju pre nego što prime lek Tecentriq (C34).
4.Terapija odraslih pacijenata  sa uznapredovalim ili neresektabilnim hepatocelularnim karcinomom (hepatocellular carcinoma, HCC) koji prethodno nisu primali sistemsku terapiju, u kombinaciji sa lekom bevacizumab (C22.0).</t>
  </si>
  <si>
    <t>Za indikaciju pod tačkom 1, 2. i 3. 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2. i 3.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
Za indikaciju pod tačkom 4. odobrava se primena terapije za 2 meseca, nakon čega se sprovodi provera efikasnosti terapije.
Za indikaciju pod tačkom 4.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</si>
  <si>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L01EC01</t>
  </si>
  <si>
    <t xml:space="preserve"> F.Hoffmann-La Roche LTD</t>
  </si>
  <si>
    <t xml:space="preserve"> Švajcarska</t>
  </si>
  <si>
    <t>Novartis Pharma GmbH, Lek Pharmaceuticals d.d., Glaxo Wellcome S.A.</t>
  </si>
  <si>
    <t>Nemačka; Slovenija; Španija</t>
  </si>
  <si>
    <t>1.Sistemsko lečenje pacijenata sa uznapredovalim i/ili metastatskim BRAF pozitivnim melanomom kože PS 0-1(C43)
2.Adjuvatno lečenje pacijenata sa melanomom stadijuma III sa BRAF V600 mutacijom, nakon potpune resekcije, u kombinaciji sa trametinibom (C43)</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</si>
  <si>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i 2.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</si>
  <si>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Novartis Pharma GmbH; Lek Pharmaceuticals d.d.</t>
  </si>
  <si>
    <t>1. U kombinaciji sa Tafinlarom, u sistemskom lečenju pacijenata sa uznapredovalim i/ili metastatskim BRAF pozitivnim melanomom kože PS 0-1 (C43).
2. Adjuvatno lečenje pacijenata sa melanomom stadijuma III sa BRAF V600 mutacijom, nakon potpune resekcije, u kombinaciji sa dabrafenibom (C43).</t>
  </si>
  <si>
    <t>L01EB04</t>
  </si>
  <si>
    <t xml:space="preserve">
1. Lečenje odraslih pacijenata sa lokalno uznapredovalim ili metastatskim nemikrocelularnim karcinomom pluća koji je pozitivan na mutaciju receptora epidermalog faktora rasta (EGFR) T790M, posle progresije na terapiju inhibitorima tirozin-kinaze (TKI) (C34).
2. Kao monoterapija u prvoj liniji lečenja odraslih pacijenata sa lokalno uznapredovalim ili metastatskim nemikrocelularnim karcinomom pluća sa aktivirajućim mutacijama receptora epidermalnog faktora rasta (EGFR) (C34).
3. Kao monoterapija u adjuvantnom lečenju nakon kompletne resekcije tumora kod odraslih pacijenata sa nemikrocelularnim karcinomom pluća stadijuma IB-IIIA čiji tumori imaju mutacije receptora epidermalnog faktora rasta (EGFR) delecije eksona 19 ili supstituciju eksona 21 (L858R) (C34).</t>
  </si>
  <si>
    <t>1039670</t>
  </si>
  <si>
    <t>blister deljiv na pojedinačne doze, 30 po 40 mg</t>
  </si>
  <si>
    <t>L01EE02</t>
  </si>
  <si>
    <t>L01XK04</t>
  </si>
  <si>
    <t>talazoparib</t>
  </si>
  <si>
    <t>TALZENNA ◊</t>
  </si>
  <si>
    <t>bočica plastična, 30 po 0,25 mg</t>
  </si>
  <si>
    <t>Excella GmbH &amp; Co. KG</t>
  </si>
  <si>
    <t>Kao monoterapija za lečenje lokalno uznapredovalog ili metastatskog HER2- negativnog karcinoma dojke kod odraslih pacijenata sa germinativnim mutacijama BRCA1/2 gena. Pacijenti bi trebalo da su prethodno lečeni antraciklinima i/ili taksanima u (neo) adjuvantnom, lokalno uznapredovalom ili metastatskom okruženju, osim ukoliko pacijenti nisu pogodni za ove vrste terapija. Pacijenti sa karcinomom dojke pozitivnim na hormonski receptor (HR) trebalo bi da su prethodno lečeni endokrinom terapijom ili da su smatrani nepogodnim za primenu endokrine terapije (C50)</t>
  </si>
  <si>
    <t xml:space="preserve">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t>
  </si>
  <si>
    <t>1039993</t>
  </si>
  <si>
    <t>bočica plastična, 30 po 1 mg</t>
  </si>
  <si>
    <t xml:space="preserve"> Lek Lynparza je indikovan kao: 
1. Monoterapija za terapiju održavanja kod odraslih pacijentkinja sa novodijagnostikovanim uznapredovalim (FIGO stadijum III i IV) ili relapsirajućim pozitivnim na BRCA mutacije (germinativne i/ili somatske) epitelijalnim karcinomom jajnika visokog stepena nediferenciranosti, karcinomom jajovoda ili primarnim peritonealnim karcinomom, osetljivim na platinu; potrebno je da su pacijentkinje postigle odgovor (potpun ili delimičan) nakon završetka prve linije hemioterapije zasnovane na platini kod novodijagnostikovanih ili odgovor (potpun ili delimičan) na neku od narednih linija hemioterapije zasnovane na platini kod pacijentkinja sa rekurentnom bolešću (C56;C57;C48).
2. Monoterapija ili u kombinaciji sa endokrinom terapijom za adjuvantno lečenje odraslih pacijenata sa germinativnim BRCA1/2- mutacijama koji imaju HER2 negativan, visokorizični karcinom dojke i koji su prethodno bili lečeni neoadjuvantnom ili adjuvantnom hemioterapijom (C50).
3. Monoterapija za lečenje odraslih pacijenata sa germinativnim BRCA1/2- mutacijama, koje imaju HER2 negativan lokalno uznapredovali ili metastatski karcinom dojke. Pacijenti bi trebalo da su prethodno primali terapiju antraciklinom i taksanom u sklopu (neo)adjuvantne ili terapije za metastatsku bolest, osim ukoliko pacijenti nisu bili pogodni za primanje ovih vrsta terapije.
Pacijenti sa karcinomom dojke pozitivnim na hormonski receptor (HR) treba takođe da su progredirali tokom ili nakon prethodne endokrine terapije, ili da se smatraju nepogodnim za endokrinu terapiju (C50).</t>
  </si>
  <si>
    <t>Za indikaciju pod tačkom 1.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
Za indikaciju pod tačkom 2. i 3.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</si>
  <si>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0039510</t>
  </si>
  <si>
    <t>L01XY02</t>
  </si>
  <si>
    <t>pertuzumab, trastuzumab</t>
  </si>
  <si>
    <t>PHESGO ◊</t>
  </si>
  <si>
    <t>bočica staklena, 1 po 15 ml (1200 mg + 600 mg)</t>
  </si>
  <si>
    <t>Karcinom dojke (C50):
1. Metastatski HER2- pozitivni rak dojke- PS 0 ili 1, prva terapijska linija za metastatsku bolest, u kombinaciji sa docetakselom (6-8 ciklusa), a potom u odsustvu progresije bolesti, nastaviti sa pertuzumabom u kombinaciji sa  trastuzumabom ili sa fiksnom kombinacijom navedena dva leka (pertuzumab, trastuzumab) do progresije bolesti.
2. Neoadjuvantno lečenje tokom 4 ciklusa u kombinaciji sa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3. Rani stadijum HER2 pozitivnog karcinoma dojke sa visokim rizikom od relapsa definisanim kao karcinom dojke sa pozitivnim limfnim čvorovima, u kombinaciji sa hemioterapijom, bez obzira na vrstu inicijalnog lečenja (inicijalno hiruško lečenje ili neoadjuvantna terapija praćena hiruškim lečenjem), u trajanju do ukupno godinu dana od prve aplikacije anti-HER2 terapije.</t>
  </si>
  <si>
    <t>0039511</t>
  </si>
  <si>
    <t>bočica staklena, 1 po 10 ml (600 mg + 600 mg)</t>
  </si>
  <si>
    <t>Karcinom dojke (C50): 
1. Metastatski HER2- pozitivni rak dojke- PS 0 ili 1, prva terapijska linija za metastatsku bolest, u kombinaciji sa docetakselom (6-8 ciklusa), a potom u odsustvu progresije bolesti, nastaviti sa pertuzumabom u kombinaciji sa  trastuzumabom ili sa fiksnom kombinacijom navedena dva leka (pertuzumab, trastuzumab) do progresije bolesti.
2. Neoadjuvantno lečenje tokom 4 ciklusa u kombinaciji sa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3. Rani stadijum HER2 pozitivnog karcinoma dojke sa visokim rizikom od relapsa definisanim kao karcinom dojke sa pozitivnim limfnim čvorovima, u kombinaciji sa hemioterapijom, bez obzira na vrstu inicijalnog lečenja (inicijalno hiruško lečenje ili neoadjuvantna terapija praćena hiruškim lečenjem), u trajanju do ukupno godinu dana od prve aplikacije anti-HER2 terapije.</t>
  </si>
  <si>
    <t>1039610</t>
  </si>
  <si>
    <t>L02BB05</t>
  </si>
  <si>
    <t>apalutamid</t>
  </si>
  <si>
    <t>ERLEADA ◊</t>
  </si>
  <si>
    <t>blister, 120 po 60 mg</t>
  </si>
  <si>
    <t>Janssen Cilag S.P.A.</t>
  </si>
  <si>
    <t>0.24 g</t>
  </si>
  <si>
    <t>Lečenje metastatskog hormon zavisnog karcinoma prostate (mHSPC) u kombinaciji sa androgen deprivacionom terapijom (ADT) kod odraslih muškaraca (C61).</t>
  </si>
  <si>
    <t>Opella Healthcare International SAS</t>
  </si>
  <si>
    <t>0014020</t>
  </si>
  <si>
    <t>napunjen injekcioni špric, 1 po 0.68mL (108mg/0.68mL)</t>
  </si>
  <si>
    <t>5.4mg</t>
  </si>
  <si>
    <t>1. Za lečenje teškog oblika aktivne Crohn-ove bolesti (K50), kod pacijenata kod kojih prethodno lečenje kortikosteroidima i/ili nutritivnom terapijom, i imunosupresivima nije dalo zadovoljavajući odgovor, ili postoji kontraindikacija za pomenutu konvencionalnu terapiju.
2. Teški i vrlo teški oblik aktivnog ulceroznog kolitisa (K51), kod pacijenata koji su imali neadekvatan odgovor na konvencionalnu terapiju uključujući kortikosteroide i imunomodulatore (6-merkaptopurin ili azatioprin), odnosno koji ne podnose ili imaju medicinske kontraindikacije za takvu terapiju.</t>
  </si>
  <si>
    <t xml:space="preserve">
 Lek se uvodi u terapiju na osnovu mišljenja Komisije RFZO.</t>
  </si>
  <si>
    <t>0014021</t>
  </si>
  <si>
    <t>napunjen injekcioni špric, 2 po 0.68mL (108mg/0.68mL)</t>
  </si>
  <si>
    <t>0014022</t>
  </si>
  <si>
    <t>napunjen injekcioni pen, 1 po 0.68mL (108mg/0.68mL)</t>
  </si>
  <si>
    <t>0014023</t>
  </si>
  <si>
    <t>napunjen injekcioni pen, 2 po 0.68mL (108mg/0.68mL)</t>
  </si>
  <si>
    <t xml:space="preserve">
Lek se uvodi u terapiju na osnovu mišljenja Komisije RFZO.</t>
  </si>
  <si>
    <t>Genzyme Ireland Limited</t>
  </si>
  <si>
    <t xml:space="preserve"> Irska</t>
  </si>
  <si>
    <t>L04AA44</t>
  </si>
  <si>
    <t>upadacitinib</t>
  </si>
  <si>
    <t>RINVOQ</t>
  </si>
  <si>
    <t>tableta sa produženim oslobađanjem</t>
  </si>
  <si>
    <t>blister, 28 po 15 mg</t>
  </si>
  <si>
    <t>Abbvie S.R.L.; Abbvie Logistics B.V.</t>
  </si>
  <si>
    <t>Italija; Holandija</t>
  </si>
  <si>
    <t>15 mg</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</si>
  <si>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</si>
  <si>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L04AA50</t>
  </si>
  <si>
    <t>ponesimod</t>
  </si>
  <si>
    <t>PONVORY</t>
  </si>
  <si>
    <t xml:space="preserve">blister, 2mg; 3mg; 4mg; 5mg; 6mg; 7mg; 8mg; 9mg; 10mg, ukupno 14 kom, 1 x 6 kom + 1 x 3 kom + 1 x 5 kom </t>
  </si>
  <si>
    <t>Janssen Pharmaceutica N.V</t>
  </si>
  <si>
    <t>0039039</t>
  </si>
  <si>
    <t>L04AA52</t>
  </si>
  <si>
    <t>ofatumumab</t>
  </si>
  <si>
    <t>KESIMPTA</t>
  </si>
  <si>
    <t>napunjeni injekcioni pen, 1 po 0,4 ml (20 mg)</t>
  </si>
  <si>
    <t xml:space="preserve">Novartis Pharma Stein AG Technical Operations Schweiz, Stein Steriles </t>
  </si>
  <si>
    <t xml:space="preserve"> Lek se uvodi u terapiju na osnovu mišljenja Komisije RFZO</t>
  </si>
  <si>
    <t>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t>
  </si>
  <si>
    <t>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
3. Za lečenje teškog oblika aktivne Crohn-ove bolesti (K50), kod pacijenata kod kojih prethodno lečenje kortikosteroidima i/ili nutritivnom terapijom, i imunosupresivima nije dalo zadovoljavajući odgovor ili postoji kontraindikacija za pomenutu konvencionalnu terapiju
4.  Teški i vrlo teški oblik aktivnog ulceroznog kolitisa (K51), kod pacijenata koji su imali neadekvatan odgovor na konvencionalnu terapiju uključujući kortikosteroide i imunomodulatore (6-merkaptopurin ili azatioprin), odnosno koji ne podnose ili imaju medicinske kontraindikacije za takvu terapiju.</t>
  </si>
  <si>
    <t>0014301</t>
  </si>
  <si>
    <t>bočica staklena, 1 po 26 ml (130 mg/26 ml)</t>
  </si>
  <si>
    <t>Janssen Biologics B.V.; Cilag A.G.</t>
  </si>
  <si>
    <t>0,54mg</t>
  </si>
  <si>
    <t xml:space="preserve">
1. Za lečenje teškog oblika aktivne Crohn-ove bolesti (K50), kod pacijenata kod kojih prethodno lečenje kortikosteroidima i/ili nutritivnom terapijom, i imunosupresivima nije dalo zadovoljavajući odgovor ili postoji kontraindikacija za pomenutu konvencionalnu terapiju
2.  Teški i vrlo teški oblik aktivnog ulceroznog kolitisa (K51), kod pacijenata koji su imali neadekvatan odgovor na konvencionalnu terapiju uključujući kortikosteroide i imunomodulatore (6-merkaptopurin ili azatioprin), odnosno koji ne podnose ili imaju medicinske kontraindikacije za takvu terapiju.</t>
  </si>
  <si>
    <t xml:space="preserve"> 
STAC;
Lek se uvodi u terapiju na osnovu mišljenja Komisije RFZO.     </t>
  </si>
  <si>
    <t>Novartis Pharma Stein AG Technical Operations Schweiz, Stein Steriles;
Sandoz GmbH-Betriebsstatte Manufacturing Site Aseptics Drug Product Schaftenau (Asceptic DPS)</t>
  </si>
  <si>
    <t>Švajcarska;
Austrija</t>
  </si>
  <si>
    <t>Novartis Pharma Stein AG;
Sandoz GmbH</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</si>
  <si>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4. Teška forma hronične plak psorijaze (PASI (Psoriais Area and Severity Index) ≥ 10 i/ili BSA (Body Surface Area) ≥ 10 i/ili indeks kvaliteta života DLQI ≥ 10) kod dece uzrasta 6 i više godina, koji nisu odgovorili, ili ne podnose, ili imaju kontraindikacije na najmanje dva različita ranije primenjena konvencionalna leka, uključujući fototerapiju, retinoide, metotreksat i ciklosporin (L40.0-L40.3; L40.5-L40.9).</t>
  </si>
  <si>
    <t>0014422</t>
  </si>
  <si>
    <t>L04AC13</t>
  </si>
  <si>
    <t>iksekizumab</t>
  </si>
  <si>
    <t>TALTZ</t>
  </si>
  <si>
    <t>napunjeni injekcioni pen, 1 po 1mL (80mg)</t>
  </si>
  <si>
    <t>Eli Lilly Italia S.P.A.;
Eli Lilly and Company</t>
  </si>
  <si>
    <t>Italija;
SAD</t>
  </si>
  <si>
    <t>2.9 mg</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</si>
  <si>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</si>
  <si>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0014430</t>
  </si>
  <si>
    <t>L04AC16</t>
  </si>
  <si>
    <t>guselkumab</t>
  </si>
  <si>
    <t>TREMFYA</t>
  </si>
  <si>
    <t>napunjen injekcioni špric, 1 po 1 ml (100mg/ml)</t>
  </si>
  <si>
    <t xml:space="preserve">Janssen Biologics B.V.;
Cilag A.G. </t>
  </si>
  <si>
    <t>Holandija; 
Švajcarska</t>
  </si>
  <si>
    <t>1,79 mg</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</si>
  <si>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</si>
  <si>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0014431</t>
  </si>
  <si>
    <t>L04AC18</t>
  </si>
  <si>
    <t>risankizumab</t>
  </si>
  <si>
    <t>SKYRIZI</t>
  </si>
  <si>
    <t>napunjen injekcioni špric, 2 po 0,83 ml (75mg/0,83ml)</t>
  </si>
  <si>
    <t>Abbvie S.R.L.</t>
  </si>
  <si>
    <t>1,67 mg</t>
  </si>
  <si>
    <t>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</si>
  <si>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Swords Laboratories Unlimited Company T/A Bristol-Myers Squibb Cruiserath, Biologics</t>
  </si>
  <si>
    <t>ukupno 28 kom, 20 mg; blister, 2 x 14 kom</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</si>
</sst>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 numFmtId="207" formatCode="[$-241A]dddd\,\ dd\.\ mmmm\ yyyy\."/>
  </numFmts>
  <fonts count="65">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sz val="8"/>
      <name val="Calibri"/>
      <family val="2"/>
    </font>
    <font>
      <b/>
      <sz val="8"/>
      <color indexed="8"/>
      <name val="Arial"/>
      <family val="2"/>
    </font>
    <font>
      <sz val="8"/>
      <color indexed="8"/>
      <name val="Arial"/>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color indexed="63"/>
      <name val="Arial"/>
      <family val="2"/>
    </font>
    <font>
      <sz val="8"/>
      <name val="Segoe U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
      <sz val="8"/>
      <color rgb="FF1B1B1B"/>
      <name val="Arial"/>
      <family val="2"/>
    </font>
    <font>
      <sz val="8"/>
      <color theme="1"/>
      <name val="Arial"/>
      <family val="2"/>
    </font>
    <font>
      <sz val="8"/>
      <color rgb="FF333333"/>
      <name val="Arial"/>
      <family val="2"/>
    </font>
  </fonts>
  <fills count="10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CE6F1"/>
        <bgColor indexed="64"/>
      </patternFill>
    </fill>
    <fill>
      <patternFill patternType="solid">
        <fgColor rgb="FFDBE5F1"/>
        <bgColor indexed="64"/>
      </patternFill>
    </fill>
    <fill>
      <patternFill patternType="solid">
        <fgColor rgb="FFFF99CC"/>
        <bgColor indexed="64"/>
      </patternFill>
    </fill>
    <fill>
      <patternFill patternType="solid">
        <fgColor rgb="FFF2DCDB"/>
        <bgColor indexed="64"/>
      </patternFill>
    </fill>
    <fill>
      <patternFill patternType="solid">
        <fgColor rgb="FFF2DDDC"/>
        <bgColor indexed="64"/>
      </patternFill>
    </fill>
    <fill>
      <patternFill patternType="solid">
        <fgColor rgb="FFCCFFCC"/>
        <bgColor indexed="64"/>
      </patternFill>
    </fill>
    <fill>
      <patternFill patternType="solid">
        <fgColor rgb="FFEBF1DE"/>
        <bgColor indexed="64"/>
      </patternFill>
    </fill>
    <fill>
      <patternFill patternType="solid">
        <fgColor rgb="FFEAF1DD"/>
        <bgColor indexed="64"/>
      </patternFill>
    </fill>
    <fill>
      <patternFill patternType="solid">
        <fgColor rgb="FFCC99FF"/>
        <bgColor indexed="64"/>
      </patternFill>
    </fill>
    <fill>
      <patternFill patternType="solid">
        <fgColor rgb="FFE4DFEC"/>
        <bgColor indexed="64"/>
      </patternFill>
    </fill>
    <fill>
      <patternFill patternType="solid">
        <fgColor rgb="FFE5E0EC"/>
        <bgColor indexed="64"/>
      </patternFill>
    </fill>
    <fill>
      <patternFill patternType="solid">
        <fgColor rgb="FFDBEEF3"/>
        <bgColor indexed="64"/>
      </patternFill>
    </fill>
    <fill>
      <patternFill patternType="solid">
        <fgColor rgb="FFDA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E6B8B7"/>
        <bgColor indexed="64"/>
      </patternFill>
    </fill>
    <fill>
      <patternFill patternType="solid">
        <fgColor rgb="FF00FF00"/>
        <bgColor indexed="64"/>
      </patternFill>
    </fill>
    <fill>
      <patternFill patternType="solid">
        <fgColor rgb="FFD8E4BC"/>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B7DE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DA9694"/>
        <bgColor indexed="64"/>
      </patternFill>
    </fill>
    <fill>
      <patternFill patternType="solid">
        <fgColor rgb="FFC4D79B"/>
        <bgColor indexed="64"/>
      </patternFill>
    </fill>
    <fill>
      <patternFill patternType="solid">
        <fgColor rgb="FFC2D69A"/>
        <bgColor indexed="64"/>
      </patternFill>
    </fill>
    <fill>
      <patternFill patternType="solid">
        <fgColor rgb="FF800080"/>
        <bgColor indexed="64"/>
      </patternFill>
    </fill>
    <fill>
      <patternFill patternType="solid">
        <fgColor rgb="FFB1A0C7"/>
        <bgColor indexed="64"/>
      </patternFill>
    </fill>
    <fill>
      <patternFill patternType="solid">
        <fgColor rgb="FFB2A1C7"/>
        <bgColor indexed="64"/>
      </patternFill>
    </fill>
    <fill>
      <patternFill patternType="solid">
        <fgColor rgb="FF93CDDD"/>
        <bgColor indexed="64"/>
      </patternFill>
    </fill>
    <fill>
      <patternFill patternType="solid">
        <fgColor rgb="FF92CDDC"/>
        <bgColor indexed="64"/>
      </patternFill>
    </fill>
    <fill>
      <patternFill patternType="solid">
        <fgColor rgb="FFFF9900"/>
        <bgColor indexed="64"/>
      </patternFill>
    </fill>
    <fill>
      <patternFill patternType="solid">
        <fgColor rgb="FFFABF8F"/>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6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7"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1"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3"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7"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42" borderId="0" applyNumberFormat="0" applyBorder="0" applyAlignment="0" applyProtection="0"/>
    <xf numFmtId="0" fontId="33" fillId="6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33" fillId="69" borderId="0" applyNumberFormat="0" applyBorder="0" applyAlignment="0" applyProtection="0"/>
    <xf numFmtId="0" fontId="33" fillId="71"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2" fillId="76" borderId="0" applyNumberFormat="0" applyBorder="0" applyAlignment="0" applyProtection="0"/>
    <xf numFmtId="0" fontId="32" fillId="76"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2" fillId="79" borderId="0" applyNumberFormat="0" applyBorder="0" applyAlignment="0" applyProtection="0"/>
    <xf numFmtId="0" fontId="32" fillId="79"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2" fillId="80" borderId="0" applyNumberFormat="0" applyBorder="0" applyAlignment="0" applyProtection="0"/>
    <xf numFmtId="0" fontId="32" fillId="80"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4" fillId="82" borderId="0" applyNumberFormat="0" applyBorder="0" applyAlignment="0" applyProtection="0"/>
    <xf numFmtId="0" fontId="34" fillId="8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5" fillId="83" borderId="1" applyNumberFormat="0" applyAlignment="0" applyProtection="0"/>
    <xf numFmtId="0" fontId="35" fillId="83" borderId="1" applyNumberFormat="0" applyAlignment="0" applyProtection="0"/>
    <xf numFmtId="0" fontId="35" fillId="83" borderId="1" applyNumberFormat="0" applyAlignment="0" applyProtection="0"/>
    <xf numFmtId="0" fontId="35" fillId="83" borderId="1" applyNumberFormat="0" applyAlignment="0" applyProtection="0"/>
    <xf numFmtId="0" fontId="35" fillId="83" borderId="1" applyNumberFormat="0" applyAlignment="0" applyProtection="0"/>
    <xf numFmtId="0" fontId="35" fillId="84" borderId="1" applyNumberFormat="0" applyAlignment="0" applyProtection="0"/>
    <xf numFmtId="0" fontId="35" fillId="84" borderId="1"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7" fillId="86" borderId="4" applyNumberFormat="0" applyAlignment="0" applyProtection="0"/>
    <xf numFmtId="0" fontId="37" fillId="86" borderId="4" applyNumberFormat="0" applyAlignment="0" applyProtection="0"/>
    <xf numFmtId="0" fontId="37" fillId="86" borderId="4" applyNumberFormat="0" applyAlignment="0" applyProtection="0"/>
    <xf numFmtId="0" fontId="37" fillId="86" borderId="4" applyNumberFormat="0" applyAlignment="0" applyProtection="0"/>
    <xf numFmtId="0" fontId="37" fillId="86" borderId="4" applyNumberFormat="0" applyAlignment="0" applyProtection="0"/>
    <xf numFmtId="0" fontId="38" fillId="87" borderId="4" applyNumberFormat="0" applyAlignment="0" applyProtection="0"/>
    <xf numFmtId="0" fontId="38" fillId="87" borderId="4"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33" fillId="89" borderId="0" applyNumberFormat="0" applyBorder="0" applyAlignment="0" applyProtection="0"/>
    <xf numFmtId="0" fontId="33" fillId="89" borderId="0" applyNumberFormat="0" applyBorder="0" applyAlignment="0" applyProtection="0"/>
    <xf numFmtId="0" fontId="33" fillId="89" borderId="0" applyNumberFormat="0" applyBorder="0" applyAlignment="0" applyProtection="0"/>
    <xf numFmtId="0" fontId="33" fillId="89" borderId="0" applyNumberFormat="0" applyBorder="0" applyAlignment="0" applyProtection="0"/>
    <xf numFmtId="0" fontId="33" fillId="89"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4" borderId="0" applyNumberFormat="0" applyBorder="0" applyAlignment="0" applyProtection="0"/>
    <xf numFmtId="0" fontId="33" fillId="94" borderId="0" applyNumberFormat="0" applyBorder="0" applyAlignment="0" applyProtection="0"/>
    <xf numFmtId="0" fontId="33" fillId="94" borderId="0" applyNumberFormat="0" applyBorder="0" applyAlignment="0" applyProtection="0"/>
    <xf numFmtId="0" fontId="33" fillId="94" borderId="0" applyNumberFormat="0" applyBorder="0" applyAlignment="0" applyProtection="0"/>
    <xf numFmtId="0" fontId="33" fillId="9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41" fillId="95" borderId="0" applyNumberFormat="0" applyBorder="0" applyAlignment="0" applyProtection="0"/>
    <xf numFmtId="0" fontId="41" fillId="9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2" fillId="0" borderId="6" applyNumberFormat="0" applyFill="0" applyAlignment="0" applyProtection="0"/>
    <xf numFmtId="0" fontId="42"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2" fillId="0" borderId="6" applyNumberFormat="0" applyFill="0" applyAlignment="0" applyProtection="0"/>
    <xf numFmtId="0" fontId="9" fillId="0" borderId="7" applyNumberFormat="0" applyFill="0" applyAlignment="0" applyProtection="0"/>
    <xf numFmtId="0" fontId="42"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2"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5" fillId="0" borderId="0" applyNumberFormat="0" applyFill="0" applyBorder="0" applyAlignment="0" applyProtection="0"/>
    <xf numFmtId="0" fontId="46" fillId="96" borderId="1" applyNumberFormat="0" applyAlignment="0" applyProtection="0"/>
    <xf numFmtId="0" fontId="46"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6" fillId="97" borderId="1" applyNumberFormat="0" applyAlignment="0" applyProtection="0"/>
    <xf numFmtId="0" fontId="46" fillId="97" borderId="1" applyNumberFormat="0" applyAlignment="0" applyProtection="0"/>
    <xf numFmtId="0" fontId="12" fillId="13" borderId="2" applyNumberFormat="0" applyAlignment="0" applyProtection="0"/>
    <xf numFmtId="0" fontId="46"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6" fillId="96"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6" fillId="97" borderId="1" applyNumberFormat="0" applyAlignment="0" applyProtection="0"/>
    <xf numFmtId="0" fontId="36" fillId="0" borderId="3" applyNumberFormat="0" applyFill="0" applyAlignment="0" applyProtection="0"/>
    <xf numFmtId="0" fontId="36"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0" fontId="47" fillId="98" borderId="0" applyNumberFormat="0" applyBorder="0" applyAlignment="0" applyProtection="0"/>
    <xf numFmtId="0" fontId="47" fillId="98"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8"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48" fillId="0" borderId="0">
      <alignment/>
      <protection/>
    </xf>
    <xf numFmtId="0" fontId="31"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1" fillId="0" borderId="0">
      <alignment/>
      <protection/>
    </xf>
    <xf numFmtId="0" fontId="20" fillId="0" borderId="0">
      <alignment/>
      <protection/>
    </xf>
    <xf numFmtId="0" fontId="2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2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31"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49"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49" fillId="0" borderId="0">
      <alignment/>
      <protection/>
    </xf>
    <xf numFmtId="0" fontId="49"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49" fillId="0" borderId="0">
      <alignment/>
      <protection/>
    </xf>
    <xf numFmtId="0" fontId="31" fillId="0" borderId="0">
      <alignment/>
      <protection/>
    </xf>
    <xf numFmtId="0" fontId="0" fillId="0" borderId="0">
      <alignment/>
      <protection/>
    </xf>
    <xf numFmtId="0" fontId="0" fillId="0" borderId="0">
      <alignment/>
      <protection/>
    </xf>
    <xf numFmtId="0" fontId="49"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49"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1" fillId="0" borderId="0" applyNumberFormat="0" applyBorder="0" applyProtection="0">
      <alignment/>
    </xf>
    <xf numFmtId="0" fontId="31" fillId="0" borderId="0">
      <alignment/>
      <protection/>
    </xf>
    <xf numFmtId="0" fontId="31" fillId="0" borderId="0">
      <alignment/>
      <protection/>
    </xf>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0"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1"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52" fillId="84" borderId="15" applyNumberFormat="0" applyAlignment="0" applyProtection="0"/>
    <xf numFmtId="0" fontId="52"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52" fillId="83" borderId="15" applyNumberFormat="0" applyAlignment="0" applyProtection="0"/>
    <xf numFmtId="0" fontId="52" fillId="83" borderId="15" applyNumberFormat="0" applyAlignment="0" applyProtection="0"/>
    <xf numFmtId="0" fontId="15" fillId="85" borderId="16" applyNumberFormat="0" applyAlignment="0" applyProtection="0"/>
    <xf numFmtId="0" fontId="52"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52" fillId="84"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52" fillId="83"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9"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0" fillId="0" borderId="21" applyNumberFormat="0" applyFill="0" applyAlignment="0" applyProtection="0"/>
    <xf numFmtId="0" fontId="60" fillId="0" borderId="2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34" fillId="104" borderId="0" applyNumberFormat="0" applyBorder="0" applyAlignment="0" applyProtection="0"/>
    <xf numFmtId="0" fontId="34" fillId="104" borderId="0" applyNumberFormat="0" applyBorder="0" applyAlignment="0" applyProtection="0"/>
    <xf numFmtId="0" fontId="34" fillId="104" borderId="0" applyNumberFormat="0" applyBorder="0" applyAlignment="0" applyProtection="0"/>
    <xf numFmtId="0" fontId="34" fillId="104" borderId="0" applyNumberFormat="0" applyBorder="0" applyAlignment="0" applyProtection="0"/>
    <xf numFmtId="0" fontId="34" fillId="104"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62">
    <xf numFmtId="0" fontId="0" fillId="0" borderId="0" xfId="0" applyAlignment="1">
      <alignment/>
    </xf>
    <xf numFmtId="0" fontId="2" fillId="0" borderId="24" xfId="0"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4" xfId="2170" applyFont="1" applyFill="1" applyBorder="1" applyAlignment="1">
      <alignment horizontal="center"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left" wrapText="1"/>
    </xf>
    <xf numFmtId="0" fontId="19" fillId="0" borderId="24" xfId="0" applyFont="1" applyFill="1" applyBorder="1" applyAlignment="1">
      <alignment horizontal="center" wrapText="1"/>
    </xf>
    <xf numFmtId="4" fontId="19" fillId="0" borderId="24" xfId="0" applyNumberFormat="1" applyFont="1" applyFill="1" applyBorder="1" applyAlignment="1">
      <alignment horizontal="center" wrapText="1"/>
    </xf>
    <xf numFmtId="49" fontId="2" fillId="0" borderId="24" xfId="2177" applyNumberFormat="1" applyFont="1" applyFill="1" applyBorder="1" applyAlignment="1">
      <alignment horizontal="left"/>
      <protection/>
    </xf>
    <xf numFmtId="0" fontId="2" fillId="0" borderId="24" xfId="2177" applyFont="1" applyFill="1" applyBorder="1" applyAlignment="1">
      <alignment horizontal="left"/>
      <protection/>
    </xf>
    <xf numFmtId="0" fontId="2" fillId="0" borderId="24" xfId="2177" applyFont="1" applyFill="1" applyBorder="1" applyAlignment="1">
      <alignment horizontal="left" wrapText="1"/>
      <protection/>
    </xf>
    <xf numFmtId="0" fontId="2" fillId="0" borderId="24" xfId="2177" applyFont="1" applyFill="1" applyBorder="1" applyAlignment="1">
      <alignment horizontal="center" wrapText="1"/>
      <protection/>
    </xf>
    <xf numFmtId="4" fontId="2" fillId="0" borderId="24" xfId="2177" applyNumberFormat="1" applyFont="1" applyFill="1" applyBorder="1" applyAlignment="1">
      <alignment horizontal="center"/>
      <protection/>
    </xf>
    <xf numFmtId="49" fontId="2" fillId="0" borderId="24" xfId="2194" applyNumberFormat="1" applyFont="1" applyFill="1" applyBorder="1" applyAlignment="1">
      <alignment horizontal="left"/>
      <protection/>
    </xf>
    <xf numFmtId="0" fontId="2" fillId="0" borderId="24" xfId="2194" applyFont="1" applyFill="1" applyBorder="1" applyAlignment="1">
      <alignment horizontal="left"/>
      <protection/>
    </xf>
    <xf numFmtId="0" fontId="2" fillId="0" borderId="24" xfId="2194" applyFont="1" applyFill="1" applyBorder="1" applyAlignment="1">
      <alignment horizontal="left" wrapText="1"/>
      <protection/>
    </xf>
    <xf numFmtId="0" fontId="2" fillId="0" borderId="24" xfId="2194" applyFont="1" applyFill="1" applyBorder="1" applyAlignment="1">
      <alignment horizontal="center" wrapText="1"/>
      <protection/>
    </xf>
    <xf numFmtId="0" fontId="2" fillId="0" borderId="24" xfId="2196" applyFont="1" applyFill="1" applyBorder="1" applyAlignment="1">
      <alignment horizontal="left" wrapText="1"/>
      <protection/>
    </xf>
    <xf numFmtId="0" fontId="2" fillId="0" borderId="24" xfId="2196" applyFont="1" applyFill="1" applyBorder="1" applyAlignment="1">
      <alignment horizontal="center" wrapText="1"/>
      <protection/>
    </xf>
    <xf numFmtId="0" fontId="2" fillId="0" borderId="24" xfId="2196" applyFont="1" applyFill="1" applyBorder="1" applyAlignment="1">
      <alignment horizontal="center"/>
      <protection/>
    </xf>
    <xf numFmtId="4" fontId="2" fillId="0" borderId="24" xfId="2196" applyNumberFormat="1" applyFont="1" applyFill="1" applyBorder="1" applyAlignment="1">
      <alignment horizontal="center" wrapText="1"/>
      <protection/>
    </xf>
    <xf numFmtId="4" fontId="2" fillId="0" borderId="24"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4" xfId="0" applyFont="1" applyFill="1" applyBorder="1" applyAlignment="1" applyProtection="1">
      <alignment horizontal="center" wrapText="1"/>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horizontal="left" wrapText="1"/>
    </xf>
    <xf numFmtId="0" fontId="2" fillId="0" borderId="24" xfId="2318" applyFont="1" applyFill="1" applyBorder="1" applyAlignment="1">
      <alignment horizontal="left" wrapText="1"/>
      <protection/>
    </xf>
    <xf numFmtId="4" fontId="2" fillId="0" borderId="24" xfId="2328" applyNumberFormat="1" applyFont="1" applyFill="1" applyBorder="1" applyAlignment="1">
      <alignment horizontal="left" wrapText="1"/>
      <protection/>
    </xf>
    <xf numFmtId="191" fontId="2" fillId="0" borderId="24" xfId="0" applyNumberFormat="1" applyFont="1" applyFill="1" applyBorder="1" applyAlignment="1">
      <alignment horizontal="left" wrapText="1"/>
    </xf>
    <xf numFmtId="2" fontId="19" fillId="0" borderId="25"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center" wrapText="1"/>
    </xf>
    <xf numFmtId="4" fontId="2" fillId="0" borderId="25" xfId="2177" applyNumberFormat="1" applyFont="1" applyFill="1" applyBorder="1" applyAlignment="1">
      <alignment horizontal="center"/>
      <protection/>
    </xf>
    <xf numFmtId="4" fontId="2" fillId="0" borderId="25" xfId="0" applyNumberFormat="1" applyFont="1" applyFill="1" applyBorder="1" applyAlignment="1">
      <alignment horizontal="center" wrapText="1"/>
    </xf>
    <xf numFmtId="0" fontId="2" fillId="0" borderId="0" xfId="0" applyFont="1" applyFill="1" applyBorder="1" applyAlignment="1">
      <alignment/>
    </xf>
    <xf numFmtId="0" fontId="2" fillId="0" borderId="24" xfId="2140" applyFont="1" applyFill="1" applyBorder="1" applyAlignment="1">
      <alignment horizontal="left" wrapText="1"/>
      <protection/>
    </xf>
    <xf numFmtId="0" fontId="2" fillId="0" borderId="0" xfId="0" applyFont="1" applyFill="1" applyBorder="1" applyAlignment="1">
      <alignment/>
    </xf>
    <xf numFmtId="49" fontId="2" fillId="0" borderId="24" xfId="2267" applyNumberFormat="1" applyFont="1" applyFill="1" applyBorder="1" applyAlignment="1">
      <alignment horizontal="left"/>
      <protection/>
    </xf>
    <xf numFmtId="0" fontId="2" fillId="0" borderId="24" xfId="2267" applyFont="1" applyFill="1" applyBorder="1" applyAlignment="1">
      <alignment horizontal="left"/>
      <protection/>
    </xf>
    <xf numFmtId="0" fontId="2" fillId="0" borderId="24" xfId="2267" applyFont="1" applyFill="1" applyBorder="1" applyAlignment="1">
      <alignment horizontal="left" wrapText="1"/>
      <protection/>
    </xf>
    <xf numFmtId="0" fontId="2" fillId="0" borderId="24" xfId="2267" applyFont="1" applyFill="1" applyBorder="1" applyAlignment="1">
      <alignment horizontal="center" wrapText="1"/>
      <protection/>
    </xf>
    <xf numFmtId="4" fontId="2" fillId="0" borderId="24" xfId="2267" applyNumberFormat="1" applyFont="1" applyFill="1" applyBorder="1" applyAlignment="1">
      <alignment horizontal="center"/>
      <protection/>
    </xf>
    <xf numFmtId="0" fontId="2" fillId="0" borderId="24" xfId="2267" applyFont="1" applyFill="1" applyBorder="1" applyAlignment="1">
      <alignment horizontal="center"/>
      <protection/>
    </xf>
    <xf numFmtId="49" fontId="2" fillId="0" borderId="24" xfId="0" applyNumberFormat="1" applyFont="1" applyFill="1" applyBorder="1" applyAlignment="1">
      <alignment horizontal="left"/>
    </xf>
    <xf numFmtId="0" fontId="2" fillId="0" borderId="24" xfId="0" applyFont="1" applyFill="1" applyBorder="1" applyAlignment="1">
      <alignment horizontal="left"/>
    </xf>
    <xf numFmtId="49" fontId="2" fillId="0" borderId="24" xfId="0" applyNumberFormat="1" applyFont="1" applyFill="1" applyBorder="1" applyAlignment="1">
      <alignment horizontal="center" wrapText="1"/>
    </xf>
    <xf numFmtId="4" fontId="2" fillId="0" borderId="24" xfId="2162" applyNumberFormat="1" applyFont="1" applyFill="1" applyBorder="1" applyAlignment="1">
      <alignment horizontal="center"/>
      <protection/>
    </xf>
    <xf numFmtId="2" fontId="2" fillId="0" borderId="25" xfId="2162" applyNumberFormat="1" applyFont="1" applyFill="1" applyBorder="1" applyAlignment="1">
      <alignment horizontal="center" wrapText="1"/>
      <protection/>
    </xf>
    <xf numFmtId="0" fontId="2" fillId="0" borderId="24" xfId="0" applyFont="1" applyFill="1" applyBorder="1" applyAlignment="1">
      <alignment wrapText="1"/>
    </xf>
    <xf numFmtId="0" fontId="2" fillId="0" borderId="24" xfId="0" applyFont="1" applyFill="1" applyBorder="1" applyAlignment="1">
      <alignment/>
    </xf>
    <xf numFmtId="0" fontId="2" fillId="0" borderId="0" xfId="0" applyFont="1" applyFill="1" applyBorder="1" applyAlignment="1">
      <alignment wrapText="1"/>
    </xf>
    <xf numFmtId="0" fontId="2" fillId="0" borderId="24" xfId="0" applyNumberFormat="1" applyFont="1" applyFill="1" applyBorder="1" applyAlignment="1">
      <alignment horizontal="left" wrapText="1"/>
    </xf>
    <xf numFmtId="0" fontId="2" fillId="0" borderId="24" xfId="0" applyFont="1" applyFill="1" applyBorder="1" applyAlignment="1">
      <alignment horizontal="center"/>
    </xf>
    <xf numFmtId="2"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49" fontId="2" fillId="0" borderId="24" xfId="2254" applyNumberFormat="1" applyFont="1" applyFill="1" applyBorder="1" applyAlignment="1">
      <alignment horizontal="left" wrapText="1"/>
      <protection/>
    </xf>
    <xf numFmtId="0" fontId="2" fillId="0" borderId="24" xfId="2254" applyFont="1" applyFill="1" applyBorder="1" applyAlignment="1">
      <alignment horizontal="left" wrapText="1"/>
      <protection/>
    </xf>
    <xf numFmtId="0" fontId="2" fillId="0" borderId="24" xfId="2254" applyFont="1" applyFill="1" applyBorder="1" applyAlignment="1">
      <alignment horizontal="center" wrapText="1"/>
      <protection/>
    </xf>
    <xf numFmtId="0" fontId="2" fillId="0" borderId="24" xfId="2134" applyFont="1" applyFill="1" applyBorder="1" applyAlignment="1">
      <alignment horizontal="left"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4" xfId="2154" applyNumberFormat="1" applyFont="1" applyFill="1" applyBorder="1" applyAlignment="1">
      <alignment horizontal="center" wrapText="1"/>
      <protection/>
    </xf>
    <xf numFmtId="0" fontId="2" fillId="0" borderId="24" xfId="0" applyFont="1" applyFill="1" applyBorder="1" applyAlignment="1">
      <alignment horizontal="center"/>
    </xf>
    <xf numFmtId="4" fontId="2" fillId="0" borderId="24" xfId="0" applyNumberFormat="1" applyFont="1" applyFill="1" applyBorder="1" applyAlignment="1">
      <alignment horizontal="center"/>
    </xf>
    <xf numFmtId="4" fontId="2" fillId="0" borderId="25" xfId="2177" applyNumberFormat="1" applyFont="1" applyFill="1" applyBorder="1" applyAlignment="1">
      <alignment horizontal="center"/>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0" fontId="22" fillId="0" borderId="24" xfId="0" applyFont="1" applyFill="1" applyBorder="1" applyAlignment="1">
      <alignment horizontal="center"/>
    </xf>
    <xf numFmtId="0" fontId="2" fillId="0" borderId="24" xfId="2162" applyFont="1" applyFill="1" applyBorder="1" applyAlignment="1">
      <alignment horizontal="center" wrapText="1"/>
      <protection/>
    </xf>
    <xf numFmtId="4" fontId="2" fillId="0" borderId="24" xfId="2162" applyNumberFormat="1" applyFont="1" applyFill="1" applyBorder="1" applyAlignment="1">
      <alignment horizontal="center"/>
      <protection/>
    </xf>
    <xf numFmtId="4" fontId="2" fillId="0" borderId="24" xfId="0" applyNumberFormat="1" applyFont="1" applyFill="1" applyBorder="1" applyAlignment="1">
      <alignment horizontal="center" wrapText="1"/>
    </xf>
    <xf numFmtId="4" fontId="2" fillId="0" borderId="25" xfId="0" applyNumberFormat="1" applyFont="1" applyFill="1" applyBorder="1" applyAlignment="1">
      <alignment horizontal="center" wrapText="1"/>
    </xf>
    <xf numFmtId="0" fontId="2" fillId="0" borderId="24" xfId="2267" applyFont="1" applyFill="1" applyBorder="1" applyAlignment="1">
      <alignment wrapText="1"/>
      <protection/>
    </xf>
    <xf numFmtId="49" fontId="2" fillId="0" borderId="24" xfId="2140" applyNumberFormat="1" applyFont="1" applyFill="1" applyBorder="1" applyAlignment="1">
      <alignment horizontal="left" wrapText="1"/>
      <protection/>
    </xf>
    <xf numFmtId="0" fontId="2" fillId="0" borderId="24" xfId="2140" applyFont="1" applyFill="1" applyBorder="1" applyAlignment="1">
      <alignment horizontal="left" wrapText="1"/>
      <protection/>
    </xf>
    <xf numFmtId="0" fontId="2" fillId="0" borderId="24" xfId="2140" applyFont="1" applyFill="1" applyBorder="1" applyAlignment="1">
      <alignment horizontal="center" wrapText="1"/>
      <protection/>
    </xf>
    <xf numFmtId="0" fontId="2" fillId="0" borderId="25" xfId="0" applyFont="1" applyFill="1" applyBorder="1" applyAlignment="1">
      <alignment horizontal="center" wrapText="1"/>
    </xf>
    <xf numFmtId="0" fontId="2" fillId="0" borderId="24" xfId="2135" applyFont="1" applyFill="1" applyBorder="1" applyAlignment="1">
      <alignment horizontal="left" wrapText="1"/>
      <protection/>
    </xf>
    <xf numFmtId="0" fontId="2" fillId="0" borderId="24" xfId="2135" applyFont="1" applyFill="1" applyBorder="1" applyAlignment="1">
      <alignment horizontal="left" wrapText="1"/>
      <protection/>
    </xf>
    <xf numFmtId="0" fontId="2" fillId="0" borderId="24" xfId="0" applyFont="1" applyFill="1" applyBorder="1" applyAlignment="1">
      <alignment wrapText="1"/>
    </xf>
    <xf numFmtId="49" fontId="2" fillId="0" borderId="24" xfId="2162" applyNumberFormat="1" applyFont="1" applyFill="1" applyBorder="1" applyAlignment="1">
      <alignment horizontal="left" wrapText="1"/>
      <protection/>
    </xf>
    <xf numFmtId="0" fontId="2" fillId="0" borderId="24" xfId="2162" applyFont="1" applyFill="1" applyBorder="1" applyAlignment="1">
      <alignment horizontal="left" wrapText="1"/>
      <protection/>
    </xf>
    <xf numFmtId="0" fontId="2" fillId="0" borderId="0" xfId="0" applyFont="1" applyFill="1" applyAlignment="1">
      <alignment/>
    </xf>
    <xf numFmtId="0" fontId="2" fillId="0" borderId="26" xfId="0" applyFont="1" applyFill="1" applyBorder="1" applyAlignment="1">
      <alignment horizontal="left" wrapText="1"/>
    </xf>
    <xf numFmtId="49" fontId="2" fillId="0" borderId="24" xfId="2165" applyNumberFormat="1" applyFont="1" applyFill="1" applyBorder="1" applyAlignment="1">
      <alignment horizontal="left" wrapText="1"/>
      <protection/>
    </xf>
    <xf numFmtId="0" fontId="2" fillId="0" borderId="24" xfId="2195" applyFont="1" applyFill="1" applyBorder="1" applyAlignment="1">
      <alignment horizontal="center" wrapText="1"/>
      <protection/>
    </xf>
    <xf numFmtId="0" fontId="2" fillId="0" borderId="24" xfId="2162" applyFont="1" applyFill="1" applyBorder="1" applyAlignment="1">
      <alignment horizontal="center" wrapText="1"/>
      <protection/>
    </xf>
    <xf numFmtId="4"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left" wrapText="1"/>
    </xf>
    <xf numFmtId="4" fontId="2" fillId="0" borderId="24" xfId="2140" applyNumberFormat="1" applyFont="1" applyFill="1" applyBorder="1" applyAlignment="1">
      <alignment horizontal="center"/>
      <protection/>
    </xf>
    <xf numFmtId="0" fontId="2" fillId="0" borderId="24" xfId="2140" applyFont="1" applyFill="1" applyBorder="1" applyAlignment="1">
      <alignment horizontal="center"/>
      <protection/>
    </xf>
    <xf numFmtId="2" fontId="2" fillId="0" borderId="24" xfId="2162" applyNumberFormat="1" applyFont="1" applyFill="1" applyBorder="1" applyAlignment="1">
      <alignment horizontal="center"/>
      <protection/>
    </xf>
    <xf numFmtId="49" fontId="2" fillId="0" borderId="24" xfId="2165" applyNumberFormat="1" applyFont="1" applyFill="1" applyBorder="1" applyAlignment="1">
      <alignment horizontal="center" wrapText="1"/>
      <protection/>
    </xf>
    <xf numFmtId="0" fontId="2" fillId="0" borderId="24" xfId="0" applyFont="1" applyFill="1" applyBorder="1" applyAlignment="1">
      <alignment horizontal="left"/>
    </xf>
    <xf numFmtId="0" fontId="2" fillId="0" borderId="24" xfId="2133" applyFont="1" applyFill="1" applyBorder="1" applyAlignment="1">
      <alignment horizontal="left" wrapText="1"/>
      <protection/>
    </xf>
    <xf numFmtId="49" fontId="2" fillId="0" borderId="24" xfId="0" applyNumberFormat="1" applyFont="1" applyFill="1" applyBorder="1" applyAlignment="1">
      <alignment horizontal="left"/>
    </xf>
    <xf numFmtId="0" fontId="2" fillId="0" borderId="24" xfId="2195" applyFont="1" applyFill="1" applyBorder="1" applyAlignment="1">
      <alignment horizontal="center" wrapText="1"/>
      <protection/>
    </xf>
    <xf numFmtId="0" fontId="2" fillId="0" borderId="24" xfId="2140" applyFont="1" applyFill="1" applyBorder="1" applyAlignment="1">
      <alignment wrapText="1"/>
      <protection/>
    </xf>
    <xf numFmtId="0" fontId="2" fillId="0" borderId="24" xfId="2140" applyFont="1" applyFill="1" applyBorder="1" applyAlignment="1">
      <alignment vertical="center" wrapText="1"/>
      <protection/>
    </xf>
    <xf numFmtId="0" fontId="2" fillId="0" borderId="24" xfId="2133" applyFont="1" applyFill="1" applyBorder="1" applyAlignment="1">
      <alignment horizontal="center" wrapText="1"/>
      <protection/>
    </xf>
    <xf numFmtId="0" fontId="2" fillId="0" borderId="24" xfId="2133" applyFont="1" applyFill="1" applyBorder="1" applyAlignment="1">
      <alignment wrapText="1"/>
      <protection/>
    </xf>
    <xf numFmtId="0" fontId="2" fillId="0" borderId="24" xfId="2135" applyFont="1" applyFill="1" applyBorder="1" applyAlignment="1">
      <alignment wrapText="1"/>
      <protection/>
    </xf>
    <xf numFmtId="0" fontId="2" fillId="0" borderId="24" xfId="2151" applyFont="1" applyFill="1" applyBorder="1" applyAlignment="1">
      <alignment horizontal="left" wrapText="1"/>
      <protection/>
    </xf>
    <xf numFmtId="0" fontId="22" fillId="0" borderId="24" xfId="0" applyFont="1" applyFill="1" applyBorder="1" applyAlignment="1">
      <alignment horizontal="center"/>
    </xf>
    <xf numFmtId="0" fontId="2" fillId="0" borderId="24" xfId="2144" applyFont="1" applyFill="1" applyBorder="1" applyAlignment="1">
      <alignment wrapText="1"/>
      <protection/>
    </xf>
    <xf numFmtId="49" fontId="2" fillId="0" borderId="24" xfId="0" applyNumberFormat="1" applyFont="1" applyFill="1" applyBorder="1" applyAlignment="1">
      <alignment wrapText="1"/>
    </xf>
    <xf numFmtId="0" fontId="2" fillId="0" borderId="24" xfId="2013" applyFont="1" applyFill="1" applyBorder="1" applyAlignment="1" applyProtection="1">
      <alignment horizontal="left" wrapText="1"/>
      <protection/>
    </xf>
    <xf numFmtId="49" fontId="2" fillId="0" borderId="24" xfId="2257" applyNumberFormat="1" applyFont="1" applyFill="1" applyBorder="1" applyAlignment="1">
      <alignment horizontal="left" wrapText="1"/>
      <protection/>
    </xf>
    <xf numFmtId="4" fontId="2" fillId="0" borderId="24" xfId="2162" applyNumberFormat="1" applyFont="1" applyFill="1" applyBorder="1" applyAlignment="1">
      <alignment horizontal="center" wrapText="1"/>
      <protection/>
    </xf>
    <xf numFmtId="2" fontId="2" fillId="0" borderId="24" xfId="0" applyNumberFormat="1" applyFont="1" applyFill="1" applyBorder="1" applyAlignment="1">
      <alignment horizontal="center" wrapText="1"/>
    </xf>
    <xf numFmtId="4" fontId="2" fillId="0" borderId="27" xfId="0" applyNumberFormat="1" applyFont="1" applyFill="1" applyBorder="1" applyAlignment="1">
      <alignment horizontal="center" wrapText="1"/>
    </xf>
    <xf numFmtId="0" fontId="2" fillId="0" borderId="24" xfId="2151" applyFont="1" applyFill="1" applyBorder="1" applyAlignment="1">
      <alignment horizontal="center"/>
      <protection/>
    </xf>
    <xf numFmtId="49" fontId="2" fillId="0" borderId="27" xfId="2144" applyNumberFormat="1" applyFont="1" applyFill="1" applyBorder="1" applyAlignment="1">
      <alignment horizontal="center"/>
      <protection/>
    </xf>
    <xf numFmtId="0" fontId="2" fillId="0" borderId="25" xfId="0" applyFont="1" applyFill="1" applyBorder="1" applyAlignment="1">
      <alignment horizontal="center"/>
    </xf>
    <xf numFmtId="49" fontId="62" fillId="0" borderId="24" xfId="0" applyNumberFormat="1" applyFont="1" applyFill="1" applyBorder="1" applyAlignment="1">
      <alignment horizontal="left" wrapText="1"/>
    </xf>
    <xf numFmtId="0" fontId="63" fillId="0" borderId="24" xfId="0" applyFont="1" applyFill="1" applyBorder="1" applyAlignment="1">
      <alignment horizontal="left" wrapText="1"/>
    </xf>
    <xf numFmtId="4" fontId="23" fillId="0" borderId="24" xfId="2258" applyNumberFormat="1" applyFont="1" applyFill="1" applyBorder="1" applyAlignment="1">
      <alignment horizontal="center" wrapText="1"/>
      <protection/>
    </xf>
    <xf numFmtId="49" fontId="63" fillId="0" borderId="24" xfId="2152" applyNumberFormat="1" applyFont="1" applyFill="1" applyBorder="1" applyAlignment="1">
      <alignment horizontal="left" wrapText="1"/>
      <protection/>
    </xf>
    <xf numFmtId="0" fontId="63" fillId="0" borderId="24" xfId="2152" applyFont="1" applyFill="1" applyBorder="1" applyAlignment="1">
      <alignment horizontal="left" wrapText="1"/>
      <protection/>
    </xf>
    <xf numFmtId="0" fontId="63" fillId="0" borderId="24" xfId="2152" applyFont="1" applyFill="1" applyBorder="1" applyAlignment="1">
      <alignment horizontal="center" wrapText="1"/>
      <protection/>
    </xf>
    <xf numFmtId="0" fontId="2" fillId="0" borderId="24" xfId="2152" applyFont="1" applyFill="1" applyBorder="1" applyAlignment="1">
      <alignment horizontal="center" wrapText="1"/>
      <protection/>
    </xf>
    <xf numFmtId="0" fontId="63" fillId="0" borderId="24" xfId="0" applyFont="1" applyFill="1" applyBorder="1" applyAlignment="1">
      <alignment horizontal="center"/>
    </xf>
    <xf numFmtId="0" fontId="2" fillId="0" borderId="24" xfId="2297" applyFont="1" applyFill="1" applyBorder="1" applyAlignment="1">
      <alignment horizontal="left" wrapText="1"/>
      <protection/>
    </xf>
    <xf numFmtId="4" fontId="2" fillId="0" borderId="24" xfId="2144" applyNumberFormat="1" applyFont="1" applyFill="1" applyBorder="1" applyAlignment="1">
      <alignment horizontal="left" wrapText="1"/>
      <protection/>
    </xf>
    <xf numFmtId="0" fontId="63" fillId="0" borderId="24" xfId="2251" applyFont="1" applyFill="1" applyBorder="1" applyAlignment="1">
      <alignment horizontal="left" wrapText="1"/>
      <protection/>
    </xf>
    <xf numFmtId="0" fontId="63" fillId="0" borderId="24" xfId="2251" applyFont="1" applyFill="1" applyBorder="1" applyAlignment="1">
      <alignment horizontal="center" wrapText="1"/>
      <protection/>
    </xf>
    <xf numFmtId="0" fontId="63" fillId="0" borderId="24" xfId="0" applyFont="1" applyFill="1" applyBorder="1" applyAlignment="1">
      <alignment wrapText="1"/>
    </xf>
    <xf numFmtId="0" fontId="62" fillId="0" borderId="24" xfId="0" applyFont="1" applyFill="1" applyBorder="1" applyAlignment="1">
      <alignment/>
    </xf>
    <xf numFmtId="0" fontId="62" fillId="0" borderId="24" xfId="0" applyFont="1" applyFill="1" applyBorder="1" applyAlignment="1">
      <alignment horizontal="center" wrapText="1"/>
    </xf>
    <xf numFmtId="4" fontId="24" fillId="0" borderId="24" xfId="2165" applyNumberFormat="1" applyFont="1" applyFill="1" applyBorder="1" applyAlignment="1">
      <alignment horizontal="center" wrapText="1"/>
      <protection/>
    </xf>
    <xf numFmtId="0" fontId="63" fillId="0" borderId="24" xfId="0" applyFont="1" applyFill="1" applyBorder="1" applyAlignment="1">
      <alignment/>
    </xf>
    <xf numFmtId="0" fontId="2" fillId="0" borderId="24" xfId="2164" applyFont="1" applyFill="1" applyBorder="1" applyAlignment="1">
      <alignment horizontal="left" wrapText="1"/>
      <protection/>
    </xf>
    <xf numFmtId="0" fontId="2" fillId="0" borderId="24" xfId="2164" applyFont="1" applyFill="1" applyBorder="1" applyAlignment="1">
      <alignment horizontal="center" wrapText="1"/>
      <protection/>
    </xf>
    <xf numFmtId="49" fontId="63" fillId="0" borderId="24" xfId="2253" applyNumberFormat="1" applyFont="1" applyFill="1" applyBorder="1" applyAlignment="1">
      <alignment horizontal="left"/>
      <protection/>
    </xf>
    <xf numFmtId="0" fontId="63" fillId="0" borderId="24" xfId="2253" applyFont="1" applyFill="1" applyBorder="1" applyAlignment="1">
      <alignment horizontal="left" wrapText="1"/>
      <protection/>
    </xf>
    <xf numFmtId="0" fontId="2" fillId="0" borderId="24" xfId="2253" applyFont="1" applyFill="1" applyBorder="1">
      <alignment/>
      <protection/>
    </xf>
    <xf numFmtId="0" fontId="2" fillId="0" borderId="24" xfId="2253" applyFont="1" applyFill="1" applyBorder="1" applyAlignment="1">
      <alignment horizontal="center" wrapText="1"/>
      <protection/>
    </xf>
    <xf numFmtId="49" fontId="2" fillId="0" borderId="24" xfId="2164" applyNumberFormat="1" applyFont="1" applyFill="1" applyBorder="1" applyAlignment="1">
      <alignment horizontal="left" wrapText="1"/>
      <protection/>
    </xf>
    <xf numFmtId="4" fontId="2" fillId="0" borderId="24" xfId="2164" applyNumberFormat="1" applyFont="1" applyFill="1" applyBorder="1" applyAlignment="1">
      <alignment horizontal="center" wrapText="1"/>
      <protection/>
    </xf>
    <xf numFmtId="0" fontId="2" fillId="0" borderId="24" xfId="2270" applyFont="1" applyFill="1" applyBorder="1" applyAlignment="1">
      <alignment horizontal="left" wrapText="1"/>
      <protection/>
    </xf>
    <xf numFmtId="0" fontId="2" fillId="0" borderId="24" xfId="2165" applyFont="1" applyFill="1" applyBorder="1" applyAlignment="1">
      <alignment horizontal="center" wrapText="1"/>
      <protection/>
    </xf>
    <xf numFmtId="4" fontId="2" fillId="0" borderId="24" xfId="2165" applyNumberFormat="1" applyFont="1" applyFill="1" applyBorder="1" applyAlignment="1">
      <alignment horizontal="center" wrapText="1"/>
      <protection/>
    </xf>
    <xf numFmtId="4" fontId="63" fillId="0" borderId="24" xfId="0" applyNumberFormat="1" applyFont="1" applyFill="1" applyBorder="1" applyAlignment="1">
      <alignment horizontal="center" wrapText="1"/>
    </xf>
    <xf numFmtId="49" fontId="64" fillId="0" borderId="24" xfId="2252" applyNumberFormat="1" applyFont="1" applyFill="1" applyBorder="1" applyAlignment="1">
      <alignment horizontal="left" wrapText="1"/>
      <protection/>
    </xf>
    <xf numFmtId="0" fontId="2" fillId="0" borderId="24" xfId="2252" applyFont="1" applyFill="1" applyBorder="1" applyAlignment="1">
      <alignment horizontal="left" wrapText="1"/>
      <protection/>
    </xf>
    <xf numFmtId="0" fontId="2" fillId="0" borderId="24" xfId="2252" applyFont="1" applyFill="1" applyBorder="1" applyAlignment="1">
      <alignment horizontal="center" wrapText="1"/>
      <protection/>
    </xf>
    <xf numFmtId="49" fontId="63" fillId="0" borderId="24" xfId="0" applyNumberFormat="1" applyFont="1" applyFill="1" applyBorder="1" applyAlignment="1">
      <alignment horizontal="left"/>
    </xf>
    <xf numFmtId="0" fontId="63" fillId="0" borderId="24" xfId="0" applyFont="1" applyFill="1" applyBorder="1" applyAlignment="1">
      <alignment horizontal="left"/>
    </xf>
    <xf numFmtId="0" fontId="2" fillId="0" borderId="24" xfId="2139" applyFont="1" applyFill="1" applyBorder="1" applyAlignment="1">
      <alignment horizontal="left" wrapText="1"/>
      <protection/>
    </xf>
    <xf numFmtId="0" fontId="2" fillId="0" borderId="24" xfId="2163" applyFont="1" applyFill="1" applyBorder="1" applyAlignment="1">
      <alignment horizontal="center" wrapText="1"/>
      <protection/>
    </xf>
    <xf numFmtId="0" fontId="2" fillId="0" borderId="24" xfId="2139" applyFont="1" applyFill="1" applyBorder="1" applyAlignment="1">
      <alignment horizontal="center" wrapText="1"/>
      <protection/>
    </xf>
    <xf numFmtId="4" fontId="24" fillId="0" borderId="24" xfId="0" applyNumberFormat="1" applyFont="1" applyFill="1" applyBorder="1" applyAlignment="1">
      <alignment horizontal="center"/>
    </xf>
    <xf numFmtId="0" fontId="63" fillId="0" borderId="24" xfId="0" applyFont="1" applyFill="1" applyBorder="1" applyAlignment="1">
      <alignment horizontal="center" wrapText="1"/>
    </xf>
  </cellXfs>
  <cellStyles count="2675">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18" xfId="33"/>
    <cellStyle name="20% - Accent1 2 2" xfId="34"/>
    <cellStyle name="20% - Accent1 2 2 2" xfId="35"/>
    <cellStyle name="20% - Accent1 2 3" xfId="36"/>
    <cellStyle name="20% - Accent1 2 3 2" xfId="37"/>
    <cellStyle name="20% - Accent1 2 4" xfId="38"/>
    <cellStyle name="20% - Accent1 2 4 2" xfId="39"/>
    <cellStyle name="20% - Accent1 2 5" xfId="40"/>
    <cellStyle name="20% - Accent1 2 5 2" xfId="41"/>
    <cellStyle name="20% - Accent1 2 6" xfId="42"/>
    <cellStyle name="20% - Accent1 2 6 2" xfId="43"/>
    <cellStyle name="20% - Accent1 2 7" xfId="44"/>
    <cellStyle name="20% - Accent1 2 7 2" xfId="45"/>
    <cellStyle name="20% - Accent1 2 8" xfId="46"/>
    <cellStyle name="20% - Accent1 2 8 2" xfId="47"/>
    <cellStyle name="20% - Accent1 2 9" xfId="48"/>
    <cellStyle name="20% - Accent1 2 9 2" xfId="49"/>
    <cellStyle name="20% - Accent1 3 10" xfId="50"/>
    <cellStyle name="20% - Accent1 3 10 2" xfId="51"/>
    <cellStyle name="20% - Accent1 3 11" xfId="52"/>
    <cellStyle name="20% - Accent1 3 11 2" xfId="53"/>
    <cellStyle name="20% - Accent1 3 12" xfId="54"/>
    <cellStyle name="20% - Accent1 3 12 2" xfId="55"/>
    <cellStyle name="20% - Accent1 3 13" xfId="56"/>
    <cellStyle name="20% - Accent1 3 13 2" xfId="57"/>
    <cellStyle name="20% - Accent1 3 14" xfId="58"/>
    <cellStyle name="20% - Accent1 3 14 2" xfId="59"/>
    <cellStyle name="20% - Accent1 3 15" xfId="60"/>
    <cellStyle name="20% - Accent1 3 15 2" xfId="61"/>
    <cellStyle name="20% - Accent1 3 16" xfId="62"/>
    <cellStyle name="20% - Accent1 3 16 2" xfId="63"/>
    <cellStyle name="20% - Accent1 3 17" xfId="64"/>
    <cellStyle name="20% - Accent1 3 17 2" xfId="65"/>
    <cellStyle name="20% - Accent1 3 2" xfId="66"/>
    <cellStyle name="20% - Accent1 3 2 2" xfId="67"/>
    <cellStyle name="20% - Accent1 3 3" xfId="68"/>
    <cellStyle name="20% - Accent1 3 3 2" xfId="69"/>
    <cellStyle name="20% - Accent1 3 4" xfId="70"/>
    <cellStyle name="20% - Accent1 3 4 2" xfId="71"/>
    <cellStyle name="20% - Accent1 3 5" xfId="72"/>
    <cellStyle name="20% - Accent1 3 5 2" xfId="73"/>
    <cellStyle name="20% - Accent1 3 6" xfId="74"/>
    <cellStyle name="20% - Accent1 3 6 2" xfId="75"/>
    <cellStyle name="20% - Accent1 3 7" xfId="76"/>
    <cellStyle name="20% - Accent1 3 7 2" xfId="77"/>
    <cellStyle name="20% - Accent1 3 8" xfId="78"/>
    <cellStyle name="20% - Accent1 3 8 2" xfId="79"/>
    <cellStyle name="20% - Accent1 3 9" xfId="80"/>
    <cellStyle name="20% - Accent1 3 9 2" xfId="81"/>
    <cellStyle name="20% - Accent2" xfId="82"/>
    <cellStyle name="20% - Accent2 2" xfId="83"/>
    <cellStyle name="20% - Accent2 2 10" xfId="84"/>
    <cellStyle name="20% - Accent2 2 10 2" xfId="85"/>
    <cellStyle name="20% - Accent2 2 11" xfId="86"/>
    <cellStyle name="20% - Accent2 2 11 2" xfId="87"/>
    <cellStyle name="20% - Accent2 2 12" xfId="88"/>
    <cellStyle name="20% - Accent2 2 12 2" xfId="89"/>
    <cellStyle name="20% - Accent2 2 13" xfId="90"/>
    <cellStyle name="20% - Accent2 2 13 2" xfId="91"/>
    <cellStyle name="20% - Accent2 2 14" xfId="92"/>
    <cellStyle name="20% - Accent2 2 14 2" xfId="93"/>
    <cellStyle name="20% - Accent2 2 15" xfId="94"/>
    <cellStyle name="20% - Accent2 2 15 2" xfId="95"/>
    <cellStyle name="20% - Accent2 2 16" xfId="96"/>
    <cellStyle name="20% - Accent2 2 16 2" xfId="97"/>
    <cellStyle name="20% - Accent2 2 17" xfId="98"/>
    <cellStyle name="20% - Accent2 2 17 2" xfId="99"/>
    <cellStyle name="20% - Accent2 2 18" xfId="100"/>
    <cellStyle name="20% - Accent2 2 2" xfId="101"/>
    <cellStyle name="20% - Accent2 2 2 2" xfId="102"/>
    <cellStyle name="20% - Accent2 2 3" xfId="103"/>
    <cellStyle name="20% - Accent2 2 3 2" xfId="104"/>
    <cellStyle name="20% - Accent2 2 4" xfId="105"/>
    <cellStyle name="20% - Accent2 2 4 2" xfId="106"/>
    <cellStyle name="20% - Accent2 2 5" xfId="107"/>
    <cellStyle name="20% - Accent2 2 5 2" xfId="108"/>
    <cellStyle name="20% - Accent2 2 6" xfId="109"/>
    <cellStyle name="20% - Accent2 2 6 2" xfId="110"/>
    <cellStyle name="20% - Accent2 2 7" xfId="111"/>
    <cellStyle name="20% - Accent2 2 7 2" xfId="112"/>
    <cellStyle name="20% - Accent2 2 8" xfId="113"/>
    <cellStyle name="20% - Accent2 2 8 2" xfId="114"/>
    <cellStyle name="20% - Accent2 2 9" xfId="115"/>
    <cellStyle name="20% - Accent2 2 9 2" xfId="116"/>
    <cellStyle name="20% - Accent2 3 10" xfId="117"/>
    <cellStyle name="20% - Accent2 3 10 2" xfId="118"/>
    <cellStyle name="20% - Accent2 3 11" xfId="119"/>
    <cellStyle name="20% - Accent2 3 11 2" xfId="120"/>
    <cellStyle name="20% - Accent2 3 12" xfId="121"/>
    <cellStyle name="20% - Accent2 3 12 2" xfId="122"/>
    <cellStyle name="20% - Accent2 3 13" xfId="123"/>
    <cellStyle name="20% - Accent2 3 13 2" xfId="124"/>
    <cellStyle name="20% - Accent2 3 14" xfId="125"/>
    <cellStyle name="20% - Accent2 3 14 2" xfId="126"/>
    <cellStyle name="20% - Accent2 3 15" xfId="127"/>
    <cellStyle name="20% - Accent2 3 15 2" xfId="128"/>
    <cellStyle name="20% - Accent2 3 16" xfId="129"/>
    <cellStyle name="20% - Accent2 3 16 2" xfId="130"/>
    <cellStyle name="20% - Accent2 3 17" xfId="131"/>
    <cellStyle name="20% - Accent2 3 17 2" xfId="132"/>
    <cellStyle name="20% - Accent2 3 2" xfId="133"/>
    <cellStyle name="20% - Accent2 3 2 2" xfId="134"/>
    <cellStyle name="20% - Accent2 3 3" xfId="135"/>
    <cellStyle name="20% - Accent2 3 3 2" xfId="136"/>
    <cellStyle name="20% - Accent2 3 4" xfId="137"/>
    <cellStyle name="20% - Accent2 3 4 2" xfId="138"/>
    <cellStyle name="20% - Accent2 3 5" xfId="139"/>
    <cellStyle name="20% - Accent2 3 5 2" xfId="140"/>
    <cellStyle name="20% - Accent2 3 6" xfId="141"/>
    <cellStyle name="20% - Accent2 3 6 2" xfId="142"/>
    <cellStyle name="20% - Accent2 3 7" xfId="143"/>
    <cellStyle name="20% - Accent2 3 7 2" xfId="144"/>
    <cellStyle name="20% - Accent2 3 8" xfId="145"/>
    <cellStyle name="20% - Accent2 3 8 2" xfId="146"/>
    <cellStyle name="20% - Accent2 3 9" xfId="147"/>
    <cellStyle name="20% - Accent2 3 9 2" xfId="148"/>
    <cellStyle name="20% - Accent3" xfId="149"/>
    <cellStyle name="20% - Accent3 2" xfId="150"/>
    <cellStyle name="20% - Accent3 2 10" xfId="151"/>
    <cellStyle name="20% - Accent3 2 10 2" xfId="152"/>
    <cellStyle name="20% - Accent3 2 11" xfId="153"/>
    <cellStyle name="20% - Accent3 2 11 2" xfId="154"/>
    <cellStyle name="20% - Accent3 2 12" xfId="155"/>
    <cellStyle name="20% - Accent3 2 12 2" xfId="156"/>
    <cellStyle name="20% - Accent3 2 13" xfId="157"/>
    <cellStyle name="20% - Accent3 2 13 2" xfId="158"/>
    <cellStyle name="20% - Accent3 2 14" xfId="159"/>
    <cellStyle name="20% - Accent3 2 14 2" xfId="160"/>
    <cellStyle name="20% - Accent3 2 15" xfId="161"/>
    <cellStyle name="20% - Accent3 2 15 2" xfId="162"/>
    <cellStyle name="20% - Accent3 2 16" xfId="163"/>
    <cellStyle name="20% - Accent3 2 16 2" xfId="164"/>
    <cellStyle name="20% - Accent3 2 17" xfId="165"/>
    <cellStyle name="20% - Accent3 2 17 2" xfId="166"/>
    <cellStyle name="20% - Accent3 2 18" xfId="167"/>
    <cellStyle name="20% - Accent3 2 2" xfId="168"/>
    <cellStyle name="20% - Accent3 2 2 2" xfId="169"/>
    <cellStyle name="20% - Accent3 2 3" xfId="170"/>
    <cellStyle name="20% - Accent3 2 3 2" xfId="171"/>
    <cellStyle name="20% - Accent3 2 4" xfId="172"/>
    <cellStyle name="20% - Accent3 2 4 2" xfId="173"/>
    <cellStyle name="20% - Accent3 2 5" xfId="174"/>
    <cellStyle name="20% - Accent3 2 5 2" xfId="175"/>
    <cellStyle name="20% - Accent3 2 6" xfId="176"/>
    <cellStyle name="20% - Accent3 2 6 2" xfId="177"/>
    <cellStyle name="20% - Accent3 2 7" xfId="178"/>
    <cellStyle name="20% - Accent3 2 7 2" xfId="179"/>
    <cellStyle name="20% - Accent3 2 8" xfId="180"/>
    <cellStyle name="20% - Accent3 2 8 2" xfId="181"/>
    <cellStyle name="20% - Accent3 2 9" xfId="182"/>
    <cellStyle name="20% - Accent3 2 9 2" xfId="183"/>
    <cellStyle name="20% - Accent3 3 10" xfId="184"/>
    <cellStyle name="20% - Accent3 3 10 2" xfId="185"/>
    <cellStyle name="20% - Accent3 3 11" xfId="186"/>
    <cellStyle name="20% - Accent3 3 11 2" xfId="187"/>
    <cellStyle name="20% - Accent3 3 12" xfId="188"/>
    <cellStyle name="20% - Accent3 3 12 2" xfId="189"/>
    <cellStyle name="20% - Accent3 3 13" xfId="190"/>
    <cellStyle name="20% - Accent3 3 13 2" xfId="191"/>
    <cellStyle name="20% - Accent3 3 14" xfId="192"/>
    <cellStyle name="20% - Accent3 3 14 2" xfId="193"/>
    <cellStyle name="20% - Accent3 3 15" xfId="194"/>
    <cellStyle name="20% - Accent3 3 15 2" xfId="195"/>
    <cellStyle name="20% - Accent3 3 16" xfId="196"/>
    <cellStyle name="20% - Accent3 3 16 2" xfId="197"/>
    <cellStyle name="20% - Accent3 3 17" xfId="198"/>
    <cellStyle name="20% - Accent3 3 17 2" xfId="199"/>
    <cellStyle name="20% - Accent3 3 2" xfId="200"/>
    <cellStyle name="20% - Accent3 3 2 2" xfId="201"/>
    <cellStyle name="20% - Accent3 3 3" xfId="202"/>
    <cellStyle name="20% - Accent3 3 3 2" xfId="203"/>
    <cellStyle name="20% - Accent3 3 4" xfId="204"/>
    <cellStyle name="20% - Accent3 3 4 2" xfId="205"/>
    <cellStyle name="20% - Accent3 3 5" xfId="206"/>
    <cellStyle name="20% - Accent3 3 5 2" xfId="207"/>
    <cellStyle name="20% - Accent3 3 6" xfId="208"/>
    <cellStyle name="20% - Accent3 3 6 2" xfId="209"/>
    <cellStyle name="20% - Accent3 3 7" xfId="210"/>
    <cellStyle name="20% - Accent3 3 7 2" xfId="211"/>
    <cellStyle name="20% - Accent3 3 8" xfId="212"/>
    <cellStyle name="20% - Accent3 3 8 2" xfId="213"/>
    <cellStyle name="20% - Accent3 3 9" xfId="214"/>
    <cellStyle name="20% - Accent3 3 9 2" xfId="215"/>
    <cellStyle name="20% - Accent4" xfId="216"/>
    <cellStyle name="20% - Accent4 2" xfId="217"/>
    <cellStyle name="20% - Accent4 2 10" xfId="218"/>
    <cellStyle name="20% - Accent4 2 10 2" xfId="219"/>
    <cellStyle name="20% - Accent4 2 11" xfId="220"/>
    <cellStyle name="20% - Accent4 2 11 2" xfId="221"/>
    <cellStyle name="20% - Accent4 2 12" xfId="222"/>
    <cellStyle name="20% - Accent4 2 12 2" xfId="223"/>
    <cellStyle name="20% - Accent4 2 13" xfId="224"/>
    <cellStyle name="20% - Accent4 2 13 2" xfId="225"/>
    <cellStyle name="20% - Accent4 2 14" xfId="226"/>
    <cellStyle name="20% - Accent4 2 14 2" xfId="227"/>
    <cellStyle name="20% - Accent4 2 15" xfId="228"/>
    <cellStyle name="20% - Accent4 2 15 2" xfId="229"/>
    <cellStyle name="20% - Accent4 2 16" xfId="230"/>
    <cellStyle name="20% - Accent4 2 16 2" xfId="231"/>
    <cellStyle name="20% - Accent4 2 17" xfId="232"/>
    <cellStyle name="20% - Accent4 2 17 2" xfId="233"/>
    <cellStyle name="20% - Accent4 2 18" xfId="234"/>
    <cellStyle name="20% - Accent4 2 2" xfId="235"/>
    <cellStyle name="20% - Accent4 2 2 2" xfId="236"/>
    <cellStyle name="20% - Accent4 2 3" xfId="237"/>
    <cellStyle name="20% - Accent4 2 3 2" xfId="238"/>
    <cellStyle name="20% - Accent4 2 4" xfId="239"/>
    <cellStyle name="20% - Accent4 2 4 2" xfId="240"/>
    <cellStyle name="20% - Accent4 2 5" xfId="241"/>
    <cellStyle name="20% - Accent4 2 5 2" xfId="242"/>
    <cellStyle name="20% - Accent4 2 6" xfId="243"/>
    <cellStyle name="20% - Accent4 2 6 2" xfId="244"/>
    <cellStyle name="20% - Accent4 2 7" xfId="245"/>
    <cellStyle name="20% - Accent4 2 7 2" xfId="246"/>
    <cellStyle name="20% - Accent4 2 8" xfId="247"/>
    <cellStyle name="20% - Accent4 2 8 2" xfId="248"/>
    <cellStyle name="20% - Accent4 2 9" xfId="249"/>
    <cellStyle name="20% - Accent4 2 9 2" xfId="250"/>
    <cellStyle name="20% - Accent4 3 10" xfId="251"/>
    <cellStyle name="20% - Accent4 3 10 2" xfId="252"/>
    <cellStyle name="20% - Accent4 3 11" xfId="253"/>
    <cellStyle name="20% - Accent4 3 11 2" xfId="254"/>
    <cellStyle name="20% - Accent4 3 12" xfId="255"/>
    <cellStyle name="20% - Accent4 3 12 2" xfId="256"/>
    <cellStyle name="20% - Accent4 3 13" xfId="257"/>
    <cellStyle name="20% - Accent4 3 13 2" xfId="258"/>
    <cellStyle name="20% - Accent4 3 14" xfId="259"/>
    <cellStyle name="20% - Accent4 3 14 2" xfId="260"/>
    <cellStyle name="20% - Accent4 3 15" xfId="261"/>
    <cellStyle name="20% - Accent4 3 15 2" xfId="262"/>
    <cellStyle name="20% - Accent4 3 16" xfId="263"/>
    <cellStyle name="20% - Accent4 3 16 2" xfId="264"/>
    <cellStyle name="20% - Accent4 3 17" xfId="265"/>
    <cellStyle name="20% - Accent4 3 17 2" xfId="266"/>
    <cellStyle name="20% - Accent4 3 2" xfId="267"/>
    <cellStyle name="20% - Accent4 3 2 2" xfId="268"/>
    <cellStyle name="20% - Accent4 3 3" xfId="269"/>
    <cellStyle name="20% - Accent4 3 3 2" xfId="270"/>
    <cellStyle name="20% - Accent4 3 4" xfId="271"/>
    <cellStyle name="20% - Accent4 3 4 2" xfId="272"/>
    <cellStyle name="20% - Accent4 3 5" xfId="273"/>
    <cellStyle name="20% - Accent4 3 5 2" xfId="274"/>
    <cellStyle name="20% - Accent4 3 6" xfId="275"/>
    <cellStyle name="20% - Accent4 3 6 2" xfId="276"/>
    <cellStyle name="20% - Accent4 3 7" xfId="277"/>
    <cellStyle name="20% - Accent4 3 7 2" xfId="278"/>
    <cellStyle name="20% - Accent4 3 8" xfId="279"/>
    <cellStyle name="20% - Accent4 3 8 2" xfId="280"/>
    <cellStyle name="20% - Accent4 3 9" xfId="281"/>
    <cellStyle name="20% - Accent4 3 9 2" xfId="282"/>
    <cellStyle name="20% - Accent5" xfId="283"/>
    <cellStyle name="20% - Accent5 2" xfId="284"/>
    <cellStyle name="20% - Accent5 2 10" xfId="285"/>
    <cellStyle name="20% - Accent5 2 10 2" xfId="286"/>
    <cellStyle name="20% - Accent5 2 11" xfId="287"/>
    <cellStyle name="20% - Accent5 2 11 2" xfId="288"/>
    <cellStyle name="20% - Accent5 2 12" xfId="289"/>
    <cellStyle name="20% - Accent5 2 12 2" xfId="290"/>
    <cellStyle name="20% - Accent5 2 13" xfId="291"/>
    <cellStyle name="20% - Accent5 2 13 2" xfId="292"/>
    <cellStyle name="20% - Accent5 2 14" xfId="293"/>
    <cellStyle name="20% - Accent5 2 14 2" xfId="294"/>
    <cellStyle name="20% - Accent5 2 15" xfId="295"/>
    <cellStyle name="20% - Accent5 2 15 2" xfId="296"/>
    <cellStyle name="20% - Accent5 2 16" xfId="297"/>
    <cellStyle name="20% - Accent5 2 16 2" xfId="298"/>
    <cellStyle name="20% - Accent5 2 17" xfId="299"/>
    <cellStyle name="20% - Accent5 2 17 2" xfId="300"/>
    <cellStyle name="20% - Accent5 2 18" xfId="301"/>
    <cellStyle name="20% - Accent5 2 2" xfId="302"/>
    <cellStyle name="20% - Accent5 2 2 2" xfId="303"/>
    <cellStyle name="20% - Accent5 2 3" xfId="304"/>
    <cellStyle name="20% - Accent5 2 3 2" xfId="305"/>
    <cellStyle name="20% - Accent5 2 4" xfId="306"/>
    <cellStyle name="20% - Accent5 2 4 2" xfId="307"/>
    <cellStyle name="20% - Accent5 2 5" xfId="308"/>
    <cellStyle name="20% - Accent5 2 5 2" xfId="309"/>
    <cellStyle name="20% - Accent5 2 6" xfId="310"/>
    <cellStyle name="20% - Accent5 2 6 2" xfId="311"/>
    <cellStyle name="20% - Accent5 2 7" xfId="312"/>
    <cellStyle name="20% - Accent5 2 7 2" xfId="313"/>
    <cellStyle name="20% - Accent5 2 8" xfId="314"/>
    <cellStyle name="20% - Accent5 2 8 2" xfId="315"/>
    <cellStyle name="20% - Accent5 2 9" xfId="316"/>
    <cellStyle name="20% - Accent5 2 9 2" xfId="317"/>
    <cellStyle name="20% - Accent5 3 10" xfId="318"/>
    <cellStyle name="20% - Accent5 3 10 2" xfId="319"/>
    <cellStyle name="20% - Accent5 3 11" xfId="320"/>
    <cellStyle name="20% - Accent5 3 11 2" xfId="321"/>
    <cellStyle name="20% - Accent5 3 12" xfId="322"/>
    <cellStyle name="20% - Accent5 3 12 2" xfId="323"/>
    <cellStyle name="20% - Accent5 3 13" xfId="324"/>
    <cellStyle name="20% - Accent5 3 13 2" xfId="325"/>
    <cellStyle name="20% - Accent5 3 14" xfId="326"/>
    <cellStyle name="20% - Accent5 3 14 2" xfId="327"/>
    <cellStyle name="20% - Accent5 3 15" xfId="328"/>
    <cellStyle name="20% - Accent5 3 15 2" xfId="329"/>
    <cellStyle name="20% - Accent5 3 16" xfId="330"/>
    <cellStyle name="20% - Accent5 3 16 2" xfId="331"/>
    <cellStyle name="20% - Accent5 3 17" xfId="332"/>
    <cellStyle name="20% - Accent5 3 17 2" xfId="333"/>
    <cellStyle name="20% - Accent5 3 2" xfId="334"/>
    <cellStyle name="20% - Accent5 3 2 2" xfId="335"/>
    <cellStyle name="20% - Accent5 3 3" xfId="336"/>
    <cellStyle name="20% - Accent5 3 3 2" xfId="337"/>
    <cellStyle name="20% - Accent5 3 4" xfId="338"/>
    <cellStyle name="20% - Accent5 3 4 2" xfId="339"/>
    <cellStyle name="20% - Accent5 3 5" xfId="340"/>
    <cellStyle name="20% - Accent5 3 5 2" xfId="341"/>
    <cellStyle name="20% - Accent5 3 6" xfId="342"/>
    <cellStyle name="20% - Accent5 3 6 2" xfId="343"/>
    <cellStyle name="20% - Accent5 3 7" xfId="344"/>
    <cellStyle name="20% - Accent5 3 7 2" xfId="345"/>
    <cellStyle name="20% - Accent5 3 8" xfId="346"/>
    <cellStyle name="20% - Accent5 3 8 2" xfId="347"/>
    <cellStyle name="20% - Accent5 3 9" xfId="348"/>
    <cellStyle name="20% - Accent5 3 9 2" xfId="349"/>
    <cellStyle name="20% - Accent6" xfId="350"/>
    <cellStyle name="20% - Accent6 2" xfId="351"/>
    <cellStyle name="20% - Accent6 2 10" xfId="352"/>
    <cellStyle name="20% - Accent6 2 10 2" xfId="353"/>
    <cellStyle name="20% - Accent6 2 11" xfId="354"/>
    <cellStyle name="20% - Accent6 2 11 2" xfId="355"/>
    <cellStyle name="20% - Accent6 2 12" xfId="356"/>
    <cellStyle name="20% - Accent6 2 12 2" xfId="357"/>
    <cellStyle name="20% - Accent6 2 13" xfId="358"/>
    <cellStyle name="20% - Accent6 2 13 2" xfId="359"/>
    <cellStyle name="20% - Accent6 2 14" xfId="360"/>
    <cellStyle name="20% - Accent6 2 14 2" xfId="361"/>
    <cellStyle name="20% - Accent6 2 15" xfId="362"/>
    <cellStyle name="20% - Accent6 2 15 2" xfId="363"/>
    <cellStyle name="20% - Accent6 2 16" xfId="364"/>
    <cellStyle name="20% - Accent6 2 16 2" xfId="365"/>
    <cellStyle name="20% - Accent6 2 17" xfId="366"/>
    <cellStyle name="20% - Accent6 2 17 2" xfId="367"/>
    <cellStyle name="20% - Accent6 2 18" xfId="368"/>
    <cellStyle name="20% - Accent6 2 2" xfId="369"/>
    <cellStyle name="20% - Accent6 2 2 2" xfId="370"/>
    <cellStyle name="20% - Accent6 2 3" xfId="371"/>
    <cellStyle name="20% - Accent6 2 3 2" xfId="372"/>
    <cellStyle name="20% - Accent6 2 4" xfId="373"/>
    <cellStyle name="20% - Accent6 2 4 2" xfId="374"/>
    <cellStyle name="20% - Accent6 2 5" xfId="375"/>
    <cellStyle name="20% - Accent6 2 5 2" xfId="376"/>
    <cellStyle name="20% - Accent6 2 6" xfId="377"/>
    <cellStyle name="20% - Accent6 2 6 2" xfId="378"/>
    <cellStyle name="20% - Accent6 2 7" xfId="379"/>
    <cellStyle name="20% - Accent6 2 7 2" xfId="380"/>
    <cellStyle name="20% - Accent6 2 8" xfId="381"/>
    <cellStyle name="20% - Accent6 2 8 2" xfId="382"/>
    <cellStyle name="20% - Accent6 2 9" xfId="383"/>
    <cellStyle name="20% - Accent6 2 9 2" xfId="384"/>
    <cellStyle name="20% - Accent6 3 10" xfId="385"/>
    <cellStyle name="20% - Accent6 3 10 2" xfId="386"/>
    <cellStyle name="20% - Accent6 3 11" xfId="387"/>
    <cellStyle name="20% - Accent6 3 11 2" xfId="388"/>
    <cellStyle name="20% - Accent6 3 12" xfId="389"/>
    <cellStyle name="20% - Accent6 3 12 2" xfId="390"/>
    <cellStyle name="20% - Accent6 3 13" xfId="391"/>
    <cellStyle name="20% - Accent6 3 13 2" xfId="392"/>
    <cellStyle name="20% - Accent6 3 14" xfId="393"/>
    <cellStyle name="20% - Accent6 3 14 2" xfId="394"/>
    <cellStyle name="20% - Accent6 3 15" xfId="395"/>
    <cellStyle name="20% - Accent6 3 15 2" xfId="396"/>
    <cellStyle name="20% - Accent6 3 16" xfId="397"/>
    <cellStyle name="20% - Accent6 3 16 2" xfId="398"/>
    <cellStyle name="20% - Accent6 3 17" xfId="399"/>
    <cellStyle name="20% - Accent6 3 17 2" xfId="400"/>
    <cellStyle name="20% - Accent6 3 2" xfId="401"/>
    <cellStyle name="20% - Accent6 3 2 2" xfId="402"/>
    <cellStyle name="20% - Accent6 3 3" xfId="403"/>
    <cellStyle name="20% - Accent6 3 3 2" xfId="404"/>
    <cellStyle name="20% - Accent6 3 4" xfId="405"/>
    <cellStyle name="20% - Accent6 3 4 2" xfId="406"/>
    <cellStyle name="20% - Accent6 3 5" xfId="407"/>
    <cellStyle name="20% - Accent6 3 5 2" xfId="408"/>
    <cellStyle name="20% - Accent6 3 6" xfId="409"/>
    <cellStyle name="20% - Accent6 3 6 2" xfId="410"/>
    <cellStyle name="20% - Accent6 3 7" xfId="411"/>
    <cellStyle name="20% - Accent6 3 7 2" xfId="412"/>
    <cellStyle name="20% - Accent6 3 8" xfId="413"/>
    <cellStyle name="20% - Accent6 3 8 2" xfId="414"/>
    <cellStyle name="20% - Accent6 3 9" xfId="415"/>
    <cellStyle name="20% - Accent6 3 9 2" xfId="416"/>
    <cellStyle name="20% - Colore 1" xfId="417"/>
    <cellStyle name="20% - Colore 1 10" xfId="418"/>
    <cellStyle name="20% - Colore 1 10 2" xfId="419"/>
    <cellStyle name="20% - Colore 1 10 3" xfId="420"/>
    <cellStyle name="20% - Colore 1 11" xfId="421"/>
    <cellStyle name="20% - Colore 1 11 2" xfId="422"/>
    <cellStyle name="20% - Colore 1 11 3" xfId="423"/>
    <cellStyle name="20% - Colore 1 12" xfId="424"/>
    <cellStyle name="20% - Colore 1 12 2" xfId="425"/>
    <cellStyle name="20% - Colore 1 12 3" xfId="426"/>
    <cellStyle name="20% - Colore 1 13" xfId="427"/>
    <cellStyle name="20% - Colore 1 13 2" xfId="428"/>
    <cellStyle name="20% - Colore 1 13 3" xfId="429"/>
    <cellStyle name="20% - Colore 1 14" xfId="430"/>
    <cellStyle name="20% - Colore 1 14 2" xfId="431"/>
    <cellStyle name="20% - Colore 1 14 3" xfId="432"/>
    <cellStyle name="20% - Colore 1 15" xfId="433"/>
    <cellStyle name="20% - Colore 1 15 2" xfId="434"/>
    <cellStyle name="20% - Colore 1 15 3" xfId="435"/>
    <cellStyle name="20% - Colore 1 16" xfId="436"/>
    <cellStyle name="20% - Colore 1 16 2" xfId="437"/>
    <cellStyle name="20% - Colore 1 17" xfId="438"/>
    <cellStyle name="20% - Colore 1 18" xfId="439"/>
    <cellStyle name="20% - Colore 1 19" xfId="440"/>
    <cellStyle name="20% - Colore 1 2" xfId="441"/>
    <cellStyle name="20% - Colore 1 2 2" xfId="442"/>
    <cellStyle name="20% - Colore 1 2 3" xfId="443"/>
    <cellStyle name="20% - Colore 1 3" xfId="444"/>
    <cellStyle name="20% - Colore 1 3 2" xfId="445"/>
    <cellStyle name="20% - Colore 1 3 3" xfId="446"/>
    <cellStyle name="20% - Colore 1 4" xfId="447"/>
    <cellStyle name="20% - Colore 1 4 2" xfId="448"/>
    <cellStyle name="20% - Colore 1 4 3" xfId="449"/>
    <cellStyle name="20% - Colore 1 5" xfId="450"/>
    <cellStyle name="20% - Colore 1 5 2" xfId="451"/>
    <cellStyle name="20% - Colore 1 5 3" xfId="452"/>
    <cellStyle name="20% - Colore 1 6" xfId="453"/>
    <cellStyle name="20% - Colore 1 6 2" xfId="454"/>
    <cellStyle name="20% - Colore 1 6 3" xfId="455"/>
    <cellStyle name="20% - Colore 1 7" xfId="456"/>
    <cellStyle name="20% - Colore 1 7 2" xfId="457"/>
    <cellStyle name="20% - Colore 1 7 3" xfId="458"/>
    <cellStyle name="20% - Colore 1 8" xfId="459"/>
    <cellStyle name="20% - Colore 1 8 2" xfId="460"/>
    <cellStyle name="20% - Colore 1 8 3" xfId="461"/>
    <cellStyle name="20% - Colore 1 9" xfId="462"/>
    <cellStyle name="20% - Colore 1 9 2" xfId="463"/>
    <cellStyle name="20% - Colore 1 9 3" xfId="464"/>
    <cellStyle name="20% - Colore 2" xfId="465"/>
    <cellStyle name="20% - Colore 2 10" xfId="466"/>
    <cellStyle name="20% - Colore 2 10 2" xfId="467"/>
    <cellStyle name="20% - Colore 2 10 3" xfId="468"/>
    <cellStyle name="20% - Colore 2 11" xfId="469"/>
    <cellStyle name="20% - Colore 2 11 2" xfId="470"/>
    <cellStyle name="20% - Colore 2 11 3" xfId="471"/>
    <cellStyle name="20% - Colore 2 12" xfId="472"/>
    <cellStyle name="20% - Colore 2 12 2" xfId="473"/>
    <cellStyle name="20% - Colore 2 12 3" xfId="474"/>
    <cellStyle name="20% - Colore 2 13" xfId="475"/>
    <cellStyle name="20% - Colore 2 13 2" xfId="476"/>
    <cellStyle name="20% - Colore 2 13 3" xfId="477"/>
    <cellStyle name="20% - Colore 2 14" xfId="478"/>
    <cellStyle name="20% - Colore 2 14 2" xfId="479"/>
    <cellStyle name="20% - Colore 2 14 3" xfId="480"/>
    <cellStyle name="20% - Colore 2 15" xfId="481"/>
    <cellStyle name="20% - Colore 2 15 2" xfId="482"/>
    <cellStyle name="20% - Colore 2 15 3" xfId="483"/>
    <cellStyle name="20% - Colore 2 16" xfId="484"/>
    <cellStyle name="20% - Colore 2 16 2" xfId="485"/>
    <cellStyle name="20% - Colore 2 17" xfId="486"/>
    <cellStyle name="20% - Colore 2 18" xfId="487"/>
    <cellStyle name="20% - Colore 2 19" xfId="488"/>
    <cellStyle name="20% - Colore 2 2" xfId="489"/>
    <cellStyle name="20% - Colore 2 2 2" xfId="490"/>
    <cellStyle name="20% - Colore 2 2 3" xfId="491"/>
    <cellStyle name="20% - Colore 2 3" xfId="492"/>
    <cellStyle name="20% - Colore 2 3 2" xfId="493"/>
    <cellStyle name="20% - Colore 2 3 3" xfId="494"/>
    <cellStyle name="20% - Colore 2 4" xfId="495"/>
    <cellStyle name="20% - Colore 2 4 2" xfId="496"/>
    <cellStyle name="20% - Colore 2 4 3" xfId="497"/>
    <cellStyle name="20% - Colore 2 5" xfId="498"/>
    <cellStyle name="20% - Colore 2 5 2" xfId="499"/>
    <cellStyle name="20% - Colore 2 5 3" xfId="500"/>
    <cellStyle name="20% - Colore 2 6" xfId="501"/>
    <cellStyle name="20% - Colore 2 6 2" xfId="502"/>
    <cellStyle name="20% - Colore 2 6 3" xfId="503"/>
    <cellStyle name="20% - Colore 2 7" xfId="504"/>
    <cellStyle name="20% - Colore 2 7 2" xfId="505"/>
    <cellStyle name="20% - Colore 2 7 3" xfId="506"/>
    <cellStyle name="20% - Colore 2 8" xfId="507"/>
    <cellStyle name="20% - Colore 2 8 2" xfId="508"/>
    <cellStyle name="20% - Colore 2 8 3" xfId="509"/>
    <cellStyle name="20% - Colore 2 9" xfId="510"/>
    <cellStyle name="20% - Colore 2 9 2" xfId="511"/>
    <cellStyle name="20% - Colore 2 9 3" xfId="512"/>
    <cellStyle name="20% - Colore 3" xfId="513"/>
    <cellStyle name="20% - Colore 3 10" xfId="514"/>
    <cellStyle name="20% - Colore 3 10 2" xfId="515"/>
    <cellStyle name="20% - Colore 3 10 3" xfId="516"/>
    <cellStyle name="20% - Colore 3 11" xfId="517"/>
    <cellStyle name="20% - Colore 3 11 2" xfId="518"/>
    <cellStyle name="20% - Colore 3 11 3" xfId="519"/>
    <cellStyle name="20% - Colore 3 12" xfId="520"/>
    <cellStyle name="20% - Colore 3 12 2" xfId="521"/>
    <cellStyle name="20% - Colore 3 12 3" xfId="522"/>
    <cellStyle name="20% - Colore 3 13" xfId="523"/>
    <cellStyle name="20% - Colore 3 13 2" xfId="524"/>
    <cellStyle name="20% - Colore 3 13 3" xfId="525"/>
    <cellStyle name="20% - Colore 3 14" xfId="526"/>
    <cellStyle name="20% - Colore 3 14 2" xfId="527"/>
    <cellStyle name="20% - Colore 3 14 3" xfId="528"/>
    <cellStyle name="20% - Colore 3 15" xfId="529"/>
    <cellStyle name="20% - Colore 3 15 2" xfId="530"/>
    <cellStyle name="20% - Colore 3 15 3" xfId="531"/>
    <cellStyle name="20% - Colore 3 16" xfId="532"/>
    <cellStyle name="20% - Colore 3 16 2" xfId="533"/>
    <cellStyle name="20% - Colore 3 17" xfId="534"/>
    <cellStyle name="20% - Colore 3 18" xfId="535"/>
    <cellStyle name="20% - Colore 3 19" xfId="536"/>
    <cellStyle name="20% - Colore 3 2" xfId="537"/>
    <cellStyle name="20% - Colore 3 2 2" xfId="538"/>
    <cellStyle name="20% - Colore 3 2 3" xfId="539"/>
    <cellStyle name="20% - Colore 3 3" xfId="540"/>
    <cellStyle name="20% - Colore 3 3 2" xfId="541"/>
    <cellStyle name="20% - Colore 3 3 3" xfId="542"/>
    <cellStyle name="20% - Colore 3 4" xfId="543"/>
    <cellStyle name="20% - Colore 3 4 2" xfId="544"/>
    <cellStyle name="20% - Colore 3 4 3" xfId="545"/>
    <cellStyle name="20% - Colore 3 5" xfId="546"/>
    <cellStyle name="20% - Colore 3 5 2" xfId="547"/>
    <cellStyle name="20% - Colore 3 5 3" xfId="548"/>
    <cellStyle name="20% - Colore 3 6" xfId="549"/>
    <cellStyle name="20% - Colore 3 6 2" xfId="550"/>
    <cellStyle name="20% - Colore 3 6 3" xfId="551"/>
    <cellStyle name="20% - Colore 3 7" xfId="552"/>
    <cellStyle name="20% - Colore 3 7 2" xfId="553"/>
    <cellStyle name="20% - Colore 3 7 3" xfId="554"/>
    <cellStyle name="20% - Colore 3 8" xfId="555"/>
    <cellStyle name="20% - Colore 3 8 2" xfId="556"/>
    <cellStyle name="20% - Colore 3 8 3" xfId="557"/>
    <cellStyle name="20% - Colore 3 9" xfId="558"/>
    <cellStyle name="20% - Colore 3 9 2" xfId="559"/>
    <cellStyle name="20% - Colore 3 9 3" xfId="560"/>
    <cellStyle name="20% - Colore 4" xfId="561"/>
    <cellStyle name="20% - Colore 4 10" xfId="562"/>
    <cellStyle name="20% - Colore 4 10 2" xfId="563"/>
    <cellStyle name="20% - Colore 4 10 3" xfId="564"/>
    <cellStyle name="20% - Colore 4 11" xfId="565"/>
    <cellStyle name="20% - Colore 4 11 2" xfId="566"/>
    <cellStyle name="20% - Colore 4 11 3" xfId="567"/>
    <cellStyle name="20% - Colore 4 12" xfId="568"/>
    <cellStyle name="20% - Colore 4 12 2" xfId="569"/>
    <cellStyle name="20% - Colore 4 12 3" xfId="570"/>
    <cellStyle name="20% - Colore 4 13" xfId="571"/>
    <cellStyle name="20% - Colore 4 13 2" xfId="572"/>
    <cellStyle name="20% - Colore 4 13 3" xfId="573"/>
    <cellStyle name="20% - Colore 4 14" xfId="574"/>
    <cellStyle name="20% - Colore 4 14 2" xfId="575"/>
    <cellStyle name="20% - Colore 4 14 3" xfId="576"/>
    <cellStyle name="20% - Colore 4 15" xfId="577"/>
    <cellStyle name="20% - Colore 4 15 2" xfId="578"/>
    <cellStyle name="20% - Colore 4 15 3" xfId="579"/>
    <cellStyle name="20% - Colore 4 16" xfId="580"/>
    <cellStyle name="20% - Colore 4 16 2" xfId="581"/>
    <cellStyle name="20% - Colore 4 17" xfId="582"/>
    <cellStyle name="20% - Colore 4 18" xfId="583"/>
    <cellStyle name="20% - Colore 4 19" xfId="584"/>
    <cellStyle name="20% - Colore 4 2" xfId="585"/>
    <cellStyle name="20% - Colore 4 2 2" xfId="586"/>
    <cellStyle name="20% - Colore 4 2 3" xfId="587"/>
    <cellStyle name="20% - Colore 4 3" xfId="588"/>
    <cellStyle name="20% - Colore 4 3 2" xfId="589"/>
    <cellStyle name="20% - Colore 4 3 3" xfId="590"/>
    <cellStyle name="20% - Colore 4 4" xfId="591"/>
    <cellStyle name="20% - Colore 4 4 2" xfId="592"/>
    <cellStyle name="20% - Colore 4 4 3" xfId="593"/>
    <cellStyle name="20% - Colore 4 5" xfId="594"/>
    <cellStyle name="20% - Colore 4 5 2" xfId="595"/>
    <cellStyle name="20% - Colore 4 5 3" xfId="596"/>
    <cellStyle name="20% - Colore 4 6" xfId="597"/>
    <cellStyle name="20% - Colore 4 6 2" xfId="598"/>
    <cellStyle name="20% - Colore 4 6 3" xfId="599"/>
    <cellStyle name="20% - Colore 4 7" xfId="600"/>
    <cellStyle name="20% - Colore 4 7 2" xfId="601"/>
    <cellStyle name="20% - Colore 4 7 3" xfId="602"/>
    <cellStyle name="20% - Colore 4 8" xfId="603"/>
    <cellStyle name="20% - Colore 4 8 2" xfId="604"/>
    <cellStyle name="20% - Colore 4 8 3" xfId="605"/>
    <cellStyle name="20% - Colore 4 9" xfId="606"/>
    <cellStyle name="20% - Colore 4 9 2" xfId="607"/>
    <cellStyle name="20% - Colore 4 9 3" xfId="608"/>
    <cellStyle name="20% - Colore 5" xfId="609"/>
    <cellStyle name="20% - Colore 5 2" xfId="610"/>
    <cellStyle name="20% - Colore 5 2 2" xfId="611"/>
    <cellStyle name="20% - Colore 5 2 3" xfId="612"/>
    <cellStyle name="20% - Colore 5 3" xfId="613"/>
    <cellStyle name="20% - Colore 5 3 2" xfId="614"/>
    <cellStyle name="20% - Colore 5 3 3" xfId="615"/>
    <cellStyle name="20% - Colore 5 4" xfId="616"/>
    <cellStyle name="20% - Colore 5 4 2" xfId="617"/>
    <cellStyle name="20% - Colore 5 5" xfId="618"/>
    <cellStyle name="20% - Colore 5 6" xfId="619"/>
    <cellStyle name="20% - Colore 5 7" xfId="620"/>
    <cellStyle name="20% - Colore 6" xfId="621"/>
    <cellStyle name="20% - Colore 6 2" xfId="622"/>
    <cellStyle name="20% - Colore 6 2 2" xfId="623"/>
    <cellStyle name="20% - Colore 6 2 3" xfId="624"/>
    <cellStyle name="20% - Colore 6 3" xfId="625"/>
    <cellStyle name="20% - Colore 6 3 2" xfId="626"/>
    <cellStyle name="20% - Colore 6 3 3" xfId="627"/>
    <cellStyle name="20% - Colore 6 4" xfId="628"/>
    <cellStyle name="20% - Colore 6 4 2" xfId="629"/>
    <cellStyle name="20% - Colore 6 5" xfId="630"/>
    <cellStyle name="20% - Colore 6 6" xfId="631"/>
    <cellStyle name="20% - Colore 6 7" xfId="632"/>
    <cellStyle name="40% - Accent1" xfId="633"/>
    <cellStyle name="40% - Accent1 2" xfId="634"/>
    <cellStyle name="40% - Accent1 2 10" xfId="635"/>
    <cellStyle name="40% - Accent1 2 10 2" xfId="636"/>
    <cellStyle name="40% - Accent1 2 11" xfId="637"/>
    <cellStyle name="40% - Accent1 2 11 2" xfId="638"/>
    <cellStyle name="40% - Accent1 2 12" xfId="639"/>
    <cellStyle name="40% - Accent1 2 12 2" xfId="640"/>
    <cellStyle name="40% - Accent1 2 13" xfId="641"/>
    <cellStyle name="40% - Accent1 2 13 2" xfId="642"/>
    <cellStyle name="40% - Accent1 2 14" xfId="643"/>
    <cellStyle name="40% - Accent1 2 14 2" xfId="644"/>
    <cellStyle name="40% - Accent1 2 15" xfId="645"/>
    <cellStyle name="40% - Accent1 2 15 2" xfId="646"/>
    <cellStyle name="40% - Accent1 2 16" xfId="647"/>
    <cellStyle name="40% - Accent1 2 16 2" xfId="648"/>
    <cellStyle name="40% - Accent1 2 17" xfId="649"/>
    <cellStyle name="40% - Accent1 2 17 2" xfId="650"/>
    <cellStyle name="40% - Accent1 2 18" xfId="651"/>
    <cellStyle name="40% - Accent1 2 2" xfId="652"/>
    <cellStyle name="40% - Accent1 2 2 2" xfId="653"/>
    <cellStyle name="40% - Accent1 2 3" xfId="654"/>
    <cellStyle name="40% - Accent1 2 3 2" xfId="655"/>
    <cellStyle name="40% - Accent1 2 4" xfId="656"/>
    <cellStyle name="40% - Accent1 2 4 2" xfId="657"/>
    <cellStyle name="40% - Accent1 2 5" xfId="658"/>
    <cellStyle name="40% - Accent1 2 5 2" xfId="659"/>
    <cellStyle name="40% - Accent1 2 6" xfId="660"/>
    <cellStyle name="40% - Accent1 2 6 2" xfId="661"/>
    <cellStyle name="40% - Accent1 2 7" xfId="662"/>
    <cellStyle name="40% - Accent1 2 7 2" xfId="663"/>
    <cellStyle name="40% - Accent1 2 8" xfId="664"/>
    <cellStyle name="40% - Accent1 2 8 2" xfId="665"/>
    <cellStyle name="40% - Accent1 2 9" xfId="666"/>
    <cellStyle name="40% - Accent1 2 9 2" xfId="667"/>
    <cellStyle name="40% - Accent1 3 10" xfId="668"/>
    <cellStyle name="40% - Accent1 3 10 2" xfId="669"/>
    <cellStyle name="40% - Accent1 3 11" xfId="670"/>
    <cellStyle name="40% - Accent1 3 11 2" xfId="671"/>
    <cellStyle name="40% - Accent1 3 12" xfId="672"/>
    <cellStyle name="40% - Accent1 3 12 2" xfId="673"/>
    <cellStyle name="40% - Accent1 3 13" xfId="674"/>
    <cellStyle name="40% - Accent1 3 13 2" xfId="675"/>
    <cellStyle name="40% - Accent1 3 14" xfId="676"/>
    <cellStyle name="40% - Accent1 3 14 2" xfId="677"/>
    <cellStyle name="40% - Accent1 3 15" xfId="678"/>
    <cellStyle name="40% - Accent1 3 15 2" xfId="679"/>
    <cellStyle name="40% - Accent1 3 16" xfId="680"/>
    <cellStyle name="40% - Accent1 3 16 2" xfId="681"/>
    <cellStyle name="40% - Accent1 3 17" xfId="682"/>
    <cellStyle name="40% - Accent1 3 17 2" xfId="683"/>
    <cellStyle name="40% - Accent1 3 2" xfId="684"/>
    <cellStyle name="40% - Accent1 3 2 2" xfId="685"/>
    <cellStyle name="40% - Accent1 3 3" xfId="686"/>
    <cellStyle name="40% - Accent1 3 3 2" xfId="687"/>
    <cellStyle name="40% - Accent1 3 4" xfId="688"/>
    <cellStyle name="40% - Accent1 3 4 2" xfId="689"/>
    <cellStyle name="40% - Accent1 3 5" xfId="690"/>
    <cellStyle name="40% - Accent1 3 5 2" xfId="691"/>
    <cellStyle name="40% - Accent1 3 6" xfId="692"/>
    <cellStyle name="40% - Accent1 3 6 2" xfId="693"/>
    <cellStyle name="40% - Accent1 3 7" xfId="694"/>
    <cellStyle name="40% - Accent1 3 7 2" xfId="695"/>
    <cellStyle name="40% - Accent1 3 8" xfId="696"/>
    <cellStyle name="40% - Accent1 3 8 2" xfId="697"/>
    <cellStyle name="40% - Accent1 3 9" xfId="698"/>
    <cellStyle name="40% - Accent1 3 9 2" xfId="699"/>
    <cellStyle name="40% - Accent2" xfId="700"/>
    <cellStyle name="40% - Accent2 2" xfId="701"/>
    <cellStyle name="40% - Accent2 2 10" xfId="702"/>
    <cellStyle name="40% - Accent2 2 10 2" xfId="703"/>
    <cellStyle name="40% - Accent2 2 11" xfId="704"/>
    <cellStyle name="40% - Accent2 2 11 2" xfId="705"/>
    <cellStyle name="40% - Accent2 2 12" xfId="706"/>
    <cellStyle name="40% - Accent2 2 12 2" xfId="707"/>
    <cellStyle name="40% - Accent2 2 13" xfId="708"/>
    <cellStyle name="40% - Accent2 2 13 2" xfId="709"/>
    <cellStyle name="40% - Accent2 2 14" xfId="710"/>
    <cellStyle name="40% - Accent2 2 14 2" xfId="711"/>
    <cellStyle name="40% - Accent2 2 15" xfId="712"/>
    <cellStyle name="40% - Accent2 2 15 2" xfId="713"/>
    <cellStyle name="40% - Accent2 2 16" xfId="714"/>
    <cellStyle name="40% - Accent2 2 16 2" xfId="715"/>
    <cellStyle name="40% - Accent2 2 17" xfId="716"/>
    <cellStyle name="40% - Accent2 2 17 2" xfId="717"/>
    <cellStyle name="40% - Accent2 2 18" xfId="718"/>
    <cellStyle name="40% - Accent2 2 2" xfId="719"/>
    <cellStyle name="40% - Accent2 2 2 2" xfId="720"/>
    <cellStyle name="40% - Accent2 2 3" xfId="721"/>
    <cellStyle name="40% - Accent2 2 3 2" xfId="722"/>
    <cellStyle name="40% - Accent2 2 4" xfId="723"/>
    <cellStyle name="40% - Accent2 2 4 2" xfId="724"/>
    <cellStyle name="40% - Accent2 2 5" xfId="725"/>
    <cellStyle name="40% - Accent2 2 5 2" xfId="726"/>
    <cellStyle name="40% - Accent2 2 6" xfId="727"/>
    <cellStyle name="40% - Accent2 2 6 2" xfId="728"/>
    <cellStyle name="40% - Accent2 2 7" xfId="729"/>
    <cellStyle name="40% - Accent2 2 7 2" xfId="730"/>
    <cellStyle name="40% - Accent2 2 8" xfId="731"/>
    <cellStyle name="40% - Accent2 2 8 2" xfId="732"/>
    <cellStyle name="40% - Accent2 2 9" xfId="733"/>
    <cellStyle name="40% - Accent2 2 9 2" xfId="734"/>
    <cellStyle name="40% - Accent2 3 10" xfId="735"/>
    <cellStyle name="40% - Accent2 3 10 2" xfId="736"/>
    <cellStyle name="40% - Accent2 3 11" xfId="737"/>
    <cellStyle name="40% - Accent2 3 11 2" xfId="738"/>
    <cellStyle name="40% - Accent2 3 12" xfId="739"/>
    <cellStyle name="40% - Accent2 3 12 2" xfId="740"/>
    <cellStyle name="40% - Accent2 3 13" xfId="741"/>
    <cellStyle name="40% - Accent2 3 13 2" xfId="742"/>
    <cellStyle name="40% - Accent2 3 14" xfId="743"/>
    <cellStyle name="40% - Accent2 3 14 2" xfId="744"/>
    <cellStyle name="40% - Accent2 3 15" xfId="745"/>
    <cellStyle name="40% - Accent2 3 15 2" xfId="746"/>
    <cellStyle name="40% - Accent2 3 16" xfId="747"/>
    <cellStyle name="40% - Accent2 3 16 2" xfId="748"/>
    <cellStyle name="40% - Accent2 3 17" xfId="749"/>
    <cellStyle name="40% - Accent2 3 17 2" xfId="750"/>
    <cellStyle name="40% - Accent2 3 2" xfId="751"/>
    <cellStyle name="40% - Accent2 3 2 2" xfId="752"/>
    <cellStyle name="40% - Accent2 3 3" xfId="753"/>
    <cellStyle name="40% - Accent2 3 3 2" xfId="754"/>
    <cellStyle name="40% - Accent2 3 4" xfId="755"/>
    <cellStyle name="40% - Accent2 3 4 2" xfId="756"/>
    <cellStyle name="40% - Accent2 3 5" xfId="757"/>
    <cellStyle name="40% - Accent2 3 5 2" xfId="758"/>
    <cellStyle name="40% - Accent2 3 6" xfId="759"/>
    <cellStyle name="40% - Accent2 3 6 2" xfId="760"/>
    <cellStyle name="40% - Accent2 3 7" xfId="761"/>
    <cellStyle name="40% - Accent2 3 7 2" xfId="762"/>
    <cellStyle name="40% - Accent2 3 8" xfId="763"/>
    <cellStyle name="40% - Accent2 3 8 2" xfId="764"/>
    <cellStyle name="40% - Accent2 3 9" xfId="765"/>
    <cellStyle name="40% - Accent2 3 9 2" xfId="766"/>
    <cellStyle name="40% - Accent3" xfId="767"/>
    <cellStyle name="40% - Accent3 2" xfId="768"/>
    <cellStyle name="40% - Accent3 2 10" xfId="769"/>
    <cellStyle name="40% - Accent3 2 10 2" xfId="770"/>
    <cellStyle name="40% - Accent3 2 11" xfId="771"/>
    <cellStyle name="40% - Accent3 2 11 2" xfId="772"/>
    <cellStyle name="40% - Accent3 2 12" xfId="773"/>
    <cellStyle name="40% - Accent3 2 12 2" xfId="774"/>
    <cellStyle name="40% - Accent3 2 13" xfId="775"/>
    <cellStyle name="40% - Accent3 2 13 2" xfId="776"/>
    <cellStyle name="40% - Accent3 2 14" xfId="777"/>
    <cellStyle name="40% - Accent3 2 14 2" xfId="778"/>
    <cellStyle name="40% - Accent3 2 15" xfId="779"/>
    <cellStyle name="40% - Accent3 2 15 2" xfId="780"/>
    <cellStyle name="40% - Accent3 2 16" xfId="781"/>
    <cellStyle name="40% - Accent3 2 16 2" xfId="782"/>
    <cellStyle name="40% - Accent3 2 17" xfId="783"/>
    <cellStyle name="40% - Accent3 2 17 2" xfId="784"/>
    <cellStyle name="40% - Accent3 2 18" xfId="785"/>
    <cellStyle name="40% - Accent3 2 2" xfId="786"/>
    <cellStyle name="40% - Accent3 2 2 2" xfId="787"/>
    <cellStyle name="40% - Accent3 2 3" xfId="788"/>
    <cellStyle name="40% - Accent3 2 3 2" xfId="789"/>
    <cellStyle name="40% - Accent3 2 4" xfId="790"/>
    <cellStyle name="40% - Accent3 2 4 2" xfId="791"/>
    <cellStyle name="40% - Accent3 2 5" xfId="792"/>
    <cellStyle name="40% - Accent3 2 5 2" xfId="793"/>
    <cellStyle name="40% - Accent3 2 6" xfId="794"/>
    <cellStyle name="40% - Accent3 2 6 2" xfId="795"/>
    <cellStyle name="40% - Accent3 2 7" xfId="796"/>
    <cellStyle name="40% - Accent3 2 7 2" xfId="797"/>
    <cellStyle name="40% - Accent3 2 8" xfId="798"/>
    <cellStyle name="40% - Accent3 2 8 2" xfId="799"/>
    <cellStyle name="40% - Accent3 2 9" xfId="800"/>
    <cellStyle name="40% - Accent3 2 9 2" xfId="801"/>
    <cellStyle name="40% - Accent3 3 10" xfId="802"/>
    <cellStyle name="40% - Accent3 3 10 2" xfId="803"/>
    <cellStyle name="40% - Accent3 3 11" xfId="804"/>
    <cellStyle name="40% - Accent3 3 11 2" xfId="805"/>
    <cellStyle name="40% - Accent3 3 12" xfId="806"/>
    <cellStyle name="40% - Accent3 3 12 2" xfId="807"/>
    <cellStyle name="40% - Accent3 3 13" xfId="808"/>
    <cellStyle name="40% - Accent3 3 13 2" xfId="809"/>
    <cellStyle name="40% - Accent3 3 14" xfId="810"/>
    <cellStyle name="40% - Accent3 3 14 2" xfId="811"/>
    <cellStyle name="40% - Accent3 3 15" xfId="812"/>
    <cellStyle name="40% - Accent3 3 15 2" xfId="813"/>
    <cellStyle name="40% - Accent3 3 16" xfId="814"/>
    <cellStyle name="40% - Accent3 3 16 2" xfId="815"/>
    <cellStyle name="40% - Accent3 3 17" xfId="816"/>
    <cellStyle name="40% - Accent3 3 17 2" xfId="817"/>
    <cellStyle name="40% - Accent3 3 2" xfId="818"/>
    <cellStyle name="40% - Accent3 3 2 2" xfId="819"/>
    <cellStyle name="40% - Accent3 3 3" xfId="820"/>
    <cellStyle name="40% - Accent3 3 3 2" xfId="821"/>
    <cellStyle name="40% - Accent3 3 4" xfId="822"/>
    <cellStyle name="40% - Accent3 3 4 2" xfId="823"/>
    <cellStyle name="40% - Accent3 3 5" xfId="824"/>
    <cellStyle name="40% - Accent3 3 5 2" xfId="825"/>
    <cellStyle name="40% - Accent3 3 6" xfId="826"/>
    <cellStyle name="40% - Accent3 3 6 2" xfId="827"/>
    <cellStyle name="40% - Accent3 3 7" xfId="828"/>
    <cellStyle name="40% - Accent3 3 7 2" xfId="829"/>
    <cellStyle name="40% - Accent3 3 8" xfId="830"/>
    <cellStyle name="40% - Accent3 3 8 2" xfId="831"/>
    <cellStyle name="40% - Accent3 3 9" xfId="832"/>
    <cellStyle name="40% - Accent3 3 9 2" xfId="833"/>
    <cellStyle name="40% - Accent4" xfId="834"/>
    <cellStyle name="40% - Accent4 2" xfId="835"/>
    <cellStyle name="40% - Accent4 2 10" xfId="836"/>
    <cellStyle name="40% - Accent4 2 10 2" xfId="837"/>
    <cellStyle name="40% - Accent4 2 11" xfId="838"/>
    <cellStyle name="40% - Accent4 2 11 2" xfId="839"/>
    <cellStyle name="40% - Accent4 2 12" xfId="840"/>
    <cellStyle name="40% - Accent4 2 12 2" xfId="841"/>
    <cellStyle name="40% - Accent4 2 13" xfId="842"/>
    <cellStyle name="40% - Accent4 2 13 2" xfId="843"/>
    <cellStyle name="40% - Accent4 2 14" xfId="844"/>
    <cellStyle name="40% - Accent4 2 14 2" xfId="845"/>
    <cellStyle name="40% - Accent4 2 15" xfId="846"/>
    <cellStyle name="40% - Accent4 2 15 2" xfId="847"/>
    <cellStyle name="40% - Accent4 2 16" xfId="848"/>
    <cellStyle name="40% - Accent4 2 16 2" xfId="849"/>
    <cellStyle name="40% - Accent4 2 17" xfId="850"/>
    <cellStyle name="40% - Accent4 2 17 2" xfId="851"/>
    <cellStyle name="40% - Accent4 2 18" xfId="852"/>
    <cellStyle name="40% - Accent4 2 2" xfId="853"/>
    <cellStyle name="40% - Accent4 2 2 2" xfId="854"/>
    <cellStyle name="40% - Accent4 2 3" xfId="855"/>
    <cellStyle name="40% - Accent4 2 3 2" xfId="856"/>
    <cellStyle name="40% - Accent4 2 4" xfId="857"/>
    <cellStyle name="40% - Accent4 2 4 2" xfId="858"/>
    <cellStyle name="40% - Accent4 2 5" xfId="859"/>
    <cellStyle name="40% - Accent4 2 5 2" xfId="860"/>
    <cellStyle name="40% - Accent4 2 6" xfId="861"/>
    <cellStyle name="40% - Accent4 2 6 2" xfId="862"/>
    <cellStyle name="40% - Accent4 2 7" xfId="863"/>
    <cellStyle name="40% - Accent4 2 7 2" xfId="864"/>
    <cellStyle name="40% - Accent4 2 8" xfId="865"/>
    <cellStyle name="40% - Accent4 2 8 2" xfId="866"/>
    <cellStyle name="40% - Accent4 2 9" xfId="867"/>
    <cellStyle name="40% - Accent4 2 9 2" xfId="868"/>
    <cellStyle name="40% - Accent4 3 10" xfId="869"/>
    <cellStyle name="40% - Accent4 3 10 2" xfId="870"/>
    <cellStyle name="40% - Accent4 3 11" xfId="871"/>
    <cellStyle name="40% - Accent4 3 11 2" xfId="872"/>
    <cellStyle name="40% - Accent4 3 12" xfId="873"/>
    <cellStyle name="40% - Accent4 3 12 2" xfId="874"/>
    <cellStyle name="40% - Accent4 3 13" xfId="875"/>
    <cellStyle name="40% - Accent4 3 13 2" xfId="876"/>
    <cellStyle name="40% - Accent4 3 14" xfId="877"/>
    <cellStyle name="40% - Accent4 3 14 2" xfId="878"/>
    <cellStyle name="40% - Accent4 3 15" xfId="879"/>
    <cellStyle name="40% - Accent4 3 15 2" xfId="880"/>
    <cellStyle name="40% - Accent4 3 16" xfId="881"/>
    <cellStyle name="40% - Accent4 3 16 2" xfId="882"/>
    <cellStyle name="40% - Accent4 3 17" xfId="883"/>
    <cellStyle name="40% - Accent4 3 17 2" xfId="884"/>
    <cellStyle name="40% - Accent4 3 2" xfId="885"/>
    <cellStyle name="40% - Accent4 3 2 2" xfId="886"/>
    <cellStyle name="40% - Accent4 3 3" xfId="887"/>
    <cellStyle name="40% - Accent4 3 3 2" xfId="888"/>
    <cellStyle name="40% - Accent4 3 4" xfId="889"/>
    <cellStyle name="40% - Accent4 3 4 2" xfId="890"/>
    <cellStyle name="40% - Accent4 3 5" xfId="891"/>
    <cellStyle name="40% - Accent4 3 5 2" xfId="892"/>
    <cellStyle name="40% - Accent4 3 6" xfId="893"/>
    <cellStyle name="40% - Accent4 3 6 2" xfId="894"/>
    <cellStyle name="40% - Accent4 3 7" xfId="895"/>
    <cellStyle name="40% - Accent4 3 7 2" xfId="896"/>
    <cellStyle name="40% - Accent4 3 8" xfId="897"/>
    <cellStyle name="40% - Accent4 3 8 2" xfId="898"/>
    <cellStyle name="40% - Accent4 3 9" xfId="899"/>
    <cellStyle name="40% - Accent4 3 9 2" xfId="900"/>
    <cellStyle name="40% - Accent5" xfId="901"/>
    <cellStyle name="40% - Accent5 2" xfId="902"/>
    <cellStyle name="40% - Accent5 2 10" xfId="903"/>
    <cellStyle name="40% - Accent5 2 10 2" xfId="904"/>
    <cellStyle name="40% - Accent5 2 11" xfId="905"/>
    <cellStyle name="40% - Accent5 2 11 2" xfId="906"/>
    <cellStyle name="40% - Accent5 2 12" xfId="907"/>
    <cellStyle name="40% - Accent5 2 12 2" xfId="908"/>
    <cellStyle name="40% - Accent5 2 13" xfId="909"/>
    <cellStyle name="40% - Accent5 2 13 2" xfId="910"/>
    <cellStyle name="40% - Accent5 2 14" xfId="911"/>
    <cellStyle name="40% - Accent5 2 14 2" xfId="912"/>
    <cellStyle name="40% - Accent5 2 15" xfId="913"/>
    <cellStyle name="40% - Accent5 2 15 2" xfId="914"/>
    <cellStyle name="40% - Accent5 2 16" xfId="915"/>
    <cellStyle name="40% - Accent5 2 16 2" xfId="916"/>
    <cellStyle name="40% - Accent5 2 17" xfId="917"/>
    <cellStyle name="40% - Accent5 2 17 2" xfId="918"/>
    <cellStyle name="40% - Accent5 2 18" xfId="919"/>
    <cellStyle name="40% - Accent5 2 2" xfId="920"/>
    <cellStyle name="40% - Accent5 2 2 2" xfId="921"/>
    <cellStyle name="40% - Accent5 2 3" xfId="922"/>
    <cellStyle name="40% - Accent5 2 3 2" xfId="923"/>
    <cellStyle name="40% - Accent5 2 4" xfId="924"/>
    <cellStyle name="40% - Accent5 2 4 2" xfId="925"/>
    <cellStyle name="40% - Accent5 2 5" xfId="926"/>
    <cellStyle name="40% - Accent5 2 5 2" xfId="927"/>
    <cellStyle name="40% - Accent5 2 6" xfId="928"/>
    <cellStyle name="40% - Accent5 2 6 2" xfId="929"/>
    <cellStyle name="40% - Accent5 2 7" xfId="930"/>
    <cellStyle name="40% - Accent5 2 7 2" xfId="931"/>
    <cellStyle name="40% - Accent5 2 8" xfId="932"/>
    <cellStyle name="40% - Accent5 2 8 2" xfId="933"/>
    <cellStyle name="40% - Accent5 2 9" xfId="934"/>
    <cellStyle name="40% - Accent5 2 9 2" xfId="935"/>
    <cellStyle name="40% - Accent5 3 10" xfId="936"/>
    <cellStyle name="40% - Accent5 3 10 2" xfId="937"/>
    <cellStyle name="40% - Accent5 3 11" xfId="938"/>
    <cellStyle name="40% - Accent5 3 11 2" xfId="939"/>
    <cellStyle name="40% - Accent5 3 12" xfId="940"/>
    <cellStyle name="40% - Accent5 3 12 2" xfId="941"/>
    <cellStyle name="40% - Accent5 3 13" xfId="942"/>
    <cellStyle name="40% - Accent5 3 13 2" xfId="943"/>
    <cellStyle name="40% - Accent5 3 14" xfId="944"/>
    <cellStyle name="40% - Accent5 3 14 2" xfId="945"/>
    <cellStyle name="40% - Accent5 3 15" xfId="946"/>
    <cellStyle name="40% - Accent5 3 15 2" xfId="947"/>
    <cellStyle name="40% - Accent5 3 16" xfId="948"/>
    <cellStyle name="40% - Accent5 3 16 2" xfId="949"/>
    <cellStyle name="40% - Accent5 3 17" xfId="950"/>
    <cellStyle name="40% - Accent5 3 17 2" xfId="951"/>
    <cellStyle name="40% - Accent5 3 2" xfId="952"/>
    <cellStyle name="40% - Accent5 3 2 2" xfId="953"/>
    <cellStyle name="40% - Accent5 3 3" xfId="954"/>
    <cellStyle name="40% - Accent5 3 3 2" xfId="955"/>
    <cellStyle name="40% - Accent5 3 4" xfId="956"/>
    <cellStyle name="40% - Accent5 3 4 2" xfId="957"/>
    <cellStyle name="40% - Accent5 3 5" xfId="958"/>
    <cellStyle name="40% - Accent5 3 5 2" xfId="959"/>
    <cellStyle name="40% - Accent5 3 6" xfId="960"/>
    <cellStyle name="40% - Accent5 3 6 2" xfId="961"/>
    <cellStyle name="40% - Accent5 3 7" xfId="962"/>
    <cellStyle name="40% - Accent5 3 7 2" xfId="963"/>
    <cellStyle name="40% - Accent5 3 8" xfId="964"/>
    <cellStyle name="40% - Accent5 3 8 2" xfId="965"/>
    <cellStyle name="40% - Accent5 3 9" xfId="966"/>
    <cellStyle name="40% - Accent5 3 9 2" xfId="967"/>
    <cellStyle name="40% - Accent6" xfId="968"/>
    <cellStyle name="40% - Accent6 2" xfId="969"/>
    <cellStyle name="40% - Accent6 2 10" xfId="970"/>
    <cellStyle name="40% - Accent6 2 10 2" xfId="971"/>
    <cellStyle name="40% - Accent6 2 11" xfId="972"/>
    <cellStyle name="40% - Accent6 2 11 2" xfId="973"/>
    <cellStyle name="40% - Accent6 2 12" xfId="974"/>
    <cellStyle name="40% - Accent6 2 12 2" xfId="975"/>
    <cellStyle name="40% - Accent6 2 13" xfId="976"/>
    <cellStyle name="40% - Accent6 2 13 2" xfId="977"/>
    <cellStyle name="40% - Accent6 2 14" xfId="978"/>
    <cellStyle name="40% - Accent6 2 14 2" xfId="979"/>
    <cellStyle name="40% - Accent6 2 15" xfId="980"/>
    <cellStyle name="40% - Accent6 2 15 2" xfId="981"/>
    <cellStyle name="40% - Accent6 2 16" xfId="982"/>
    <cellStyle name="40% - Accent6 2 16 2" xfId="983"/>
    <cellStyle name="40% - Accent6 2 17" xfId="984"/>
    <cellStyle name="40% - Accent6 2 17 2" xfId="985"/>
    <cellStyle name="40% - Accent6 2 18" xfId="986"/>
    <cellStyle name="40% - Accent6 2 2" xfId="987"/>
    <cellStyle name="40% - Accent6 2 2 2" xfId="988"/>
    <cellStyle name="40% - Accent6 2 3" xfId="989"/>
    <cellStyle name="40% - Accent6 2 3 2" xfId="990"/>
    <cellStyle name="40% - Accent6 2 4" xfId="991"/>
    <cellStyle name="40% - Accent6 2 4 2" xfId="992"/>
    <cellStyle name="40% - Accent6 2 5" xfId="993"/>
    <cellStyle name="40% - Accent6 2 5 2" xfId="994"/>
    <cellStyle name="40% - Accent6 2 6" xfId="995"/>
    <cellStyle name="40% - Accent6 2 6 2" xfId="996"/>
    <cellStyle name="40% - Accent6 2 7" xfId="997"/>
    <cellStyle name="40% - Accent6 2 7 2" xfId="998"/>
    <cellStyle name="40% - Accent6 2 8" xfId="999"/>
    <cellStyle name="40% - Accent6 2 8 2" xfId="1000"/>
    <cellStyle name="40% - Accent6 2 9" xfId="1001"/>
    <cellStyle name="40% - Accent6 2 9 2" xfId="1002"/>
    <cellStyle name="40% - Accent6 3 10" xfId="1003"/>
    <cellStyle name="40% - Accent6 3 10 2" xfId="1004"/>
    <cellStyle name="40% - Accent6 3 11" xfId="1005"/>
    <cellStyle name="40% - Accent6 3 11 2" xfId="1006"/>
    <cellStyle name="40% - Accent6 3 12" xfId="1007"/>
    <cellStyle name="40% - Accent6 3 12 2" xfId="1008"/>
    <cellStyle name="40% - Accent6 3 13" xfId="1009"/>
    <cellStyle name="40% - Accent6 3 13 2" xfId="1010"/>
    <cellStyle name="40% - Accent6 3 14" xfId="1011"/>
    <cellStyle name="40% - Accent6 3 14 2" xfId="1012"/>
    <cellStyle name="40% - Accent6 3 15" xfId="1013"/>
    <cellStyle name="40% - Accent6 3 15 2" xfId="1014"/>
    <cellStyle name="40% - Accent6 3 16" xfId="1015"/>
    <cellStyle name="40% - Accent6 3 16 2" xfId="1016"/>
    <cellStyle name="40% - Accent6 3 17" xfId="1017"/>
    <cellStyle name="40% - Accent6 3 17 2" xfId="1018"/>
    <cellStyle name="40% - Accent6 3 2" xfId="1019"/>
    <cellStyle name="40% - Accent6 3 2 2" xfId="1020"/>
    <cellStyle name="40% - Accent6 3 3" xfId="1021"/>
    <cellStyle name="40% - Accent6 3 3 2" xfId="1022"/>
    <cellStyle name="40% - Accent6 3 4" xfId="1023"/>
    <cellStyle name="40% - Accent6 3 4 2" xfId="1024"/>
    <cellStyle name="40% - Accent6 3 5" xfId="1025"/>
    <cellStyle name="40% - Accent6 3 5 2" xfId="1026"/>
    <cellStyle name="40% - Accent6 3 6" xfId="1027"/>
    <cellStyle name="40% - Accent6 3 6 2" xfId="1028"/>
    <cellStyle name="40% - Accent6 3 7" xfId="1029"/>
    <cellStyle name="40% - Accent6 3 7 2" xfId="1030"/>
    <cellStyle name="40% - Accent6 3 8" xfId="1031"/>
    <cellStyle name="40% - Accent6 3 8 2" xfId="1032"/>
    <cellStyle name="40% - Accent6 3 9" xfId="1033"/>
    <cellStyle name="40% - Accent6 3 9 2" xfId="1034"/>
    <cellStyle name="40% - Colore 1" xfId="1035"/>
    <cellStyle name="40% - Colore 1 2" xfId="1036"/>
    <cellStyle name="40% - Colore 1 2 2" xfId="1037"/>
    <cellStyle name="40% - Colore 1 2 3" xfId="1038"/>
    <cellStyle name="40% - Colore 1 3" xfId="1039"/>
    <cellStyle name="40% - Colore 1 3 2" xfId="1040"/>
    <cellStyle name="40% - Colore 1 3 3" xfId="1041"/>
    <cellStyle name="40% - Colore 1 4" xfId="1042"/>
    <cellStyle name="40% - Colore 1 4 2" xfId="1043"/>
    <cellStyle name="40% - Colore 1 5" xfId="1044"/>
    <cellStyle name="40% - Colore 1 6" xfId="1045"/>
    <cellStyle name="40% - Colore 1 7" xfId="1046"/>
    <cellStyle name="40% - Colore 2" xfId="1047"/>
    <cellStyle name="40% - Colore 2 2" xfId="1048"/>
    <cellStyle name="40% - Colore 2 2 2" xfId="1049"/>
    <cellStyle name="40% - Colore 2 2 3" xfId="1050"/>
    <cellStyle name="40% - Colore 2 3" xfId="1051"/>
    <cellStyle name="40% - Colore 2 3 2" xfId="1052"/>
    <cellStyle name="40% - Colore 2 3 3" xfId="1053"/>
    <cellStyle name="40% - Colore 2 4" xfId="1054"/>
    <cellStyle name="40% - Colore 2 4 2" xfId="1055"/>
    <cellStyle name="40% - Colore 2 5" xfId="1056"/>
    <cellStyle name="40% - Colore 2 6" xfId="1057"/>
    <cellStyle name="40% - Colore 2 7" xfId="1058"/>
    <cellStyle name="40% - Colore 3" xfId="1059"/>
    <cellStyle name="40% - Colore 3 10" xfId="1060"/>
    <cellStyle name="40% - Colore 3 10 2" xfId="1061"/>
    <cellStyle name="40% - Colore 3 10 3" xfId="1062"/>
    <cellStyle name="40% - Colore 3 11" xfId="1063"/>
    <cellStyle name="40% - Colore 3 11 2" xfId="1064"/>
    <cellStyle name="40% - Colore 3 11 3" xfId="1065"/>
    <cellStyle name="40% - Colore 3 12" xfId="1066"/>
    <cellStyle name="40% - Colore 3 12 2" xfId="1067"/>
    <cellStyle name="40% - Colore 3 12 3" xfId="1068"/>
    <cellStyle name="40% - Colore 3 13" xfId="1069"/>
    <cellStyle name="40% - Colore 3 13 2" xfId="1070"/>
    <cellStyle name="40% - Colore 3 13 3" xfId="1071"/>
    <cellStyle name="40% - Colore 3 14" xfId="1072"/>
    <cellStyle name="40% - Colore 3 14 2" xfId="1073"/>
    <cellStyle name="40% - Colore 3 14 3" xfId="1074"/>
    <cellStyle name="40% - Colore 3 15" xfId="1075"/>
    <cellStyle name="40% - Colore 3 15 2" xfId="1076"/>
    <cellStyle name="40% - Colore 3 15 3" xfId="1077"/>
    <cellStyle name="40% - Colore 3 16" xfId="1078"/>
    <cellStyle name="40% - Colore 3 16 2" xfId="1079"/>
    <cellStyle name="40% - Colore 3 17" xfId="1080"/>
    <cellStyle name="40% - Colore 3 18" xfId="1081"/>
    <cellStyle name="40% - Colore 3 19" xfId="1082"/>
    <cellStyle name="40% - Colore 3 2" xfId="1083"/>
    <cellStyle name="40% - Colore 3 2 2" xfId="1084"/>
    <cellStyle name="40% - Colore 3 2 3" xfId="1085"/>
    <cellStyle name="40% - Colore 3 3" xfId="1086"/>
    <cellStyle name="40% - Colore 3 3 2" xfId="1087"/>
    <cellStyle name="40% - Colore 3 3 3" xfId="1088"/>
    <cellStyle name="40% - Colore 3 4" xfId="1089"/>
    <cellStyle name="40% - Colore 3 4 2" xfId="1090"/>
    <cellStyle name="40% - Colore 3 4 3" xfId="1091"/>
    <cellStyle name="40% - Colore 3 5" xfId="1092"/>
    <cellStyle name="40% - Colore 3 5 2" xfId="1093"/>
    <cellStyle name="40% - Colore 3 5 3" xfId="1094"/>
    <cellStyle name="40% - Colore 3 6" xfId="1095"/>
    <cellStyle name="40% - Colore 3 6 2" xfId="1096"/>
    <cellStyle name="40% - Colore 3 6 3" xfId="1097"/>
    <cellStyle name="40% - Colore 3 7" xfId="1098"/>
    <cellStyle name="40% - Colore 3 7 2" xfId="1099"/>
    <cellStyle name="40% - Colore 3 7 3" xfId="1100"/>
    <cellStyle name="40% - Colore 3 8" xfId="1101"/>
    <cellStyle name="40% - Colore 3 8 2" xfId="1102"/>
    <cellStyle name="40% - Colore 3 8 3" xfId="1103"/>
    <cellStyle name="40% - Colore 3 9" xfId="1104"/>
    <cellStyle name="40% - Colore 3 9 2" xfId="1105"/>
    <cellStyle name="40% - Colore 3 9 3" xfId="1106"/>
    <cellStyle name="40% - Colore 4" xfId="1107"/>
    <cellStyle name="40% - Colore 4 2" xfId="1108"/>
    <cellStyle name="40% - Colore 4 2 2" xfId="1109"/>
    <cellStyle name="40% - Colore 4 2 3" xfId="1110"/>
    <cellStyle name="40% - Colore 4 3" xfId="1111"/>
    <cellStyle name="40% - Colore 4 3 2" xfId="1112"/>
    <cellStyle name="40% - Colore 4 3 3" xfId="1113"/>
    <cellStyle name="40% - Colore 4 4" xfId="1114"/>
    <cellStyle name="40% - Colore 4 4 2" xfId="1115"/>
    <cellStyle name="40% - Colore 4 5" xfId="1116"/>
    <cellStyle name="40% - Colore 4 6" xfId="1117"/>
    <cellStyle name="40% - Colore 4 7" xfId="1118"/>
    <cellStyle name="40% - Colore 5" xfId="1119"/>
    <cellStyle name="40% - Colore 5 2" xfId="1120"/>
    <cellStyle name="40% - Colore 5 2 2" xfId="1121"/>
    <cellStyle name="40% - Colore 5 2 3" xfId="1122"/>
    <cellStyle name="40% - Colore 5 3" xfId="1123"/>
    <cellStyle name="40% - Colore 5 3 2" xfId="1124"/>
    <cellStyle name="40% - Colore 5 3 3" xfId="1125"/>
    <cellStyle name="40% - Colore 5 4" xfId="1126"/>
    <cellStyle name="40% - Colore 5 4 2" xfId="1127"/>
    <cellStyle name="40% - Colore 5 5" xfId="1128"/>
    <cellStyle name="40% - Colore 5 6" xfId="1129"/>
    <cellStyle name="40% - Colore 5 7" xfId="1130"/>
    <cellStyle name="40% - Colore 6" xfId="1131"/>
    <cellStyle name="40% - Colore 6 2" xfId="1132"/>
    <cellStyle name="40% - Colore 6 2 2" xfId="1133"/>
    <cellStyle name="40% - Colore 6 2 3" xfId="1134"/>
    <cellStyle name="40% - Colore 6 3" xfId="1135"/>
    <cellStyle name="40% - Colore 6 3 2" xfId="1136"/>
    <cellStyle name="40% - Colore 6 3 3" xfId="1137"/>
    <cellStyle name="40% - Colore 6 4" xfId="1138"/>
    <cellStyle name="40% - Colore 6 4 2" xfId="1139"/>
    <cellStyle name="40% - Colore 6 5" xfId="1140"/>
    <cellStyle name="40% - Colore 6 6" xfId="1141"/>
    <cellStyle name="40% - Colore 6 7" xfId="1142"/>
    <cellStyle name="60% - Accent1" xfId="1143"/>
    <cellStyle name="60% - Accent1 2" xfId="1144"/>
    <cellStyle name="60% - Accent1 2 10" xfId="1145"/>
    <cellStyle name="60% - Accent1 2 11" xfId="1146"/>
    <cellStyle name="60% - Accent1 2 12" xfId="1147"/>
    <cellStyle name="60% - Accent1 2 13" xfId="1148"/>
    <cellStyle name="60% - Accent1 2 14" xfId="1149"/>
    <cellStyle name="60% - Accent1 2 15" xfId="1150"/>
    <cellStyle name="60% - Accent1 2 16" xfId="1151"/>
    <cellStyle name="60% - Accent1 2 17" xfId="1152"/>
    <cellStyle name="60% - Accent1 2 2" xfId="1153"/>
    <cellStyle name="60% - Accent1 2 3" xfId="1154"/>
    <cellStyle name="60% - Accent1 2 4" xfId="1155"/>
    <cellStyle name="60% - Accent1 2 5" xfId="1156"/>
    <cellStyle name="60% - Accent1 2 6" xfId="1157"/>
    <cellStyle name="60% - Accent1 2 7" xfId="1158"/>
    <cellStyle name="60% - Accent1 2 8" xfId="1159"/>
    <cellStyle name="60% - Accent1 2 9" xfId="1160"/>
    <cellStyle name="60% - Accent1 3 10" xfId="1161"/>
    <cellStyle name="60% - Accent1 3 11" xfId="1162"/>
    <cellStyle name="60% - Accent1 3 12" xfId="1163"/>
    <cellStyle name="60% - Accent1 3 13" xfId="1164"/>
    <cellStyle name="60% - Accent1 3 14" xfId="1165"/>
    <cellStyle name="60% - Accent1 3 15" xfId="1166"/>
    <cellStyle name="60% - Accent1 3 16" xfId="1167"/>
    <cellStyle name="60% - Accent1 3 17" xfId="1168"/>
    <cellStyle name="60% - Accent1 3 2" xfId="1169"/>
    <cellStyle name="60% - Accent1 3 3" xfId="1170"/>
    <cellStyle name="60% - Accent1 3 4" xfId="1171"/>
    <cellStyle name="60% - Accent1 3 5" xfId="1172"/>
    <cellStyle name="60% - Accent1 3 6" xfId="1173"/>
    <cellStyle name="60% - Accent1 3 7" xfId="1174"/>
    <cellStyle name="60% - Accent1 3 8" xfId="1175"/>
    <cellStyle name="60% - Accent1 3 9" xfId="1176"/>
    <cellStyle name="60% - Accent2" xfId="1177"/>
    <cellStyle name="60% - Accent2 2" xfId="1178"/>
    <cellStyle name="60% - Accent2 2 10" xfId="1179"/>
    <cellStyle name="60% - Accent2 2 11" xfId="1180"/>
    <cellStyle name="60% - Accent2 2 12" xfId="1181"/>
    <cellStyle name="60% - Accent2 2 13" xfId="1182"/>
    <cellStyle name="60% - Accent2 2 14" xfId="1183"/>
    <cellStyle name="60% - Accent2 2 15" xfId="1184"/>
    <cellStyle name="60% - Accent2 2 16" xfId="1185"/>
    <cellStyle name="60% - Accent2 2 17" xfId="1186"/>
    <cellStyle name="60% - Accent2 2 2" xfId="1187"/>
    <cellStyle name="60% - Accent2 2 3" xfId="1188"/>
    <cellStyle name="60% - Accent2 2 4" xfId="1189"/>
    <cellStyle name="60% - Accent2 2 5" xfId="1190"/>
    <cellStyle name="60% - Accent2 2 6" xfId="1191"/>
    <cellStyle name="60% - Accent2 2 7" xfId="1192"/>
    <cellStyle name="60% - Accent2 2 8" xfId="1193"/>
    <cellStyle name="60% - Accent2 2 9" xfId="1194"/>
    <cellStyle name="60% - Accent2 3 10" xfId="1195"/>
    <cellStyle name="60% - Accent2 3 11" xfId="1196"/>
    <cellStyle name="60% - Accent2 3 12" xfId="1197"/>
    <cellStyle name="60% - Accent2 3 13" xfId="1198"/>
    <cellStyle name="60% - Accent2 3 14" xfId="1199"/>
    <cellStyle name="60% - Accent2 3 15" xfId="1200"/>
    <cellStyle name="60% - Accent2 3 16" xfId="1201"/>
    <cellStyle name="60% - Accent2 3 17" xfId="1202"/>
    <cellStyle name="60% - Accent2 3 2" xfId="1203"/>
    <cellStyle name="60% - Accent2 3 3" xfId="1204"/>
    <cellStyle name="60% - Accent2 3 4" xfId="1205"/>
    <cellStyle name="60% - Accent2 3 5" xfId="1206"/>
    <cellStyle name="60% - Accent2 3 6" xfId="1207"/>
    <cellStyle name="60% - Accent2 3 7" xfId="1208"/>
    <cellStyle name="60% - Accent2 3 8" xfId="1209"/>
    <cellStyle name="60% - Accent2 3 9" xfId="1210"/>
    <cellStyle name="60% - Accent3" xfId="1211"/>
    <cellStyle name="60% - Accent3 2" xfId="1212"/>
    <cellStyle name="60% - Accent3 2 10" xfId="1213"/>
    <cellStyle name="60% - Accent3 2 11" xfId="1214"/>
    <cellStyle name="60% - Accent3 2 12" xfId="1215"/>
    <cellStyle name="60% - Accent3 2 13" xfId="1216"/>
    <cellStyle name="60% - Accent3 2 14" xfId="1217"/>
    <cellStyle name="60% - Accent3 2 15" xfId="1218"/>
    <cellStyle name="60% - Accent3 2 16" xfId="1219"/>
    <cellStyle name="60% - Accent3 2 17" xfId="1220"/>
    <cellStyle name="60% - Accent3 2 2" xfId="1221"/>
    <cellStyle name="60% - Accent3 2 3" xfId="1222"/>
    <cellStyle name="60% - Accent3 2 4" xfId="1223"/>
    <cellStyle name="60% - Accent3 2 5" xfId="1224"/>
    <cellStyle name="60% - Accent3 2 6" xfId="1225"/>
    <cellStyle name="60% - Accent3 2 7" xfId="1226"/>
    <cellStyle name="60% - Accent3 2 8" xfId="1227"/>
    <cellStyle name="60% - Accent3 2 9" xfId="1228"/>
    <cellStyle name="60% - Accent3 3 10" xfId="1229"/>
    <cellStyle name="60% - Accent3 3 11" xfId="1230"/>
    <cellStyle name="60% - Accent3 3 12" xfId="1231"/>
    <cellStyle name="60% - Accent3 3 13" xfId="1232"/>
    <cellStyle name="60% - Accent3 3 14" xfId="1233"/>
    <cellStyle name="60% - Accent3 3 15" xfId="1234"/>
    <cellStyle name="60% - Accent3 3 16" xfId="1235"/>
    <cellStyle name="60% - Accent3 3 17" xfId="1236"/>
    <cellStyle name="60% - Accent3 3 2" xfId="1237"/>
    <cellStyle name="60% - Accent3 3 3" xfId="1238"/>
    <cellStyle name="60% - Accent3 3 4" xfId="1239"/>
    <cellStyle name="60% - Accent3 3 5" xfId="1240"/>
    <cellStyle name="60% - Accent3 3 6" xfId="1241"/>
    <cellStyle name="60% - Accent3 3 7" xfId="1242"/>
    <cellStyle name="60% - Accent3 3 8" xfId="1243"/>
    <cellStyle name="60% - Accent3 3 9" xfId="1244"/>
    <cellStyle name="60% - Accent4" xfId="1245"/>
    <cellStyle name="60% - Accent4 2" xfId="1246"/>
    <cellStyle name="60% - Accent4 2 10" xfId="1247"/>
    <cellStyle name="60% - Accent4 2 11" xfId="1248"/>
    <cellStyle name="60% - Accent4 2 12" xfId="1249"/>
    <cellStyle name="60% - Accent4 2 13" xfId="1250"/>
    <cellStyle name="60% - Accent4 2 14" xfId="1251"/>
    <cellStyle name="60% - Accent4 2 15" xfId="1252"/>
    <cellStyle name="60% - Accent4 2 16" xfId="1253"/>
    <cellStyle name="60% - Accent4 2 17" xfId="1254"/>
    <cellStyle name="60% - Accent4 2 2" xfId="1255"/>
    <cellStyle name="60% - Accent4 2 3" xfId="1256"/>
    <cellStyle name="60% - Accent4 2 4" xfId="1257"/>
    <cellStyle name="60% - Accent4 2 5" xfId="1258"/>
    <cellStyle name="60% - Accent4 2 6" xfId="1259"/>
    <cellStyle name="60% - Accent4 2 7" xfId="1260"/>
    <cellStyle name="60% - Accent4 2 8" xfId="1261"/>
    <cellStyle name="60% - Accent4 2 9" xfId="1262"/>
    <cellStyle name="60% - Accent4 3 10" xfId="1263"/>
    <cellStyle name="60% - Accent4 3 11" xfId="1264"/>
    <cellStyle name="60% - Accent4 3 12" xfId="1265"/>
    <cellStyle name="60% - Accent4 3 13" xfId="1266"/>
    <cellStyle name="60% - Accent4 3 14" xfId="1267"/>
    <cellStyle name="60% - Accent4 3 15" xfId="1268"/>
    <cellStyle name="60% - Accent4 3 16" xfId="1269"/>
    <cellStyle name="60% - Accent4 3 17" xfId="1270"/>
    <cellStyle name="60% - Accent4 3 2" xfId="1271"/>
    <cellStyle name="60% - Accent4 3 3" xfId="1272"/>
    <cellStyle name="60% - Accent4 3 4" xfId="1273"/>
    <cellStyle name="60% - Accent4 3 5" xfId="1274"/>
    <cellStyle name="60% - Accent4 3 6" xfId="1275"/>
    <cellStyle name="60% - Accent4 3 7" xfId="1276"/>
    <cellStyle name="60% - Accent4 3 8" xfId="1277"/>
    <cellStyle name="60% - Accent4 3 9" xfId="1278"/>
    <cellStyle name="60% - Accent5" xfId="1279"/>
    <cellStyle name="60% - Accent5 2" xfId="1280"/>
    <cellStyle name="60% - Accent5 2 10" xfId="1281"/>
    <cellStyle name="60% - Accent5 2 11" xfId="1282"/>
    <cellStyle name="60% - Accent5 2 12" xfId="1283"/>
    <cellStyle name="60% - Accent5 2 13" xfId="1284"/>
    <cellStyle name="60% - Accent5 2 14" xfId="1285"/>
    <cellStyle name="60% - Accent5 2 15" xfId="1286"/>
    <cellStyle name="60% - Accent5 2 16" xfId="1287"/>
    <cellStyle name="60% - Accent5 2 17" xfId="1288"/>
    <cellStyle name="60% - Accent5 2 2" xfId="1289"/>
    <cellStyle name="60% - Accent5 2 3" xfId="1290"/>
    <cellStyle name="60% - Accent5 2 4" xfId="1291"/>
    <cellStyle name="60% - Accent5 2 5" xfId="1292"/>
    <cellStyle name="60% - Accent5 2 6" xfId="1293"/>
    <cellStyle name="60% - Accent5 2 7" xfId="1294"/>
    <cellStyle name="60% - Accent5 2 8" xfId="1295"/>
    <cellStyle name="60% - Accent5 2 9" xfId="1296"/>
    <cellStyle name="60% - Accent5 3 10" xfId="1297"/>
    <cellStyle name="60% - Accent5 3 11" xfId="1298"/>
    <cellStyle name="60% - Accent5 3 12" xfId="1299"/>
    <cellStyle name="60% - Accent5 3 13" xfId="1300"/>
    <cellStyle name="60% - Accent5 3 14" xfId="1301"/>
    <cellStyle name="60% - Accent5 3 15" xfId="1302"/>
    <cellStyle name="60% - Accent5 3 16" xfId="1303"/>
    <cellStyle name="60% - Accent5 3 17" xfId="1304"/>
    <cellStyle name="60% - Accent5 3 2" xfId="1305"/>
    <cellStyle name="60% - Accent5 3 3" xfId="1306"/>
    <cellStyle name="60% - Accent5 3 4" xfId="1307"/>
    <cellStyle name="60% - Accent5 3 5" xfId="1308"/>
    <cellStyle name="60% - Accent5 3 6" xfId="1309"/>
    <cellStyle name="60% - Accent5 3 7" xfId="1310"/>
    <cellStyle name="60% - Accent5 3 8" xfId="1311"/>
    <cellStyle name="60% - Accent5 3 9" xfId="1312"/>
    <cellStyle name="60% - Accent6" xfId="1313"/>
    <cellStyle name="60% - Accent6 2" xfId="1314"/>
    <cellStyle name="60% - Accent6 2 10" xfId="1315"/>
    <cellStyle name="60% - Accent6 2 11" xfId="1316"/>
    <cellStyle name="60% - Accent6 2 12" xfId="1317"/>
    <cellStyle name="60% - Accent6 2 13" xfId="1318"/>
    <cellStyle name="60% - Accent6 2 14" xfId="1319"/>
    <cellStyle name="60% - Accent6 2 15" xfId="1320"/>
    <cellStyle name="60% - Accent6 2 16" xfId="1321"/>
    <cellStyle name="60% - Accent6 2 17" xfId="1322"/>
    <cellStyle name="60% - Accent6 2 2" xfId="1323"/>
    <cellStyle name="60% - Accent6 2 3" xfId="1324"/>
    <cellStyle name="60% - Accent6 2 4" xfId="1325"/>
    <cellStyle name="60% - Accent6 2 5" xfId="1326"/>
    <cellStyle name="60% - Accent6 2 6" xfId="1327"/>
    <cellStyle name="60% - Accent6 2 7" xfId="1328"/>
    <cellStyle name="60% - Accent6 2 8" xfId="1329"/>
    <cellStyle name="60% - Accent6 2 9" xfId="1330"/>
    <cellStyle name="60% - Accent6 3 10" xfId="1331"/>
    <cellStyle name="60% - Accent6 3 11" xfId="1332"/>
    <cellStyle name="60% - Accent6 3 12" xfId="1333"/>
    <cellStyle name="60% - Accent6 3 13" xfId="1334"/>
    <cellStyle name="60% - Accent6 3 14" xfId="1335"/>
    <cellStyle name="60% - Accent6 3 15" xfId="1336"/>
    <cellStyle name="60% - Accent6 3 16" xfId="1337"/>
    <cellStyle name="60% - Accent6 3 17" xfId="1338"/>
    <cellStyle name="60% - Accent6 3 2" xfId="1339"/>
    <cellStyle name="60% - Accent6 3 3" xfId="1340"/>
    <cellStyle name="60% - Accent6 3 4" xfId="1341"/>
    <cellStyle name="60% - Accent6 3 5" xfId="1342"/>
    <cellStyle name="60% - Accent6 3 6" xfId="1343"/>
    <cellStyle name="60% - Accent6 3 7" xfId="1344"/>
    <cellStyle name="60% - Accent6 3 8" xfId="1345"/>
    <cellStyle name="60% - Accent6 3 9" xfId="1346"/>
    <cellStyle name="60% - Colore 1" xfId="1347"/>
    <cellStyle name="60% - Colore 1 2" xfId="1348"/>
    <cellStyle name="60% - Colore 1 2 2" xfId="1349"/>
    <cellStyle name="60% - Colore 1 3" xfId="1350"/>
    <cellStyle name="60% - Colore 1 4" xfId="1351"/>
    <cellStyle name="60% - Colore 2" xfId="1352"/>
    <cellStyle name="60% - Colore 2 2" xfId="1353"/>
    <cellStyle name="60% - Colore 2 2 2" xfId="1354"/>
    <cellStyle name="60% - Colore 2 3" xfId="1355"/>
    <cellStyle name="60% - Colore 2 4" xfId="1356"/>
    <cellStyle name="60% - Colore 3" xfId="1357"/>
    <cellStyle name="60% - Colore 3 10" xfId="1358"/>
    <cellStyle name="60% - Colore 3 11" xfId="1359"/>
    <cellStyle name="60% - Colore 3 12" xfId="1360"/>
    <cellStyle name="60% - Colore 3 13" xfId="1361"/>
    <cellStyle name="60% - Colore 3 14" xfId="1362"/>
    <cellStyle name="60% - Colore 3 14 2" xfId="1363"/>
    <cellStyle name="60% - Colore 3 15" xfId="1364"/>
    <cellStyle name="60% - Colore 3 16" xfId="1365"/>
    <cellStyle name="60% - Colore 3 2" xfId="1366"/>
    <cellStyle name="60% - Colore 3 3" xfId="1367"/>
    <cellStyle name="60% - Colore 3 4" xfId="1368"/>
    <cellStyle name="60% - Colore 3 5" xfId="1369"/>
    <cellStyle name="60% - Colore 3 6" xfId="1370"/>
    <cellStyle name="60% - Colore 3 7" xfId="1371"/>
    <cellStyle name="60% - Colore 3 8" xfId="1372"/>
    <cellStyle name="60% - Colore 3 9" xfId="1373"/>
    <cellStyle name="60% - Colore 4" xfId="1374"/>
    <cellStyle name="60% - Colore 4 10" xfId="1375"/>
    <cellStyle name="60% - Colore 4 11" xfId="1376"/>
    <cellStyle name="60% - Colore 4 12" xfId="1377"/>
    <cellStyle name="60% - Colore 4 13" xfId="1378"/>
    <cellStyle name="60% - Colore 4 14" xfId="1379"/>
    <cellStyle name="60% - Colore 4 14 2" xfId="1380"/>
    <cellStyle name="60% - Colore 4 15" xfId="1381"/>
    <cellStyle name="60% - Colore 4 16" xfId="1382"/>
    <cellStyle name="60% - Colore 4 2" xfId="1383"/>
    <cellStyle name="60% - Colore 4 3" xfId="1384"/>
    <cellStyle name="60% - Colore 4 4" xfId="1385"/>
    <cellStyle name="60% - Colore 4 5" xfId="1386"/>
    <cellStyle name="60% - Colore 4 6" xfId="1387"/>
    <cellStyle name="60% - Colore 4 7" xfId="1388"/>
    <cellStyle name="60% - Colore 4 8" xfId="1389"/>
    <cellStyle name="60% - Colore 4 9" xfId="1390"/>
    <cellStyle name="60% - Colore 5" xfId="1391"/>
    <cellStyle name="60% - Colore 5 2" xfId="1392"/>
    <cellStyle name="60% - Colore 5 2 2" xfId="1393"/>
    <cellStyle name="60% - Colore 5 3" xfId="1394"/>
    <cellStyle name="60% - Colore 5 4" xfId="1395"/>
    <cellStyle name="60% - Colore 6" xfId="1396"/>
    <cellStyle name="60% - Colore 6 10" xfId="1397"/>
    <cellStyle name="60% - Colore 6 11" xfId="1398"/>
    <cellStyle name="60% - Colore 6 12" xfId="1399"/>
    <cellStyle name="60% - Colore 6 13" xfId="1400"/>
    <cellStyle name="60% - Colore 6 14" xfId="1401"/>
    <cellStyle name="60% - Colore 6 14 2" xfId="1402"/>
    <cellStyle name="60% - Colore 6 15" xfId="1403"/>
    <cellStyle name="60% - Colore 6 16" xfId="1404"/>
    <cellStyle name="60% - Colore 6 2" xfId="1405"/>
    <cellStyle name="60% - Colore 6 3" xfId="1406"/>
    <cellStyle name="60% - Colore 6 4" xfId="1407"/>
    <cellStyle name="60% - Colore 6 5" xfId="1408"/>
    <cellStyle name="60% - Colore 6 6" xfId="1409"/>
    <cellStyle name="60% - Colore 6 7" xfId="1410"/>
    <cellStyle name="60% - Colore 6 8" xfId="1411"/>
    <cellStyle name="60% - Colore 6 9" xfId="1412"/>
    <cellStyle name="Accent1" xfId="1413"/>
    <cellStyle name="Accent1 2" xfId="1414"/>
    <cellStyle name="Accent1 2 10" xfId="1415"/>
    <cellStyle name="Accent1 2 11" xfId="1416"/>
    <cellStyle name="Accent1 2 12" xfId="1417"/>
    <cellStyle name="Accent1 2 13" xfId="1418"/>
    <cellStyle name="Accent1 2 14" xfId="1419"/>
    <cellStyle name="Accent1 2 15" xfId="1420"/>
    <cellStyle name="Accent1 2 16" xfId="1421"/>
    <cellStyle name="Accent1 2 17" xfId="1422"/>
    <cellStyle name="Accent1 2 2" xfId="1423"/>
    <cellStyle name="Accent1 2 3" xfId="1424"/>
    <cellStyle name="Accent1 2 4" xfId="1425"/>
    <cellStyle name="Accent1 2 5" xfId="1426"/>
    <cellStyle name="Accent1 2 6" xfId="1427"/>
    <cellStyle name="Accent1 2 7" xfId="1428"/>
    <cellStyle name="Accent1 2 8" xfId="1429"/>
    <cellStyle name="Accent1 2 9" xfId="1430"/>
    <cellStyle name="Accent1 3 10" xfId="1431"/>
    <cellStyle name="Accent1 3 11" xfId="1432"/>
    <cellStyle name="Accent1 3 12" xfId="1433"/>
    <cellStyle name="Accent1 3 13" xfId="1434"/>
    <cellStyle name="Accent1 3 14" xfId="1435"/>
    <cellStyle name="Accent1 3 15" xfId="1436"/>
    <cellStyle name="Accent1 3 16" xfId="1437"/>
    <cellStyle name="Accent1 3 17" xfId="1438"/>
    <cellStyle name="Accent1 3 2" xfId="1439"/>
    <cellStyle name="Accent1 3 3" xfId="1440"/>
    <cellStyle name="Accent1 3 4" xfId="1441"/>
    <cellStyle name="Accent1 3 5" xfId="1442"/>
    <cellStyle name="Accent1 3 6" xfId="1443"/>
    <cellStyle name="Accent1 3 7" xfId="1444"/>
    <cellStyle name="Accent1 3 8" xfId="1445"/>
    <cellStyle name="Accent1 3 9" xfId="1446"/>
    <cellStyle name="Accent2" xfId="1447"/>
    <cellStyle name="Accent2 2" xfId="1448"/>
    <cellStyle name="Accent2 2 10" xfId="1449"/>
    <cellStyle name="Accent2 2 11" xfId="1450"/>
    <cellStyle name="Accent2 2 12" xfId="1451"/>
    <cellStyle name="Accent2 2 13" xfId="1452"/>
    <cellStyle name="Accent2 2 14" xfId="1453"/>
    <cellStyle name="Accent2 2 15" xfId="1454"/>
    <cellStyle name="Accent2 2 16" xfId="1455"/>
    <cellStyle name="Accent2 2 17" xfId="1456"/>
    <cellStyle name="Accent2 2 2" xfId="1457"/>
    <cellStyle name="Accent2 2 3" xfId="1458"/>
    <cellStyle name="Accent2 2 4" xfId="1459"/>
    <cellStyle name="Accent2 2 5" xfId="1460"/>
    <cellStyle name="Accent2 2 6" xfId="1461"/>
    <cellStyle name="Accent2 2 7" xfId="1462"/>
    <cellStyle name="Accent2 2 8" xfId="1463"/>
    <cellStyle name="Accent2 2 9" xfId="1464"/>
    <cellStyle name="Accent2 3 10" xfId="1465"/>
    <cellStyle name="Accent2 3 11" xfId="1466"/>
    <cellStyle name="Accent2 3 12" xfId="1467"/>
    <cellStyle name="Accent2 3 13" xfId="1468"/>
    <cellStyle name="Accent2 3 14" xfId="1469"/>
    <cellStyle name="Accent2 3 15" xfId="1470"/>
    <cellStyle name="Accent2 3 16" xfId="1471"/>
    <cellStyle name="Accent2 3 17" xfId="1472"/>
    <cellStyle name="Accent2 3 2" xfId="1473"/>
    <cellStyle name="Accent2 3 3" xfId="1474"/>
    <cellStyle name="Accent2 3 4" xfId="1475"/>
    <cellStyle name="Accent2 3 5" xfId="1476"/>
    <cellStyle name="Accent2 3 6" xfId="1477"/>
    <cellStyle name="Accent2 3 7" xfId="1478"/>
    <cellStyle name="Accent2 3 8" xfId="1479"/>
    <cellStyle name="Accent2 3 9" xfId="1480"/>
    <cellStyle name="Accent3" xfId="1481"/>
    <cellStyle name="Accent3 2" xfId="1482"/>
    <cellStyle name="Accent3 2 10" xfId="1483"/>
    <cellStyle name="Accent3 2 11" xfId="1484"/>
    <cellStyle name="Accent3 2 12" xfId="1485"/>
    <cellStyle name="Accent3 2 13" xfId="1486"/>
    <cellStyle name="Accent3 2 14" xfId="1487"/>
    <cellStyle name="Accent3 2 15" xfId="1488"/>
    <cellStyle name="Accent3 2 16" xfId="1489"/>
    <cellStyle name="Accent3 2 17" xfId="1490"/>
    <cellStyle name="Accent3 2 2" xfId="1491"/>
    <cellStyle name="Accent3 2 3" xfId="1492"/>
    <cellStyle name="Accent3 2 4" xfId="1493"/>
    <cellStyle name="Accent3 2 5" xfId="1494"/>
    <cellStyle name="Accent3 2 6" xfId="1495"/>
    <cellStyle name="Accent3 2 7" xfId="1496"/>
    <cellStyle name="Accent3 2 8" xfId="1497"/>
    <cellStyle name="Accent3 2 9" xfId="1498"/>
    <cellStyle name="Accent3 3 10" xfId="1499"/>
    <cellStyle name="Accent3 3 11" xfId="1500"/>
    <cellStyle name="Accent3 3 12" xfId="1501"/>
    <cellStyle name="Accent3 3 13" xfId="1502"/>
    <cellStyle name="Accent3 3 14" xfId="1503"/>
    <cellStyle name="Accent3 3 15" xfId="1504"/>
    <cellStyle name="Accent3 3 16" xfId="1505"/>
    <cellStyle name="Accent3 3 17" xfId="1506"/>
    <cellStyle name="Accent3 3 2" xfId="1507"/>
    <cellStyle name="Accent3 3 3" xfId="1508"/>
    <cellStyle name="Accent3 3 4" xfId="1509"/>
    <cellStyle name="Accent3 3 5" xfId="1510"/>
    <cellStyle name="Accent3 3 6" xfId="1511"/>
    <cellStyle name="Accent3 3 7" xfId="1512"/>
    <cellStyle name="Accent3 3 8" xfId="1513"/>
    <cellStyle name="Accent3 3 9" xfId="1514"/>
    <cellStyle name="Accent4" xfId="1515"/>
    <cellStyle name="Accent4 2" xfId="1516"/>
    <cellStyle name="Accent4 2 10" xfId="1517"/>
    <cellStyle name="Accent4 2 11" xfId="1518"/>
    <cellStyle name="Accent4 2 12" xfId="1519"/>
    <cellStyle name="Accent4 2 13" xfId="1520"/>
    <cellStyle name="Accent4 2 14" xfId="1521"/>
    <cellStyle name="Accent4 2 15" xfId="1522"/>
    <cellStyle name="Accent4 2 16" xfId="1523"/>
    <cellStyle name="Accent4 2 17" xfId="1524"/>
    <cellStyle name="Accent4 2 2" xfId="1525"/>
    <cellStyle name="Accent4 2 3" xfId="1526"/>
    <cellStyle name="Accent4 2 4" xfId="1527"/>
    <cellStyle name="Accent4 2 5" xfId="1528"/>
    <cellStyle name="Accent4 2 6" xfId="1529"/>
    <cellStyle name="Accent4 2 7" xfId="1530"/>
    <cellStyle name="Accent4 2 8" xfId="1531"/>
    <cellStyle name="Accent4 2 9" xfId="1532"/>
    <cellStyle name="Accent4 3 10" xfId="1533"/>
    <cellStyle name="Accent4 3 11" xfId="1534"/>
    <cellStyle name="Accent4 3 12" xfId="1535"/>
    <cellStyle name="Accent4 3 13" xfId="1536"/>
    <cellStyle name="Accent4 3 14" xfId="1537"/>
    <cellStyle name="Accent4 3 15" xfId="1538"/>
    <cellStyle name="Accent4 3 16" xfId="1539"/>
    <cellStyle name="Accent4 3 17" xfId="1540"/>
    <cellStyle name="Accent4 3 2" xfId="1541"/>
    <cellStyle name="Accent4 3 3" xfId="1542"/>
    <cellStyle name="Accent4 3 4" xfId="1543"/>
    <cellStyle name="Accent4 3 5" xfId="1544"/>
    <cellStyle name="Accent4 3 6" xfId="1545"/>
    <cellStyle name="Accent4 3 7" xfId="1546"/>
    <cellStyle name="Accent4 3 8" xfId="1547"/>
    <cellStyle name="Accent4 3 9" xfId="1548"/>
    <cellStyle name="Accent5" xfId="1549"/>
    <cellStyle name="Accent5 2" xfId="1550"/>
    <cellStyle name="Accent5 2 10" xfId="1551"/>
    <cellStyle name="Accent5 2 11" xfId="1552"/>
    <cellStyle name="Accent5 2 12" xfId="1553"/>
    <cellStyle name="Accent5 2 13" xfId="1554"/>
    <cellStyle name="Accent5 2 14" xfId="1555"/>
    <cellStyle name="Accent5 2 15" xfId="1556"/>
    <cellStyle name="Accent5 2 16" xfId="1557"/>
    <cellStyle name="Accent5 2 17" xfId="1558"/>
    <cellStyle name="Accent5 2 2" xfId="1559"/>
    <cellStyle name="Accent5 2 3" xfId="1560"/>
    <cellStyle name="Accent5 2 4" xfId="1561"/>
    <cellStyle name="Accent5 2 5" xfId="1562"/>
    <cellStyle name="Accent5 2 6" xfId="1563"/>
    <cellStyle name="Accent5 2 7" xfId="1564"/>
    <cellStyle name="Accent5 2 8" xfId="1565"/>
    <cellStyle name="Accent5 2 9" xfId="1566"/>
    <cellStyle name="Accent5 3 10" xfId="1567"/>
    <cellStyle name="Accent5 3 11" xfId="1568"/>
    <cellStyle name="Accent5 3 12" xfId="1569"/>
    <cellStyle name="Accent5 3 13" xfId="1570"/>
    <cellStyle name="Accent5 3 14" xfId="1571"/>
    <cellStyle name="Accent5 3 15" xfId="1572"/>
    <cellStyle name="Accent5 3 16" xfId="1573"/>
    <cellStyle name="Accent5 3 17" xfId="1574"/>
    <cellStyle name="Accent5 3 2" xfId="1575"/>
    <cellStyle name="Accent5 3 3" xfId="1576"/>
    <cellStyle name="Accent5 3 4" xfId="1577"/>
    <cellStyle name="Accent5 3 5" xfId="1578"/>
    <cellStyle name="Accent5 3 6" xfId="1579"/>
    <cellStyle name="Accent5 3 7" xfId="1580"/>
    <cellStyle name="Accent5 3 8" xfId="1581"/>
    <cellStyle name="Accent5 3 9" xfId="1582"/>
    <cellStyle name="Accent6" xfId="1583"/>
    <cellStyle name="Accent6 2" xfId="1584"/>
    <cellStyle name="Accent6 2 10" xfId="1585"/>
    <cellStyle name="Accent6 2 11" xfId="1586"/>
    <cellStyle name="Accent6 2 12" xfId="1587"/>
    <cellStyle name="Accent6 2 13" xfId="1588"/>
    <cellStyle name="Accent6 2 14" xfId="1589"/>
    <cellStyle name="Accent6 2 15" xfId="1590"/>
    <cellStyle name="Accent6 2 16" xfId="1591"/>
    <cellStyle name="Accent6 2 17" xfId="1592"/>
    <cellStyle name="Accent6 2 2" xfId="1593"/>
    <cellStyle name="Accent6 2 3" xfId="1594"/>
    <cellStyle name="Accent6 2 4" xfId="1595"/>
    <cellStyle name="Accent6 2 5" xfId="1596"/>
    <cellStyle name="Accent6 2 6" xfId="1597"/>
    <cellStyle name="Accent6 2 7" xfId="1598"/>
    <cellStyle name="Accent6 2 8" xfId="1599"/>
    <cellStyle name="Accent6 2 9" xfId="1600"/>
    <cellStyle name="Accent6 3 10" xfId="1601"/>
    <cellStyle name="Accent6 3 11" xfId="1602"/>
    <cellStyle name="Accent6 3 12" xfId="1603"/>
    <cellStyle name="Accent6 3 13" xfId="1604"/>
    <cellStyle name="Accent6 3 14" xfId="1605"/>
    <cellStyle name="Accent6 3 15" xfId="1606"/>
    <cellStyle name="Accent6 3 16" xfId="1607"/>
    <cellStyle name="Accent6 3 17" xfId="1608"/>
    <cellStyle name="Accent6 3 2" xfId="1609"/>
    <cellStyle name="Accent6 3 3" xfId="1610"/>
    <cellStyle name="Accent6 3 4" xfId="1611"/>
    <cellStyle name="Accent6 3 5" xfId="1612"/>
    <cellStyle name="Accent6 3 6" xfId="1613"/>
    <cellStyle name="Accent6 3 7" xfId="1614"/>
    <cellStyle name="Accent6 3 8" xfId="1615"/>
    <cellStyle name="Accent6 3 9" xfId="1616"/>
    <cellStyle name="Bad" xfId="1617"/>
    <cellStyle name="Bad 2" xfId="1618"/>
    <cellStyle name="Bad 2 10" xfId="1619"/>
    <cellStyle name="Bad 2 11" xfId="1620"/>
    <cellStyle name="Bad 2 12" xfId="1621"/>
    <cellStyle name="Bad 2 13" xfId="1622"/>
    <cellStyle name="Bad 2 14" xfId="1623"/>
    <cellStyle name="Bad 2 15" xfId="1624"/>
    <cellStyle name="Bad 2 16" xfId="1625"/>
    <cellStyle name="Bad 2 17" xfId="1626"/>
    <cellStyle name="Bad 2 2" xfId="1627"/>
    <cellStyle name="Bad 2 3" xfId="1628"/>
    <cellStyle name="Bad 2 4" xfId="1629"/>
    <cellStyle name="Bad 2 5" xfId="1630"/>
    <cellStyle name="Bad 2 6" xfId="1631"/>
    <cellStyle name="Bad 2 7" xfId="1632"/>
    <cellStyle name="Bad 2 8" xfId="1633"/>
    <cellStyle name="Bad 2 9" xfId="1634"/>
    <cellStyle name="Bad 3 10" xfId="1635"/>
    <cellStyle name="Bad 3 11" xfId="1636"/>
    <cellStyle name="Bad 3 12" xfId="1637"/>
    <cellStyle name="Bad 3 13" xfId="1638"/>
    <cellStyle name="Bad 3 14" xfId="1639"/>
    <cellStyle name="Bad 3 15" xfId="1640"/>
    <cellStyle name="Bad 3 16" xfId="1641"/>
    <cellStyle name="Bad 3 17" xfId="1642"/>
    <cellStyle name="Bad 3 2" xfId="1643"/>
    <cellStyle name="Bad 3 3" xfId="1644"/>
    <cellStyle name="Bad 3 4" xfId="1645"/>
    <cellStyle name="Bad 3 5" xfId="1646"/>
    <cellStyle name="Bad 3 6" xfId="1647"/>
    <cellStyle name="Bad 3 7" xfId="1648"/>
    <cellStyle name="Bad 3 8" xfId="1649"/>
    <cellStyle name="Bad 3 9" xfId="1650"/>
    <cellStyle name="Calcolo" xfId="1651"/>
    <cellStyle name="Calcolo 2" xfId="1652"/>
    <cellStyle name="Calcolo 2 2" xfId="1653"/>
    <cellStyle name="Calcolo 3" xfId="1654"/>
    <cellStyle name="Calcolo 4" xfId="1655"/>
    <cellStyle name="Calculation" xfId="1656"/>
    <cellStyle name="Calculation 2" xfId="1657"/>
    <cellStyle name="Calculation 2 10" xfId="1658"/>
    <cellStyle name="Calculation 2 11" xfId="1659"/>
    <cellStyle name="Calculation 2 12" xfId="1660"/>
    <cellStyle name="Calculation 2 13" xfId="1661"/>
    <cellStyle name="Calculation 2 14" xfId="1662"/>
    <cellStyle name="Calculation 2 15" xfId="1663"/>
    <cellStyle name="Calculation 2 16" xfId="1664"/>
    <cellStyle name="Calculation 2 17" xfId="1665"/>
    <cellStyle name="Calculation 2 2" xfId="1666"/>
    <cellStyle name="Calculation 2 3" xfId="1667"/>
    <cellStyle name="Calculation 2 4" xfId="1668"/>
    <cellStyle name="Calculation 2 5" xfId="1669"/>
    <cellStyle name="Calculation 2 6" xfId="1670"/>
    <cellStyle name="Calculation 2 7" xfId="1671"/>
    <cellStyle name="Calculation 2 8" xfId="1672"/>
    <cellStyle name="Calculation 2 9" xfId="1673"/>
    <cellStyle name="Calculation 3 10" xfId="1674"/>
    <cellStyle name="Calculation 3 11" xfId="1675"/>
    <cellStyle name="Calculation 3 12" xfId="1676"/>
    <cellStyle name="Calculation 3 13" xfId="1677"/>
    <cellStyle name="Calculation 3 14" xfId="1678"/>
    <cellStyle name="Calculation 3 15" xfId="1679"/>
    <cellStyle name="Calculation 3 16" xfId="1680"/>
    <cellStyle name="Calculation 3 17" xfId="1681"/>
    <cellStyle name="Calculation 3 2" xfId="1682"/>
    <cellStyle name="Calculation 3 3" xfId="1683"/>
    <cellStyle name="Calculation 3 4" xfId="1684"/>
    <cellStyle name="Calculation 3 5" xfId="1685"/>
    <cellStyle name="Calculation 3 6" xfId="1686"/>
    <cellStyle name="Calculation 3 7" xfId="1687"/>
    <cellStyle name="Calculation 3 8" xfId="1688"/>
    <cellStyle name="Calculation 3 9" xfId="1689"/>
    <cellStyle name="Cella collegata" xfId="1690"/>
    <cellStyle name="Cella collegata 2" xfId="1691"/>
    <cellStyle name="Cella collegata 2 2" xfId="1692"/>
    <cellStyle name="Cella collegata 3" xfId="1693"/>
    <cellStyle name="Cella collegata 4" xfId="1694"/>
    <cellStyle name="Cella da controllare" xfId="1695"/>
    <cellStyle name="Cella da controllare 2" xfId="1696"/>
    <cellStyle name="Cella da controllare 2 2" xfId="1697"/>
    <cellStyle name="Cella da controllare 3" xfId="1698"/>
    <cellStyle name="Cella da controllare 4" xfId="1699"/>
    <cellStyle name="Check Cell" xfId="1700"/>
    <cellStyle name="Check Cell 2" xfId="1701"/>
    <cellStyle name="Check Cell 2 10" xfId="1702"/>
    <cellStyle name="Check Cell 2 11" xfId="1703"/>
    <cellStyle name="Check Cell 2 12" xfId="1704"/>
    <cellStyle name="Check Cell 2 13" xfId="1705"/>
    <cellStyle name="Check Cell 2 14" xfId="1706"/>
    <cellStyle name="Check Cell 2 15" xfId="1707"/>
    <cellStyle name="Check Cell 2 16" xfId="1708"/>
    <cellStyle name="Check Cell 2 17" xfId="1709"/>
    <cellStyle name="Check Cell 2 2" xfId="1710"/>
    <cellStyle name="Check Cell 2 3" xfId="1711"/>
    <cellStyle name="Check Cell 2 4" xfId="1712"/>
    <cellStyle name="Check Cell 2 5" xfId="1713"/>
    <cellStyle name="Check Cell 2 6" xfId="1714"/>
    <cellStyle name="Check Cell 2 7" xfId="1715"/>
    <cellStyle name="Check Cell 2 8" xfId="1716"/>
    <cellStyle name="Check Cell 2 9" xfId="1717"/>
    <cellStyle name="Check Cell 3 10" xfId="1718"/>
    <cellStyle name="Check Cell 3 11" xfId="1719"/>
    <cellStyle name="Check Cell 3 12" xfId="1720"/>
    <cellStyle name="Check Cell 3 13" xfId="1721"/>
    <cellStyle name="Check Cell 3 14" xfId="1722"/>
    <cellStyle name="Check Cell 3 15" xfId="1723"/>
    <cellStyle name="Check Cell 3 16" xfId="1724"/>
    <cellStyle name="Check Cell 3 17" xfId="1725"/>
    <cellStyle name="Check Cell 3 2" xfId="1726"/>
    <cellStyle name="Check Cell 3 3" xfId="1727"/>
    <cellStyle name="Check Cell 3 4" xfId="1728"/>
    <cellStyle name="Check Cell 3 5" xfId="1729"/>
    <cellStyle name="Check Cell 3 6" xfId="1730"/>
    <cellStyle name="Check Cell 3 7" xfId="1731"/>
    <cellStyle name="Check Cell 3 8" xfId="1732"/>
    <cellStyle name="Check Cell 3 9" xfId="1733"/>
    <cellStyle name="Colore 1" xfId="1734"/>
    <cellStyle name="Colore 1 2" xfId="1735"/>
    <cellStyle name="Colore 1 2 2" xfId="1736"/>
    <cellStyle name="Colore 1 3" xfId="1737"/>
    <cellStyle name="Colore 1 4" xfId="1738"/>
    <cellStyle name="Colore 2" xfId="1739"/>
    <cellStyle name="Colore 2 2" xfId="1740"/>
    <cellStyle name="Colore 2 2 2" xfId="1741"/>
    <cellStyle name="Colore 2 3" xfId="1742"/>
    <cellStyle name="Colore 2 4" xfId="1743"/>
    <cellStyle name="Colore 3" xfId="1744"/>
    <cellStyle name="Colore 3 2" xfId="1745"/>
    <cellStyle name="Colore 3 2 2" xfId="1746"/>
    <cellStyle name="Colore 3 3" xfId="1747"/>
    <cellStyle name="Colore 3 4" xfId="1748"/>
    <cellStyle name="Colore 4" xfId="1749"/>
    <cellStyle name="Colore 4 2" xfId="1750"/>
    <cellStyle name="Colore 4 2 2" xfId="1751"/>
    <cellStyle name="Colore 4 3" xfId="1752"/>
    <cellStyle name="Colore 4 4" xfId="1753"/>
    <cellStyle name="Colore 5" xfId="1754"/>
    <cellStyle name="Colore 5 2" xfId="1755"/>
    <cellStyle name="Colore 5 2 2" xfId="1756"/>
    <cellStyle name="Colore 5 3" xfId="1757"/>
    <cellStyle name="Colore 5 4" xfId="1758"/>
    <cellStyle name="Colore 6" xfId="1759"/>
    <cellStyle name="Colore 6 2" xfId="1760"/>
    <cellStyle name="Colore 6 2 2" xfId="1761"/>
    <cellStyle name="Colore 6 3" xfId="1762"/>
    <cellStyle name="Colore 6 4" xfId="1763"/>
    <cellStyle name="Comma" xfId="1764"/>
    <cellStyle name="Comma [0]" xfId="1765"/>
    <cellStyle name="Comma 2" xfId="1766"/>
    <cellStyle name="Comma 2 2" xfId="1767"/>
    <cellStyle name="Comma 2 2 2" xfId="1768"/>
    <cellStyle name="Comma 2 2 2 2" xfId="1769"/>
    <cellStyle name="Comma 2 2 2 3" xfId="1770"/>
    <cellStyle name="Comma 2 3" xfId="1771"/>
    <cellStyle name="Comma 2 3 2" xfId="1772"/>
    <cellStyle name="Comma 2 3 3" xfId="1773"/>
    <cellStyle name="Comma 2 4" xfId="1774"/>
    <cellStyle name="Comma 2 4 2" xfId="1775"/>
    <cellStyle name="Comma 2 4 3" xfId="1776"/>
    <cellStyle name="Comma 2 5" xfId="1777"/>
    <cellStyle name="Comma 2 5 2" xfId="1778"/>
    <cellStyle name="Comma 2 6" xfId="1779"/>
    <cellStyle name="Comma 2 7" xfId="1780"/>
    <cellStyle name="Comma 3" xfId="1781"/>
    <cellStyle name="Comma 3 2" xfId="1782"/>
    <cellStyle name="Comma 3 2 2" xfId="1783"/>
    <cellStyle name="Comma 3 2 2 2" xfId="1784"/>
    <cellStyle name="Comma 3 3" xfId="1785"/>
    <cellStyle name="Comma 3 4" xfId="1786"/>
    <cellStyle name="Comma 4" xfId="1787"/>
    <cellStyle name="Comma 4 2" xfId="1788"/>
    <cellStyle name="Comma 4 2 2" xfId="1789"/>
    <cellStyle name="Comma 4 2 2 2" xfId="1790"/>
    <cellStyle name="Comma 4 2 3" xfId="1791"/>
    <cellStyle name="Comma 4 2 4" xfId="1792"/>
    <cellStyle name="Comma 4 3" xfId="1793"/>
    <cellStyle name="Comma 4 3 2" xfId="1794"/>
    <cellStyle name="Comma 4 3 3" xfId="1795"/>
    <cellStyle name="Comma 4 4" xfId="1796"/>
    <cellStyle name="Comma 4 5" xfId="1797"/>
    <cellStyle name="Comma 5" xfId="1798"/>
    <cellStyle name="Comma 5 2" xfId="1799"/>
    <cellStyle name="Comma 5 3" xfId="1800"/>
    <cellStyle name="Comma 6" xfId="1801"/>
    <cellStyle name="Currency" xfId="1802"/>
    <cellStyle name="Currency [0]" xfId="1803"/>
    <cellStyle name="Explanatory Text" xfId="1804"/>
    <cellStyle name="Explanatory Text 2" xfId="1805"/>
    <cellStyle name="Explanatory Text 2 10" xfId="1806"/>
    <cellStyle name="Explanatory Text 2 11" xfId="1807"/>
    <cellStyle name="Explanatory Text 2 12" xfId="1808"/>
    <cellStyle name="Explanatory Text 2 13" xfId="1809"/>
    <cellStyle name="Explanatory Text 2 14" xfId="1810"/>
    <cellStyle name="Explanatory Text 2 15" xfId="1811"/>
    <cellStyle name="Explanatory Text 2 16" xfId="1812"/>
    <cellStyle name="Explanatory Text 2 17" xfId="1813"/>
    <cellStyle name="Explanatory Text 2 2" xfId="1814"/>
    <cellStyle name="Explanatory Text 2 3" xfId="1815"/>
    <cellStyle name="Explanatory Text 2 4" xfId="1816"/>
    <cellStyle name="Explanatory Text 2 5" xfId="1817"/>
    <cellStyle name="Explanatory Text 2 6" xfId="1818"/>
    <cellStyle name="Explanatory Text 2 7" xfId="1819"/>
    <cellStyle name="Explanatory Text 2 8" xfId="1820"/>
    <cellStyle name="Explanatory Text 2 9" xfId="1821"/>
    <cellStyle name="Explanatory Text 3 10" xfId="1822"/>
    <cellStyle name="Explanatory Text 3 11" xfId="1823"/>
    <cellStyle name="Explanatory Text 3 12" xfId="1824"/>
    <cellStyle name="Explanatory Text 3 13" xfId="1825"/>
    <cellStyle name="Explanatory Text 3 14" xfId="1826"/>
    <cellStyle name="Explanatory Text 3 15" xfId="1827"/>
    <cellStyle name="Explanatory Text 3 16" xfId="1828"/>
    <cellStyle name="Explanatory Text 3 17" xfId="1829"/>
    <cellStyle name="Explanatory Text 3 2" xfId="1830"/>
    <cellStyle name="Explanatory Text 3 3" xfId="1831"/>
    <cellStyle name="Explanatory Text 3 4" xfId="1832"/>
    <cellStyle name="Explanatory Text 3 5" xfId="1833"/>
    <cellStyle name="Explanatory Text 3 6" xfId="1834"/>
    <cellStyle name="Explanatory Text 3 7" xfId="1835"/>
    <cellStyle name="Explanatory Text 3 8" xfId="1836"/>
    <cellStyle name="Explanatory Text 3 9" xfId="1837"/>
    <cellStyle name="Followed Hyperlink" xfId="1838"/>
    <cellStyle name="Good" xfId="1839"/>
    <cellStyle name="Good 2" xfId="1840"/>
    <cellStyle name="Good 2 10" xfId="1841"/>
    <cellStyle name="Good 2 11" xfId="1842"/>
    <cellStyle name="Good 2 12" xfId="1843"/>
    <cellStyle name="Good 2 13" xfId="1844"/>
    <cellStyle name="Good 2 14" xfId="1845"/>
    <cellStyle name="Good 2 15" xfId="1846"/>
    <cellStyle name="Good 2 16" xfId="1847"/>
    <cellStyle name="Good 2 17" xfId="1848"/>
    <cellStyle name="Good 2 2" xfId="1849"/>
    <cellStyle name="Good 2 3" xfId="1850"/>
    <cellStyle name="Good 2 4" xfId="1851"/>
    <cellStyle name="Good 2 5" xfId="1852"/>
    <cellStyle name="Good 2 6" xfId="1853"/>
    <cellStyle name="Good 2 7" xfId="1854"/>
    <cellStyle name="Good 2 8" xfId="1855"/>
    <cellStyle name="Good 2 9" xfId="1856"/>
    <cellStyle name="Good 3 10" xfId="1857"/>
    <cellStyle name="Good 3 11" xfId="1858"/>
    <cellStyle name="Good 3 12" xfId="1859"/>
    <cellStyle name="Good 3 13" xfId="1860"/>
    <cellStyle name="Good 3 14" xfId="1861"/>
    <cellStyle name="Good 3 15" xfId="1862"/>
    <cellStyle name="Good 3 16" xfId="1863"/>
    <cellStyle name="Good 3 17" xfId="1864"/>
    <cellStyle name="Good 3 2" xfId="1865"/>
    <cellStyle name="Good 3 3" xfId="1866"/>
    <cellStyle name="Good 3 4" xfId="1867"/>
    <cellStyle name="Good 3 5" xfId="1868"/>
    <cellStyle name="Good 3 6" xfId="1869"/>
    <cellStyle name="Good 3 7" xfId="1870"/>
    <cellStyle name="Good 3 8" xfId="1871"/>
    <cellStyle name="Good 3 9" xfId="1872"/>
    <cellStyle name="Heading 1" xfId="1873"/>
    <cellStyle name="Heading 1 2" xfId="1874"/>
    <cellStyle name="Heading 1 2 10" xfId="1875"/>
    <cellStyle name="Heading 1 2 11" xfId="1876"/>
    <cellStyle name="Heading 1 2 12" xfId="1877"/>
    <cellStyle name="Heading 1 2 13" xfId="1878"/>
    <cellStyle name="Heading 1 2 14" xfId="1879"/>
    <cellStyle name="Heading 1 2 15" xfId="1880"/>
    <cellStyle name="Heading 1 2 16" xfId="1881"/>
    <cellStyle name="Heading 1 2 17" xfId="1882"/>
    <cellStyle name="Heading 1 2 18" xfId="1883"/>
    <cellStyle name="Heading 1 2 2" xfId="1884"/>
    <cellStyle name="Heading 1 2 2 2" xfId="1885"/>
    <cellStyle name="Heading 1 2 3" xfId="1886"/>
    <cellStyle name="Heading 1 2 4" xfId="1887"/>
    <cellStyle name="Heading 1 2 5" xfId="1888"/>
    <cellStyle name="Heading 1 2 6" xfId="1889"/>
    <cellStyle name="Heading 1 2 7" xfId="1890"/>
    <cellStyle name="Heading 1 2 8" xfId="1891"/>
    <cellStyle name="Heading 1 2 9" xfId="1892"/>
    <cellStyle name="Heading 1 3" xfId="1893"/>
    <cellStyle name="Heading 1 3 10" xfId="1894"/>
    <cellStyle name="Heading 1 3 11" xfId="1895"/>
    <cellStyle name="Heading 1 3 12" xfId="1896"/>
    <cellStyle name="Heading 1 3 13" xfId="1897"/>
    <cellStyle name="Heading 1 3 14" xfId="1898"/>
    <cellStyle name="Heading 1 3 15" xfId="1899"/>
    <cellStyle name="Heading 1 3 16" xfId="1900"/>
    <cellStyle name="Heading 1 3 17" xfId="1901"/>
    <cellStyle name="Heading 1 3 2" xfId="1902"/>
    <cellStyle name="Heading 1 3 3" xfId="1903"/>
    <cellStyle name="Heading 1 3 4" xfId="1904"/>
    <cellStyle name="Heading 1 3 5" xfId="1905"/>
    <cellStyle name="Heading 1 3 6" xfId="1906"/>
    <cellStyle name="Heading 1 3 7" xfId="1907"/>
    <cellStyle name="Heading 1 3 8" xfId="1908"/>
    <cellStyle name="Heading 1 3 9" xfId="1909"/>
    <cellStyle name="Heading 2" xfId="1910"/>
    <cellStyle name="Heading 2 2" xfId="1911"/>
    <cellStyle name="Heading 2 2 10" xfId="1912"/>
    <cellStyle name="Heading 2 2 11" xfId="1913"/>
    <cellStyle name="Heading 2 2 12" xfId="1914"/>
    <cellStyle name="Heading 2 2 13" xfId="1915"/>
    <cellStyle name="Heading 2 2 14" xfId="1916"/>
    <cellStyle name="Heading 2 2 15" xfId="1917"/>
    <cellStyle name="Heading 2 2 16" xfId="1918"/>
    <cellStyle name="Heading 2 2 17" xfId="1919"/>
    <cellStyle name="Heading 2 2 2" xfId="1920"/>
    <cellStyle name="Heading 2 2 3" xfId="1921"/>
    <cellStyle name="Heading 2 2 4" xfId="1922"/>
    <cellStyle name="Heading 2 2 5" xfId="1923"/>
    <cellStyle name="Heading 2 2 6" xfId="1924"/>
    <cellStyle name="Heading 2 2 7" xfId="1925"/>
    <cellStyle name="Heading 2 2 8" xfId="1926"/>
    <cellStyle name="Heading 2 2 9" xfId="1927"/>
    <cellStyle name="Heading 2 3 10" xfId="1928"/>
    <cellStyle name="Heading 2 3 11" xfId="1929"/>
    <cellStyle name="Heading 2 3 12" xfId="1930"/>
    <cellStyle name="Heading 2 3 13" xfId="1931"/>
    <cellStyle name="Heading 2 3 14" xfId="1932"/>
    <cellStyle name="Heading 2 3 15" xfId="1933"/>
    <cellStyle name="Heading 2 3 16" xfId="1934"/>
    <cellStyle name="Heading 2 3 17" xfId="1935"/>
    <cellStyle name="Heading 2 3 2" xfId="1936"/>
    <cellStyle name="Heading 2 3 3" xfId="1937"/>
    <cellStyle name="Heading 2 3 4" xfId="1938"/>
    <cellStyle name="Heading 2 3 5" xfId="1939"/>
    <cellStyle name="Heading 2 3 6" xfId="1940"/>
    <cellStyle name="Heading 2 3 7" xfId="1941"/>
    <cellStyle name="Heading 2 3 8" xfId="1942"/>
    <cellStyle name="Heading 2 3 9" xfId="1943"/>
    <cellStyle name="Heading 3" xfId="1944"/>
    <cellStyle name="Heading 3 2" xfId="1945"/>
    <cellStyle name="Heading 3 2 10" xfId="1946"/>
    <cellStyle name="Heading 3 2 11" xfId="1947"/>
    <cellStyle name="Heading 3 2 12" xfId="1948"/>
    <cellStyle name="Heading 3 2 13" xfId="1949"/>
    <cellStyle name="Heading 3 2 14" xfId="1950"/>
    <cellStyle name="Heading 3 2 15" xfId="1951"/>
    <cellStyle name="Heading 3 2 16" xfId="1952"/>
    <cellStyle name="Heading 3 2 17" xfId="1953"/>
    <cellStyle name="Heading 3 2 2" xfId="1954"/>
    <cellStyle name="Heading 3 2 3" xfId="1955"/>
    <cellStyle name="Heading 3 2 4" xfId="1956"/>
    <cellStyle name="Heading 3 2 5" xfId="1957"/>
    <cellStyle name="Heading 3 2 6" xfId="1958"/>
    <cellStyle name="Heading 3 2 7" xfId="1959"/>
    <cellStyle name="Heading 3 2 8" xfId="1960"/>
    <cellStyle name="Heading 3 2 9" xfId="1961"/>
    <cellStyle name="Heading 3 3 10" xfId="1962"/>
    <cellStyle name="Heading 3 3 11" xfId="1963"/>
    <cellStyle name="Heading 3 3 12" xfId="1964"/>
    <cellStyle name="Heading 3 3 13" xfId="1965"/>
    <cellStyle name="Heading 3 3 14" xfId="1966"/>
    <cellStyle name="Heading 3 3 15" xfId="1967"/>
    <cellStyle name="Heading 3 3 16" xfId="1968"/>
    <cellStyle name="Heading 3 3 17" xfId="1969"/>
    <cellStyle name="Heading 3 3 2" xfId="1970"/>
    <cellStyle name="Heading 3 3 3" xfId="1971"/>
    <cellStyle name="Heading 3 3 4" xfId="1972"/>
    <cellStyle name="Heading 3 3 5" xfId="1973"/>
    <cellStyle name="Heading 3 3 6" xfId="1974"/>
    <cellStyle name="Heading 3 3 7" xfId="1975"/>
    <cellStyle name="Heading 3 3 8" xfId="1976"/>
    <cellStyle name="Heading 3 3 9" xfId="1977"/>
    <cellStyle name="Heading 4" xfId="1978"/>
    <cellStyle name="Heading 4 2" xfId="1979"/>
    <cellStyle name="Heading 4 2 10" xfId="1980"/>
    <cellStyle name="Heading 4 2 11" xfId="1981"/>
    <cellStyle name="Heading 4 2 12" xfId="1982"/>
    <cellStyle name="Heading 4 2 13" xfId="1983"/>
    <cellStyle name="Heading 4 2 14" xfId="1984"/>
    <cellStyle name="Heading 4 2 15" xfId="1985"/>
    <cellStyle name="Heading 4 2 16" xfId="1986"/>
    <cellStyle name="Heading 4 2 17" xfId="1987"/>
    <cellStyle name="Heading 4 2 2" xfId="1988"/>
    <cellStyle name="Heading 4 2 3" xfId="1989"/>
    <cellStyle name="Heading 4 2 4" xfId="1990"/>
    <cellStyle name="Heading 4 2 5" xfId="1991"/>
    <cellStyle name="Heading 4 2 6" xfId="1992"/>
    <cellStyle name="Heading 4 2 7" xfId="1993"/>
    <cellStyle name="Heading 4 2 8" xfId="1994"/>
    <cellStyle name="Heading 4 2 9" xfId="1995"/>
    <cellStyle name="Heading 4 3 10" xfId="1996"/>
    <cellStyle name="Heading 4 3 11" xfId="1997"/>
    <cellStyle name="Heading 4 3 12" xfId="1998"/>
    <cellStyle name="Heading 4 3 13" xfId="1999"/>
    <cellStyle name="Heading 4 3 14" xfId="2000"/>
    <cellStyle name="Heading 4 3 15" xfId="2001"/>
    <cellStyle name="Heading 4 3 16" xfId="2002"/>
    <cellStyle name="Heading 4 3 17" xfId="2003"/>
    <cellStyle name="Heading 4 3 2" xfId="2004"/>
    <cellStyle name="Heading 4 3 3" xfId="2005"/>
    <cellStyle name="Heading 4 3 4" xfId="2006"/>
    <cellStyle name="Heading 4 3 5" xfId="2007"/>
    <cellStyle name="Heading 4 3 6" xfId="2008"/>
    <cellStyle name="Heading 4 3 7" xfId="2009"/>
    <cellStyle name="Heading 4 3 8" xfId="2010"/>
    <cellStyle name="Heading 4 3 9" xfId="2011"/>
    <cellStyle name="Hyperlink" xfId="2012"/>
    <cellStyle name="Hyperlink 2" xfId="2013"/>
    <cellStyle name="Hyperlink 3" xfId="2014"/>
    <cellStyle name="Input" xfId="2015"/>
    <cellStyle name="Input 2" xfId="2016"/>
    <cellStyle name="Input 2 10" xfId="2017"/>
    <cellStyle name="Input 2 11" xfId="2018"/>
    <cellStyle name="Input 2 12" xfId="2019"/>
    <cellStyle name="Input 2 13" xfId="2020"/>
    <cellStyle name="Input 2 14" xfId="2021"/>
    <cellStyle name="Input 2 15" xfId="2022"/>
    <cellStyle name="Input 2 16" xfId="2023"/>
    <cellStyle name="Input 2 17" xfId="2024"/>
    <cellStyle name="Input 2 18" xfId="2025"/>
    <cellStyle name="Input 2 19" xfId="2026"/>
    <cellStyle name="Input 2 2" xfId="2027"/>
    <cellStyle name="Input 2 20" xfId="2028"/>
    <cellStyle name="Input 2 3" xfId="2029"/>
    <cellStyle name="Input 2 4" xfId="2030"/>
    <cellStyle name="Input 2 5" xfId="2031"/>
    <cellStyle name="Input 2 6" xfId="2032"/>
    <cellStyle name="Input 2 7" xfId="2033"/>
    <cellStyle name="Input 2 8" xfId="2034"/>
    <cellStyle name="Input 2 9" xfId="2035"/>
    <cellStyle name="Input 3" xfId="2036"/>
    <cellStyle name="Input 3 10" xfId="2037"/>
    <cellStyle name="Input 3 11" xfId="2038"/>
    <cellStyle name="Input 3 12" xfId="2039"/>
    <cellStyle name="Input 3 13" xfId="2040"/>
    <cellStyle name="Input 3 14" xfId="2041"/>
    <cellStyle name="Input 3 15" xfId="2042"/>
    <cellStyle name="Input 3 16" xfId="2043"/>
    <cellStyle name="Input 3 17" xfId="2044"/>
    <cellStyle name="Input 3 2" xfId="2045"/>
    <cellStyle name="Input 3 3" xfId="2046"/>
    <cellStyle name="Input 3 4" xfId="2047"/>
    <cellStyle name="Input 3 5" xfId="2048"/>
    <cellStyle name="Input 3 6" xfId="2049"/>
    <cellStyle name="Input 3 7" xfId="2050"/>
    <cellStyle name="Input 3 8" xfId="2051"/>
    <cellStyle name="Input 3 9" xfId="2052"/>
    <cellStyle name="Input 4" xfId="2053"/>
    <cellStyle name="Linked Cell" xfId="2054"/>
    <cellStyle name="Linked Cell 2" xfId="2055"/>
    <cellStyle name="Linked Cell 2 10" xfId="2056"/>
    <cellStyle name="Linked Cell 2 11" xfId="2057"/>
    <cellStyle name="Linked Cell 2 12" xfId="2058"/>
    <cellStyle name="Linked Cell 2 13" xfId="2059"/>
    <cellStyle name="Linked Cell 2 14" xfId="2060"/>
    <cellStyle name="Linked Cell 2 15" xfId="2061"/>
    <cellStyle name="Linked Cell 2 16" xfId="2062"/>
    <cellStyle name="Linked Cell 2 17" xfId="2063"/>
    <cellStyle name="Linked Cell 2 2" xfId="2064"/>
    <cellStyle name="Linked Cell 2 3" xfId="2065"/>
    <cellStyle name="Linked Cell 2 4" xfId="2066"/>
    <cellStyle name="Linked Cell 2 5" xfId="2067"/>
    <cellStyle name="Linked Cell 2 6" xfId="2068"/>
    <cellStyle name="Linked Cell 2 7" xfId="2069"/>
    <cellStyle name="Linked Cell 2 8" xfId="2070"/>
    <cellStyle name="Linked Cell 2 9" xfId="2071"/>
    <cellStyle name="Linked Cell 3 10" xfId="2072"/>
    <cellStyle name="Linked Cell 3 11" xfId="2073"/>
    <cellStyle name="Linked Cell 3 12" xfId="2074"/>
    <cellStyle name="Linked Cell 3 13" xfId="2075"/>
    <cellStyle name="Linked Cell 3 14" xfId="2076"/>
    <cellStyle name="Linked Cell 3 15" xfId="2077"/>
    <cellStyle name="Linked Cell 3 16" xfId="2078"/>
    <cellStyle name="Linked Cell 3 17" xfId="2079"/>
    <cellStyle name="Linked Cell 3 2" xfId="2080"/>
    <cellStyle name="Linked Cell 3 3" xfId="2081"/>
    <cellStyle name="Linked Cell 3 4" xfId="2082"/>
    <cellStyle name="Linked Cell 3 5" xfId="2083"/>
    <cellStyle name="Linked Cell 3 6" xfId="2084"/>
    <cellStyle name="Linked Cell 3 7" xfId="2085"/>
    <cellStyle name="Linked Cell 3 8" xfId="2086"/>
    <cellStyle name="Linked Cell 3 9" xfId="2087"/>
    <cellStyle name="Migliaia 2" xfId="2088"/>
    <cellStyle name="Migliaia 2 2" xfId="2089"/>
    <cellStyle name="Migliaia 2 3" xfId="2090"/>
    <cellStyle name="Migliaia 3" xfId="2091"/>
    <cellStyle name="Migliaia 3 2" xfId="2092"/>
    <cellStyle name="Migliaia 3 3" xfId="2093"/>
    <cellStyle name="Neutral" xfId="2094"/>
    <cellStyle name="Neutral 2" xfId="2095"/>
    <cellStyle name="Neutral 2 10" xfId="2096"/>
    <cellStyle name="Neutral 2 11" xfId="2097"/>
    <cellStyle name="Neutral 2 12" xfId="2098"/>
    <cellStyle name="Neutral 2 13" xfId="2099"/>
    <cellStyle name="Neutral 2 14" xfId="2100"/>
    <cellStyle name="Neutral 2 15" xfId="2101"/>
    <cellStyle name="Neutral 2 16" xfId="2102"/>
    <cellStyle name="Neutral 2 17" xfId="2103"/>
    <cellStyle name="Neutral 2 2" xfId="2104"/>
    <cellStyle name="Neutral 2 3" xfId="2105"/>
    <cellStyle name="Neutral 2 4" xfId="2106"/>
    <cellStyle name="Neutral 2 5" xfId="2107"/>
    <cellStyle name="Neutral 2 6" xfId="2108"/>
    <cellStyle name="Neutral 2 7" xfId="2109"/>
    <cellStyle name="Neutral 2 8" xfId="2110"/>
    <cellStyle name="Neutral 2 9" xfId="2111"/>
    <cellStyle name="Neutral 3 10" xfId="2112"/>
    <cellStyle name="Neutral 3 11" xfId="2113"/>
    <cellStyle name="Neutral 3 12" xfId="2114"/>
    <cellStyle name="Neutral 3 13" xfId="2115"/>
    <cellStyle name="Neutral 3 14" xfId="2116"/>
    <cellStyle name="Neutral 3 15" xfId="2117"/>
    <cellStyle name="Neutral 3 16" xfId="2118"/>
    <cellStyle name="Neutral 3 17" xfId="2119"/>
    <cellStyle name="Neutral 3 2" xfId="2120"/>
    <cellStyle name="Neutral 3 3" xfId="2121"/>
    <cellStyle name="Neutral 3 4" xfId="2122"/>
    <cellStyle name="Neutral 3 5" xfId="2123"/>
    <cellStyle name="Neutral 3 6" xfId="2124"/>
    <cellStyle name="Neutral 3 7" xfId="2125"/>
    <cellStyle name="Neutral 3 8" xfId="2126"/>
    <cellStyle name="Neutral 3 9" xfId="2127"/>
    <cellStyle name="Neutrale" xfId="2128"/>
    <cellStyle name="Neutrale 2" xfId="2129"/>
    <cellStyle name="Neutrale 2 2" xfId="2130"/>
    <cellStyle name="Neutrale 3" xfId="2131"/>
    <cellStyle name="Neutrale 4" xfId="2132"/>
    <cellStyle name="Normal 10" xfId="2133"/>
    <cellStyle name="Normal 10 2" xfId="2134"/>
    <cellStyle name="Normal 10 3" xfId="2135"/>
    <cellStyle name="Normal 11" xfId="2136"/>
    <cellStyle name="Normal 11 2" xfId="2137"/>
    <cellStyle name="Normal 11 2 2" xfId="2138"/>
    <cellStyle name="Normal 12" xfId="2139"/>
    <cellStyle name="Normal 13" xfId="2140"/>
    <cellStyle name="Normal 13 2" xfId="2141"/>
    <cellStyle name="Normal 14" xfId="2142"/>
    <cellStyle name="Normal 14 2" xfId="2143"/>
    <cellStyle name="Normal 14 2 3" xfId="2144"/>
    <cellStyle name="Normal 15" xfId="2145"/>
    <cellStyle name="Normal 15 2" xfId="2146"/>
    <cellStyle name="Normal 15 3" xfId="2147"/>
    <cellStyle name="Normal 16" xfId="2148"/>
    <cellStyle name="Normal 17" xfId="2149"/>
    <cellStyle name="Normal 17 2" xfId="2150"/>
    <cellStyle name="Normal 18" xfId="2151"/>
    <cellStyle name="Normal 19" xfId="2152"/>
    <cellStyle name="Normal 2" xfId="2153"/>
    <cellStyle name="Normal 2 10" xfId="2154"/>
    <cellStyle name="Normal 2 10 2" xfId="2155"/>
    <cellStyle name="Normal 2 11" xfId="2156"/>
    <cellStyle name="Normal 2 11 2" xfId="2157"/>
    <cellStyle name="Normal 2 11 3" xfId="2158"/>
    <cellStyle name="Normal 2 11 3 2" xfId="2159"/>
    <cellStyle name="Normal 2 12" xfId="2160"/>
    <cellStyle name="Normal 2 12 2" xfId="2161"/>
    <cellStyle name="Normal 2 13" xfId="2162"/>
    <cellStyle name="Normal 2 13 2" xfId="2163"/>
    <cellStyle name="Normal 2 13 8" xfId="2164"/>
    <cellStyle name="Normal 2 14" xfId="2165"/>
    <cellStyle name="Normal 2 15" xfId="2166"/>
    <cellStyle name="Normal 2 16" xfId="2167"/>
    <cellStyle name="Normal 2 18" xfId="2168"/>
    <cellStyle name="Normal 2 2" xfId="2169"/>
    <cellStyle name="Normal 2 2 10" xfId="2170"/>
    <cellStyle name="Normal 2 2 11" xfId="2171"/>
    <cellStyle name="Normal 2 2 12" xfId="2172"/>
    <cellStyle name="Normal 2 2 12 2" xfId="2173"/>
    <cellStyle name="Normal 2 2 12 3" xfId="2174"/>
    <cellStyle name="Normal 2 2 13" xfId="2175"/>
    <cellStyle name="Normal 2 2 14" xfId="2176"/>
    <cellStyle name="Normal 2 2 2" xfId="2177"/>
    <cellStyle name="Normal 2 2 2 2" xfId="2178"/>
    <cellStyle name="Normal 2 2 2 2 2" xfId="2179"/>
    <cellStyle name="Normal 2 2 2 2 2 2" xfId="2180"/>
    <cellStyle name="Normal 2 2 2 2 3" xfId="2181"/>
    <cellStyle name="Normal 2 2 2 3" xfId="2182"/>
    <cellStyle name="Normal 2 2 2 3 2" xfId="2183"/>
    <cellStyle name="Normal 2 2 2 4" xfId="2184"/>
    <cellStyle name="Normal 2 2 2 4 2" xfId="2185"/>
    <cellStyle name="Normal 2 2 2 5" xfId="2186"/>
    <cellStyle name="Normal 2 2 3" xfId="2187"/>
    <cellStyle name="Normal 2 2 4" xfId="2188"/>
    <cellStyle name="Normal 2 2 5" xfId="2189"/>
    <cellStyle name="Normal 2 2 5 2" xfId="2190"/>
    <cellStyle name="Normal 2 2 5 3" xfId="2191"/>
    <cellStyle name="Normal 2 2 5 3 2" xfId="2192"/>
    <cellStyle name="Normal 2 2 5 4" xfId="2193"/>
    <cellStyle name="Normal 2 2 6" xfId="2194"/>
    <cellStyle name="Normal 2 2 6 2" xfId="2195"/>
    <cellStyle name="Normal 2 2 7" xfId="2196"/>
    <cellStyle name="Normal 2 2 8" xfId="2197"/>
    <cellStyle name="Normal 2 2 8 2" xfId="2198"/>
    <cellStyle name="Normal 2 2 8 2 2" xfId="2199"/>
    <cellStyle name="Normal 2 2 8 3" xfId="2200"/>
    <cellStyle name="Normal 2 2 9" xfId="2201"/>
    <cellStyle name="Normal 2 3" xfId="2202"/>
    <cellStyle name="Normal 2 3 10" xfId="2203"/>
    <cellStyle name="Normal 2 3 11" xfId="2204"/>
    <cellStyle name="Normal 2 3 2" xfId="2205"/>
    <cellStyle name="Normal 2 3 2 2" xfId="2206"/>
    <cellStyle name="Normal 2 3 2 3" xfId="2207"/>
    <cellStyle name="Normal 2 3 3" xfId="2208"/>
    <cellStyle name="Normal 2 3 3 2" xfId="2209"/>
    <cellStyle name="Normal 2 3 3 3" xfId="2210"/>
    <cellStyle name="Normal 2 3 4" xfId="2211"/>
    <cellStyle name="Normal 2 3 4 2" xfId="2212"/>
    <cellStyle name="Normal 2 3 5" xfId="2213"/>
    <cellStyle name="Normal 2 3 5 2" xfId="2214"/>
    <cellStyle name="Normal 2 3 6" xfId="2215"/>
    <cellStyle name="Normal 2 3 6 2" xfId="2216"/>
    <cellStyle name="Normal 2 3 7" xfId="2217"/>
    <cellStyle name="Normal 2 3 7 2" xfId="2218"/>
    <cellStyle name="Normal 2 3 8" xfId="2219"/>
    <cellStyle name="Normal 2 3 9" xfId="2220"/>
    <cellStyle name="Normal 2 3 9 2" xfId="2221"/>
    <cellStyle name="Normal 2 4" xfId="2222"/>
    <cellStyle name="Normal 2 4 2" xfId="2223"/>
    <cellStyle name="Normal 2 4 2 2" xfId="2224"/>
    <cellStyle name="Normal 2 4 2 3" xfId="2225"/>
    <cellStyle name="Normal 2 4 2 3 2" xfId="2226"/>
    <cellStyle name="Normal 2 4 3" xfId="2227"/>
    <cellStyle name="Normal 2 4 3 2" xfId="2228"/>
    <cellStyle name="Normal 2 4 3 3" xfId="2229"/>
    <cellStyle name="Normal 2 4 4" xfId="2230"/>
    <cellStyle name="Normal 2 4 5" xfId="2231"/>
    <cellStyle name="Normal 2 5" xfId="2232"/>
    <cellStyle name="Normal 2 5 2" xfId="2233"/>
    <cellStyle name="Normal 2 5 3" xfId="2234"/>
    <cellStyle name="Normal 2 6" xfId="2235"/>
    <cellStyle name="Normal 2 6 2" xfId="2236"/>
    <cellStyle name="Normal 2 6 2 2" xfId="2237"/>
    <cellStyle name="Normal 2 6 3" xfId="2238"/>
    <cellStyle name="Normal 2 6 4" xfId="2239"/>
    <cellStyle name="Normal 2 7" xfId="2240"/>
    <cellStyle name="Normal 2 7 2" xfId="2241"/>
    <cellStyle name="Normal 2 8" xfId="2242"/>
    <cellStyle name="Normal 2 8 2" xfId="2243"/>
    <cellStyle name="Normal 2 8 2 2" xfId="2244"/>
    <cellStyle name="Normal 2 8 2 3" xfId="2245"/>
    <cellStyle name="Normal 2 8 3" xfId="2246"/>
    <cellStyle name="Normal 2 8 3 2" xfId="2247"/>
    <cellStyle name="Normal 2 9" xfId="2248"/>
    <cellStyle name="Normal 2 9 2" xfId="2249"/>
    <cellStyle name="Normal 20" xfId="2250"/>
    <cellStyle name="Normal 23" xfId="2251"/>
    <cellStyle name="Normal 24" xfId="2252"/>
    <cellStyle name="Normal 25" xfId="2253"/>
    <cellStyle name="Normal 3" xfId="2254"/>
    <cellStyle name="Normal 3 2" xfId="2255"/>
    <cellStyle name="Normal 3 2 2" xfId="2256"/>
    <cellStyle name="Normal 3 2 2 2" xfId="2257"/>
    <cellStyle name="Normal 3 2 2 3" xfId="2258"/>
    <cellStyle name="Normal 3 3" xfId="2259"/>
    <cellStyle name="Normal 3 3 2" xfId="2260"/>
    <cellStyle name="Normal 3 3 3" xfId="2261"/>
    <cellStyle name="Normal 3 4" xfId="2262"/>
    <cellStyle name="Normal 3 5" xfId="2263"/>
    <cellStyle name="Normal 3 6" xfId="2264"/>
    <cellStyle name="Normal 3 7" xfId="2265"/>
    <cellStyle name="Normal 3 8" xfId="2266"/>
    <cellStyle name="Normal 4" xfId="2267"/>
    <cellStyle name="Normal 4 2" xfId="2268"/>
    <cellStyle name="Normal 4 2 2" xfId="2269"/>
    <cellStyle name="Normal 4 2 2 2" xfId="2270"/>
    <cellStyle name="Normal 4 2 3" xfId="2271"/>
    <cellStyle name="Normal 4 2 4" xfId="2272"/>
    <cellStyle name="Normal 4 3" xfId="2273"/>
    <cellStyle name="Normal 4 3 2" xfId="2274"/>
    <cellStyle name="Normal 4 3 3" xfId="2275"/>
    <cellStyle name="Normal 4 4" xfId="2276"/>
    <cellStyle name="Normal 4 4 2" xfId="2277"/>
    <cellStyle name="Normal 4 4 3" xfId="2278"/>
    <cellStyle name="Normal 4 5" xfId="2279"/>
    <cellStyle name="Normal 4 5 2" xfId="2280"/>
    <cellStyle name="Normal 4 6" xfId="2281"/>
    <cellStyle name="Normal 5" xfId="2282"/>
    <cellStyle name="Normal 5 2" xfId="2283"/>
    <cellStyle name="Normal 5 2 2" xfId="2284"/>
    <cellStyle name="Normal 5 2 2 2" xfId="2285"/>
    <cellStyle name="Normal 5 2 3" xfId="2286"/>
    <cellStyle name="Normal 5 2 4" xfId="2287"/>
    <cellStyle name="Normal 5 2 5" xfId="2288"/>
    <cellStyle name="Normal 5 3" xfId="2289"/>
    <cellStyle name="Normal 5 3 2" xfId="2290"/>
    <cellStyle name="Normal 5 3 3" xfId="2291"/>
    <cellStyle name="Normal 5 4" xfId="2292"/>
    <cellStyle name="Normal 5 5" xfId="2293"/>
    <cellStyle name="Normal 6" xfId="2294"/>
    <cellStyle name="Normal 6 2" xfId="2295"/>
    <cellStyle name="Normal 6 2 2" xfId="2296"/>
    <cellStyle name="Normal 6 2 2 3" xfId="2297"/>
    <cellStyle name="Normal 6 2 3" xfId="2298"/>
    <cellStyle name="Normal 6 2 3 2" xfId="2299"/>
    <cellStyle name="Normal 6 3" xfId="2300"/>
    <cellStyle name="Normal 6 3 2" xfId="2301"/>
    <cellStyle name="Normal 6 3 3" xfId="2302"/>
    <cellStyle name="Normal 6 4" xfId="2303"/>
    <cellStyle name="Normal 6 4 2" xfId="2304"/>
    <cellStyle name="Normal 6 5" xfId="2305"/>
    <cellStyle name="Normal 6 6" xfId="2306"/>
    <cellStyle name="Normal 7" xfId="2307"/>
    <cellStyle name="Normal 7 2" xfId="2308"/>
    <cellStyle name="Normal 7 2 2" xfId="2309"/>
    <cellStyle name="Normal 7 2 2 2" xfId="2310"/>
    <cellStyle name="Normal 7 2 3" xfId="2311"/>
    <cellStyle name="Normal 7 2 4" xfId="2312"/>
    <cellStyle name="Normal 7 2 5" xfId="2313"/>
    <cellStyle name="Normal 7 2 6" xfId="2314"/>
    <cellStyle name="Normal 7 3" xfId="2315"/>
    <cellStyle name="Normal 7 3 2" xfId="2316"/>
    <cellStyle name="Normal 7 4" xfId="2317"/>
    <cellStyle name="Normal 8" xfId="2318"/>
    <cellStyle name="Normal 8 2" xfId="2319"/>
    <cellStyle name="Normal 8 2 2" xfId="2320"/>
    <cellStyle name="Normal 8 2 3" xfId="2321"/>
    <cellStyle name="Normal 8 2 4" xfId="2322"/>
    <cellStyle name="Normal 8 3" xfId="2323"/>
    <cellStyle name="Normal 8 3 2" xfId="2324"/>
    <cellStyle name="Normal 8 3 2 2" xfId="2325"/>
    <cellStyle name="Normal 8 4" xfId="2326"/>
    <cellStyle name="Normal 8 5" xfId="2327"/>
    <cellStyle name="Normal 9" xfId="2328"/>
    <cellStyle name="Normal 9 2" xfId="2329"/>
    <cellStyle name="Normal 9 2 2" xfId="2330"/>
    <cellStyle name="Normal 9 3" xfId="2331"/>
    <cellStyle name="Normal 9 4" xfId="2332"/>
    <cellStyle name="Normale 2" xfId="2333"/>
    <cellStyle name="Normale 2 2" xfId="2334"/>
    <cellStyle name="Normale 2 2 2" xfId="2335"/>
    <cellStyle name="Normale 2 2 3" xfId="2336"/>
    <cellStyle name="Normale 2 3" xfId="2337"/>
    <cellStyle name="Normale 2 3 2" xfId="2338"/>
    <cellStyle name="Normale 2 4" xfId="2339"/>
    <cellStyle name="Normale 2 5" xfId="2340"/>
    <cellStyle name="Normale 2 6" xfId="2341"/>
    <cellStyle name="Normale 3" xfId="2342"/>
    <cellStyle name="Normale 3 2" xfId="2343"/>
    <cellStyle name="Normale 3 2 2" xfId="2344"/>
    <cellStyle name="Normale 3 2 3" xfId="2345"/>
    <cellStyle name="Normale 3 3" xfId="2346"/>
    <cellStyle name="Normale 3 3 2" xfId="2347"/>
    <cellStyle name="Normale 3 4" xfId="2348"/>
    <cellStyle name="Normale 3 5" xfId="2349"/>
    <cellStyle name="Normale 3 6" xfId="2350"/>
    <cellStyle name="Normale 4" xfId="2351"/>
    <cellStyle name="Normale 4 2" xfId="2352"/>
    <cellStyle name="Normale 4 2 2" xfId="2353"/>
    <cellStyle name="Normale 4 2 3" xfId="2354"/>
    <cellStyle name="Normale 6" xfId="2355"/>
    <cellStyle name="Normale 6 2" xfId="2356"/>
    <cellStyle name="Normale 6 2 2" xfId="2357"/>
    <cellStyle name="Normale 6 2 2 2" xfId="2358"/>
    <cellStyle name="Normale 6 2 2 3" xfId="2359"/>
    <cellStyle name="Normale 6 3" xfId="2360"/>
    <cellStyle name="Normale 6 3 2" xfId="2361"/>
    <cellStyle name="Normale 6 3 3" xfId="2362"/>
    <cellStyle name="Normale_classe A" xfId="2363"/>
    <cellStyle name="Normalno 2" xfId="2364"/>
    <cellStyle name="Normalno 2 2" xfId="2365"/>
    <cellStyle name="Nota" xfId="2366"/>
    <cellStyle name="Nota 10" xfId="2367"/>
    <cellStyle name="Nota 10 2" xfId="2368"/>
    <cellStyle name="Nota 10 3" xfId="2369"/>
    <cellStyle name="Nota 11" xfId="2370"/>
    <cellStyle name="Nota 11 2" xfId="2371"/>
    <cellStyle name="Nota 11 3" xfId="2372"/>
    <cellStyle name="Nota 12" xfId="2373"/>
    <cellStyle name="Nota 12 2" xfId="2374"/>
    <cellStyle name="Nota 12 3" xfId="2375"/>
    <cellStyle name="Nota 13" xfId="2376"/>
    <cellStyle name="Nota 13 2" xfId="2377"/>
    <cellStyle name="Nota 13 3" xfId="2378"/>
    <cellStyle name="Nota 14" xfId="2379"/>
    <cellStyle name="Nota 14 2" xfId="2380"/>
    <cellStyle name="Nota 14 3" xfId="2381"/>
    <cellStyle name="Nota 15" xfId="2382"/>
    <cellStyle name="Nota 15 2" xfId="2383"/>
    <cellStyle name="Nota 15 3" xfId="2384"/>
    <cellStyle name="Nota 16" xfId="2385"/>
    <cellStyle name="Nota 16 2" xfId="2386"/>
    <cellStyle name="Nota 16 3" xfId="2387"/>
    <cellStyle name="Nota 17" xfId="2388"/>
    <cellStyle name="Nota 17 2" xfId="2389"/>
    <cellStyle name="Nota 18" xfId="2390"/>
    <cellStyle name="Nota 19" xfId="2391"/>
    <cellStyle name="Nota 2" xfId="2392"/>
    <cellStyle name="Nota 2 2" xfId="2393"/>
    <cellStyle name="Nota 2 3" xfId="2394"/>
    <cellStyle name="Nota 20" xfId="2395"/>
    <cellStyle name="Nota 3" xfId="2396"/>
    <cellStyle name="Nota 3 2" xfId="2397"/>
    <cellStyle name="Nota 3 3" xfId="2398"/>
    <cellStyle name="Nota 4" xfId="2399"/>
    <cellStyle name="Nota 4 2" xfId="2400"/>
    <cellStyle name="Nota 4 3" xfId="2401"/>
    <cellStyle name="Nota 5" xfId="2402"/>
    <cellStyle name="Nota 5 2" xfId="2403"/>
    <cellStyle name="Nota 5 3" xfId="2404"/>
    <cellStyle name="Nota 6" xfId="2405"/>
    <cellStyle name="Nota 6 2" xfId="2406"/>
    <cellStyle name="Nota 6 3" xfId="2407"/>
    <cellStyle name="Nota 7" xfId="2408"/>
    <cellStyle name="Nota 7 2" xfId="2409"/>
    <cellStyle name="Nota 7 3" xfId="2410"/>
    <cellStyle name="Nota 8" xfId="2411"/>
    <cellStyle name="Nota 8 2" xfId="2412"/>
    <cellStyle name="Nota 8 3" xfId="2413"/>
    <cellStyle name="Nota 9" xfId="2414"/>
    <cellStyle name="Nota 9 2" xfId="2415"/>
    <cellStyle name="Nota 9 3" xfId="2416"/>
    <cellStyle name="Note" xfId="2417"/>
    <cellStyle name="Note 2" xfId="2418"/>
    <cellStyle name="Note 2 10" xfId="2419"/>
    <cellStyle name="Note 2 11" xfId="2420"/>
    <cellStyle name="Note 2 12" xfId="2421"/>
    <cellStyle name="Note 2 13" xfId="2422"/>
    <cellStyle name="Note 2 14" xfId="2423"/>
    <cellStyle name="Note 2 15" xfId="2424"/>
    <cellStyle name="Note 2 16" xfId="2425"/>
    <cellStyle name="Note 2 17" xfId="2426"/>
    <cellStyle name="Note 2 18" xfId="2427"/>
    <cellStyle name="Note 2 19" xfId="2428"/>
    <cellStyle name="Note 2 2" xfId="2429"/>
    <cellStyle name="Note 2 3" xfId="2430"/>
    <cellStyle name="Note 2 4" xfId="2431"/>
    <cellStyle name="Note 2 5" xfId="2432"/>
    <cellStyle name="Note 2 6" xfId="2433"/>
    <cellStyle name="Note 2 7" xfId="2434"/>
    <cellStyle name="Note 2 8" xfId="2435"/>
    <cellStyle name="Note 2 9" xfId="2436"/>
    <cellStyle name="Note 3 10" xfId="2437"/>
    <cellStyle name="Note 3 11" xfId="2438"/>
    <cellStyle name="Note 3 12" xfId="2439"/>
    <cellStyle name="Note 3 13" xfId="2440"/>
    <cellStyle name="Note 3 14" xfId="2441"/>
    <cellStyle name="Note 3 15" xfId="2442"/>
    <cellStyle name="Note 3 16" xfId="2443"/>
    <cellStyle name="Note 3 17" xfId="2444"/>
    <cellStyle name="Note 3 2" xfId="2445"/>
    <cellStyle name="Note 3 3" xfId="2446"/>
    <cellStyle name="Note 3 4" xfId="2447"/>
    <cellStyle name="Note 3 5" xfId="2448"/>
    <cellStyle name="Note 3 6" xfId="2449"/>
    <cellStyle name="Note 3 7" xfId="2450"/>
    <cellStyle name="Note 3 8" xfId="2451"/>
    <cellStyle name="Note 3 9" xfId="2452"/>
    <cellStyle name="Output" xfId="2453"/>
    <cellStyle name="Output 2" xfId="2454"/>
    <cellStyle name="Output 2 10" xfId="2455"/>
    <cellStyle name="Output 2 11" xfId="2456"/>
    <cellStyle name="Output 2 12" xfId="2457"/>
    <cellStyle name="Output 2 13" xfId="2458"/>
    <cellStyle name="Output 2 14" xfId="2459"/>
    <cellStyle name="Output 2 15" xfId="2460"/>
    <cellStyle name="Output 2 16" xfId="2461"/>
    <cellStyle name="Output 2 17" xfId="2462"/>
    <cellStyle name="Output 2 18" xfId="2463"/>
    <cellStyle name="Output 2 19" xfId="2464"/>
    <cellStyle name="Output 2 2" xfId="2465"/>
    <cellStyle name="Output 2 20" xfId="2466"/>
    <cellStyle name="Output 2 3" xfId="2467"/>
    <cellStyle name="Output 2 4" xfId="2468"/>
    <cellStyle name="Output 2 5" xfId="2469"/>
    <cellStyle name="Output 2 6" xfId="2470"/>
    <cellStyle name="Output 2 7" xfId="2471"/>
    <cellStyle name="Output 2 8" xfId="2472"/>
    <cellStyle name="Output 2 9" xfId="2473"/>
    <cellStyle name="Output 3" xfId="2474"/>
    <cellStyle name="Output 3 10" xfId="2475"/>
    <cellStyle name="Output 3 11" xfId="2476"/>
    <cellStyle name="Output 3 12" xfId="2477"/>
    <cellStyle name="Output 3 13" xfId="2478"/>
    <cellStyle name="Output 3 14" xfId="2479"/>
    <cellStyle name="Output 3 15" xfId="2480"/>
    <cellStyle name="Output 3 16" xfId="2481"/>
    <cellStyle name="Output 3 17" xfId="2482"/>
    <cellStyle name="Output 3 2" xfId="2483"/>
    <cellStyle name="Output 3 3" xfId="2484"/>
    <cellStyle name="Output 3 4" xfId="2485"/>
    <cellStyle name="Output 3 5" xfId="2486"/>
    <cellStyle name="Output 3 6" xfId="2487"/>
    <cellStyle name="Output 3 7" xfId="2488"/>
    <cellStyle name="Output 3 8" xfId="2489"/>
    <cellStyle name="Output 3 9" xfId="2490"/>
    <cellStyle name="Output 4" xfId="2491"/>
    <cellStyle name="Percent" xfId="2492"/>
    <cellStyle name="Percent 2" xfId="2493"/>
    <cellStyle name="Percent 2 10" xfId="2494"/>
    <cellStyle name="Percent 2 11" xfId="2495"/>
    <cellStyle name="Percent 2 12" xfId="2496"/>
    <cellStyle name="Percent 2 12 2" xfId="2497"/>
    <cellStyle name="Percent 2 12 3" xfId="2498"/>
    <cellStyle name="Percent 2 13" xfId="2499"/>
    <cellStyle name="Percent 2 13 2" xfId="2500"/>
    <cellStyle name="Percent 2 13 3" xfId="2501"/>
    <cellStyle name="Percent 2 14" xfId="2502"/>
    <cellStyle name="Percent 2 2" xfId="2503"/>
    <cellStyle name="Percent 2 2 2" xfId="2504"/>
    <cellStyle name="Percent 2 2 2 2" xfId="2505"/>
    <cellStyle name="Percent 2 2 2 2 2" xfId="2506"/>
    <cellStyle name="Percent 2 2 3" xfId="2507"/>
    <cellStyle name="Percent 2 2 4" xfId="2508"/>
    <cellStyle name="Percent 2 3" xfId="2509"/>
    <cellStyle name="Percent 2 3 2" xfId="2510"/>
    <cellStyle name="Percent 2 4" xfId="2511"/>
    <cellStyle name="Percent 2 5" xfId="2512"/>
    <cellStyle name="Percent 2 6" xfId="2513"/>
    <cellStyle name="Percent 2 7" xfId="2514"/>
    <cellStyle name="Percent 2 8" xfId="2515"/>
    <cellStyle name="Percent 2 9" xfId="2516"/>
    <cellStyle name="Percent 3" xfId="2517"/>
    <cellStyle name="Percent 3 2" xfId="2518"/>
    <cellStyle name="Percent 3 2 2" xfId="2519"/>
    <cellStyle name="Percent 4" xfId="2520"/>
    <cellStyle name="Percent 4 2" xfId="2521"/>
    <cellStyle name="Percent 4 2 2" xfId="2522"/>
    <cellStyle name="Percent 4 3" xfId="2523"/>
    <cellStyle name="Percent 4 4" xfId="2524"/>
    <cellStyle name="Percent 4 4 2" xfId="2525"/>
    <cellStyle name="Percent 4 5" xfId="2526"/>
    <cellStyle name="Percent 5" xfId="2527"/>
    <cellStyle name="Percent 5 2" xfId="2528"/>
    <cellStyle name="Percent 5 3" xfId="2529"/>
    <cellStyle name="Percent 6" xfId="2530"/>
    <cellStyle name="Percent 7" xfId="2531"/>
    <cellStyle name="Percent 7 2" xfId="2532"/>
    <cellStyle name="Percent 8" xfId="2533"/>
    <cellStyle name="Percent 8 2" xfId="2534"/>
    <cellStyle name="Percent 8 3" xfId="2535"/>
    <cellStyle name="Testo avviso" xfId="2536"/>
    <cellStyle name="Testo avviso 2" xfId="2537"/>
    <cellStyle name="Testo avviso 2 2" xfId="2538"/>
    <cellStyle name="Testo avviso 3" xfId="2539"/>
    <cellStyle name="Testo avviso 4" xfId="2540"/>
    <cellStyle name="Testo descrittivo" xfId="2541"/>
    <cellStyle name="Testo descrittivo 2" xfId="2542"/>
    <cellStyle name="Testo descrittivo 2 2" xfId="2543"/>
    <cellStyle name="Testo descrittivo 3" xfId="2544"/>
    <cellStyle name="Testo descrittivo 4" xfId="2545"/>
    <cellStyle name="Title" xfId="2546"/>
    <cellStyle name="Title 2" xfId="2547"/>
    <cellStyle name="Title 2 10" xfId="2548"/>
    <cellStyle name="Title 2 11" xfId="2549"/>
    <cellStyle name="Title 2 12" xfId="2550"/>
    <cellStyle name="Title 2 13" xfId="2551"/>
    <cellStyle name="Title 2 14" xfId="2552"/>
    <cellStyle name="Title 2 15" xfId="2553"/>
    <cellStyle name="Title 2 16" xfId="2554"/>
    <cellStyle name="Title 2 17" xfId="2555"/>
    <cellStyle name="Title 2 18" xfId="2556"/>
    <cellStyle name="Title 2 2" xfId="2557"/>
    <cellStyle name="Title 2 3" xfId="2558"/>
    <cellStyle name="Title 2 4" xfId="2559"/>
    <cellStyle name="Title 2 5" xfId="2560"/>
    <cellStyle name="Title 2 6" xfId="2561"/>
    <cellStyle name="Title 2 7" xfId="2562"/>
    <cellStyle name="Title 2 8" xfId="2563"/>
    <cellStyle name="Title 2 9" xfId="2564"/>
    <cellStyle name="Title 3 10" xfId="2565"/>
    <cellStyle name="Title 3 11" xfId="2566"/>
    <cellStyle name="Title 3 12" xfId="2567"/>
    <cellStyle name="Title 3 13" xfId="2568"/>
    <cellStyle name="Title 3 14" xfId="2569"/>
    <cellStyle name="Title 3 15" xfId="2570"/>
    <cellStyle name="Title 3 16" xfId="2571"/>
    <cellStyle name="Title 3 17" xfId="2572"/>
    <cellStyle name="Title 3 2" xfId="2573"/>
    <cellStyle name="Title 3 3" xfId="2574"/>
    <cellStyle name="Title 3 4" xfId="2575"/>
    <cellStyle name="Title 3 5" xfId="2576"/>
    <cellStyle name="Title 3 6" xfId="2577"/>
    <cellStyle name="Title 3 7" xfId="2578"/>
    <cellStyle name="Title 3 8" xfId="2579"/>
    <cellStyle name="Title 3 9" xfId="2580"/>
    <cellStyle name="Titolo" xfId="2581"/>
    <cellStyle name="Titolo 1" xfId="2582"/>
    <cellStyle name="Titolo 1 2" xfId="2583"/>
    <cellStyle name="Titolo 1 2 2" xfId="2584"/>
    <cellStyle name="Titolo 1 3" xfId="2585"/>
    <cellStyle name="Titolo 1 4" xfId="2586"/>
    <cellStyle name="Titolo 2" xfId="2587"/>
    <cellStyle name="Titolo 2 2" xfId="2588"/>
    <cellStyle name="Titolo 2 2 2" xfId="2589"/>
    <cellStyle name="Titolo 2 3" xfId="2590"/>
    <cellStyle name="Titolo 2 4" xfId="2591"/>
    <cellStyle name="Titolo 3" xfId="2592"/>
    <cellStyle name="Titolo 3 2" xfId="2593"/>
    <cellStyle name="Titolo 3 2 2" xfId="2594"/>
    <cellStyle name="Titolo 3 3" xfId="2595"/>
    <cellStyle name="Titolo 3 4" xfId="2596"/>
    <cellStyle name="Titolo 4" xfId="2597"/>
    <cellStyle name="Titolo 4 2" xfId="2598"/>
    <cellStyle name="Titolo 4 2 2" xfId="2599"/>
    <cellStyle name="Titolo 4 3" xfId="2600"/>
    <cellStyle name="Titolo 4 4" xfId="2601"/>
    <cellStyle name="Titolo 5" xfId="2602"/>
    <cellStyle name="Titolo 5 2" xfId="2603"/>
    <cellStyle name="Titolo 6" xfId="2604"/>
    <cellStyle name="Titolo 7" xfId="2605"/>
    <cellStyle name="Total" xfId="2606"/>
    <cellStyle name="Total 2" xfId="2607"/>
    <cellStyle name="Total 2 10" xfId="2608"/>
    <cellStyle name="Total 2 11" xfId="2609"/>
    <cellStyle name="Total 2 12" xfId="2610"/>
    <cellStyle name="Total 2 13" xfId="2611"/>
    <cellStyle name="Total 2 14" xfId="2612"/>
    <cellStyle name="Total 2 15" xfId="2613"/>
    <cellStyle name="Total 2 16" xfId="2614"/>
    <cellStyle name="Total 2 17" xfId="2615"/>
    <cellStyle name="Total 2 2" xfId="2616"/>
    <cellStyle name="Total 2 3" xfId="2617"/>
    <cellStyle name="Total 2 4" xfId="2618"/>
    <cellStyle name="Total 2 5" xfId="2619"/>
    <cellStyle name="Total 2 6" xfId="2620"/>
    <cellStyle name="Total 2 7" xfId="2621"/>
    <cellStyle name="Total 2 8" xfId="2622"/>
    <cellStyle name="Total 2 9" xfId="2623"/>
    <cellStyle name="Total 3 10" xfId="2624"/>
    <cellStyle name="Total 3 11" xfId="2625"/>
    <cellStyle name="Total 3 12" xfId="2626"/>
    <cellStyle name="Total 3 13" xfId="2627"/>
    <cellStyle name="Total 3 14" xfId="2628"/>
    <cellStyle name="Total 3 15" xfId="2629"/>
    <cellStyle name="Total 3 16" xfId="2630"/>
    <cellStyle name="Total 3 17" xfId="2631"/>
    <cellStyle name="Total 3 2" xfId="2632"/>
    <cellStyle name="Total 3 3" xfId="2633"/>
    <cellStyle name="Total 3 4" xfId="2634"/>
    <cellStyle name="Total 3 5" xfId="2635"/>
    <cellStyle name="Total 3 6" xfId="2636"/>
    <cellStyle name="Total 3 7" xfId="2637"/>
    <cellStyle name="Total 3 8" xfId="2638"/>
    <cellStyle name="Total 3 9" xfId="2639"/>
    <cellStyle name="Totale" xfId="2640"/>
    <cellStyle name="Totale 2" xfId="2641"/>
    <cellStyle name="Totale 2 2" xfId="2642"/>
    <cellStyle name="Totale 3" xfId="2643"/>
    <cellStyle name="Totale 4" xfId="2644"/>
    <cellStyle name="Valore non valido" xfId="2645"/>
    <cellStyle name="Valore non valido 2" xfId="2646"/>
    <cellStyle name="Valore non valido 2 2" xfId="2647"/>
    <cellStyle name="Valore non valido 3" xfId="2648"/>
    <cellStyle name="Valore non valido 4" xfId="2649"/>
    <cellStyle name="Valore valido" xfId="2650"/>
    <cellStyle name="Valore valido 2" xfId="2651"/>
    <cellStyle name="Valore valido 2 2" xfId="2652"/>
    <cellStyle name="Valore valido 3" xfId="2653"/>
    <cellStyle name="Valore valido 4" xfId="2654"/>
    <cellStyle name="Warning Text" xfId="2655"/>
    <cellStyle name="Warning Text 2" xfId="2656"/>
    <cellStyle name="Warning Text 2 10" xfId="2657"/>
    <cellStyle name="Warning Text 2 11" xfId="2658"/>
    <cellStyle name="Warning Text 2 12" xfId="2659"/>
    <cellStyle name="Warning Text 2 13" xfId="2660"/>
    <cellStyle name="Warning Text 2 14" xfId="2661"/>
    <cellStyle name="Warning Text 2 15" xfId="2662"/>
    <cellStyle name="Warning Text 2 16" xfId="2663"/>
    <cellStyle name="Warning Text 2 17" xfId="2664"/>
    <cellStyle name="Warning Text 2 2" xfId="2665"/>
    <cellStyle name="Warning Text 2 3" xfId="2666"/>
    <cellStyle name="Warning Text 2 4" xfId="2667"/>
    <cellStyle name="Warning Text 2 5" xfId="2668"/>
    <cellStyle name="Warning Text 2 6" xfId="2669"/>
    <cellStyle name="Warning Text 2 7" xfId="2670"/>
    <cellStyle name="Warning Text 2 8" xfId="2671"/>
    <cellStyle name="Warning Text 2 9" xfId="2672"/>
    <cellStyle name="Warning Text 3 10" xfId="2673"/>
    <cellStyle name="Warning Text 3 11" xfId="2674"/>
    <cellStyle name="Warning Text 3 12" xfId="2675"/>
    <cellStyle name="Warning Text 3 13" xfId="2676"/>
    <cellStyle name="Warning Text 3 14" xfId="2677"/>
    <cellStyle name="Warning Text 3 15" xfId="2678"/>
    <cellStyle name="Warning Text 3 16" xfId="2679"/>
    <cellStyle name="Warning Text 3 17" xfId="2680"/>
    <cellStyle name="Warning Text 3 2" xfId="2681"/>
    <cellStyle name="Warning Text 3 3" xfId="2682"/>
    <cellStyle name="Warning Text 3 4" xfId="2683"/>
    <cellStyle name="Warning Text 3 5" xfId="2684"/>
    <cellStyle name="Warning Text 3 6" xfId="2685"/>
    <cellStyle name="Warning Text 3 7" xfId="2686"/>
    <cellStyle name="Warning Text 3 8" xfId="2687"/>
    <cellStyle name="Warning Text 3 9" xfId="26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233"/>
  <sheetViews>
    <sheetView tabSelected="1" view="pageBreakPreview" zoomScaleSheetLayoutView="100" workbookViewId="0" topLeftCell="A1">
      <pane ySplit="1" topLeftCell="A2" activePane="bottomLeft" state="frozen"/>
      <selection pane="topLeft" activeCell="A1" sqref="A1"/>
      <selection pane="bottomLeft" activeCell="E2" sqref="E2"/>
    </sheetView>
  </sheetViews>
  <sheetFormatPr defaultColWidth="9.140625" defaultRowHeight="12.75"/>
  <cols>
    <col min="1" max="1" width="8.7109375" style="23" bestFit="1" customWidth="1"/>
    <col min="2" max="2" width="8.8515625" style="24" bestFit="1" customWidth="1"/>
    <col min="3" max="3" width="12.421875" style="24" customWidth="1"/>
    <col min="4" max="4" width="13.7109375" style="24" customWidth="1"/>
    <col min="5" max="5" width="15.8515625" style="25" customWidth="1"/>
    <col min="6" max="6" width="14.8515625" style="25" customWidth="1"/>
    <col min="7" max="7" width="13.140625" style="25" customWidth="1"/>
    <col min="8" max="8" width="11.7109375" style="25" customWidth="1"/>
    <col min="9" max="9" width="11.28125" style="68" customWidth="1"/>
    <col min="10" max="10" width="7.57421875" style="25" customWidth="1"/>
    <col min="11" max="11" width="8.7109375" style="26" customWidth="1"/>
    <col min="12" max="12" width="10.8515625" style="25" customWidth="1"/>
    <col min="13" max="13" width="53.7109375" style="37" customWidth="1"/>
    <col min="14" max="14" width="47.8515625" style="37" customWidth="1"/>
    <col min="15" max="16384" width="9.140625" style="27" customWidth="1"/>
  </cols>
  <sheetData>
    <row r="1" spans="1:14" s="22" customFormat="1" ht="48">
      <c r="A1" s="6" t="s">
        <v>0</v>
      </c>
      <c r="B1" s="6" t="s">
        <v>1</v>
      </c>
      <c r="C1" s="6" t="s">
        <v>2</v>
      </c>
      <c r="D1" s="6" t="s">
        <v>3</v>
      </c>
      <c r="E1" s="6" t="s">
        <v>4</v>
      </c>
      <c r="F1" s="6" t="s">
        <v>5</v>
      </c>
      <c r="G1" s="6" t="s">
        <v>6</v>
      </c>
      <c r="H1" s="6" t="s">
        <v>7</v>
      </c>
      <c r="I1" s="69" t="s">
        <v>532</v>
      </c>
      <c r="J1" s="7" t="s">
        <v>8</v>
      </c>
      <c r="K1" s="7" t="s">
        <v>9</v>
      </c>
      <c r="L1" s="36" t="s">
        <v>10</v>
      </c>
      <c r="M1" s="29" t="s">
        <v>420</v>
      </c>
      <c r="N1" s="29" t="s">
        <v>421</v>
      </c>
    </row>
    <row r="2" spans="1:14" s="22" customFormat="1" ht="112.5">
      <c r="A2" s="4" t="s">
        <v>340</v>
      </c>
      <c r="B2" s="5" t="s">
        <v>279</v>
      </c>
      <c r="C2" s="5" t="s">
        <v>280</v>
      </c>
      <c r="D2" s="5" t="s">
        <v>281</v>
      </c>
      <c r="E2" s="1" t="s">
        <v>111</v>
      </c>
      <c r="F2" s="1" t="s">
        <v>382</v>
      </c>
      <c r="G2" s="1" t="s">
        <v>951</v>
      </c>
      <c r="H2" s="1" t="s">
        <v>952</v>
      </c>
      <c r="I2" s="21">
        <v>54722.2</v>
      </c>
      <c r="J2" s="1" t="s">
        <v>282</v>
      </c>
      <c r="K2" s="2">
        <f>I2/1/250*30</f>
        <v>6566.663999999999</v>
      </c>
      <c r="L2" s="38" t="s">
        <v>17</v>
      </c>
      <c r="M2" s="5" t="s">
        <v>790</v>
      </c>
      <c r="N2" s="5" t="s">
        <v>821</v>
      </c>
    </row>
    <row r="3" spans="1:14" s="22" customFormat="1" ht="112.5">
      <c r="A3" s="123" t="s">
        <v>953</v>
      </c>
      <c r="B3" s="5" t="s">
        <v>279</v>
      </c>
      <c r="C3" s="124" t="s">
        <v>280</v>
      </c>
      <c r="D3" s="55" t="s">
        <v>281</v>
      </c>
      <c r="E3" s="1" t="s">
        <v>124</v>
      </c>
      <c r="F3" s="1" t="s">
        <v>954</v>
      </c>
      <c r="G3" s="1" t="s">
        <v>951</v>
      </c>
      <c r="H3" s="1" t="s">
        <v>955</v>
      </c>
      <c r="I3" s="21">
        <v>54722.2</v>
      </c>
      <c r="J3" s="1" t="s">
        <v>282</v>
      </c>
      <c r="K3" s="2">
        <f>I3/1/250*30</f>
        <v>6566.663999999999</v>
      </c>
      <c r="L3" s="125" t="s">
        <v>17</v>
      </c>
      <c r="M3" s="5" t="s">
        <v>790</v>
      </c>
      <c r="N3" s="5" t="s">
        <v>821</v>
      </c>
    </row>
    <row r="4" spans="1:14" s="22" customFormat="1" ht="168.75">
      <c r="A4" s="5">
        <v>1069111</v>
      </c>
      <c r="B4" s="5" t="s">
        <v>283</v>
      </c>
      <c r="C4" s="5" t="s">
        <v>284</v>
      </c>
      <c r="D4" s="5" t="s">
        <v>285</v>
      </c>
      <c r="E4" s="1" t="s">
        <v>53</v>
      </c>
      <c r="F4" s="1" t="s">
        <v>97</v>
      </c>
      <c r="G4" s="1" t="s">
        <v>560</v>
      </c>
      <c r="H4" s="1" t="s">
        <v>561</v>
      </c>
      <c r="I4" s="21">
        <v>95181.6</v>
      </c>
      <c r="J4" s="1" t="s">
        <v>286</v>
      </c>
      <c r="K4" s="2">
        <f>I4/28/25*50</f>
        <v>6798.685714285714</v>
      </c>
      <c r="L4" s="38" t="s">
        <v>17</v>
      </c>
      <c r="M4" s="5" t="s">
        <v>562</v>
      </c>
      <c r="N4" s="5" t="s">
        <v>822</v>
      </c>
    </row>
    <row r="5" spans="1:14" ht="67.5">
      <c r="A5" s="4" t="s">
        <v>192</v>
      </c>
      <c r="B5" s="5" t="s">
        <v>11</v>
      </c>
      <c r="C5" s="5" t="s">
        <v>12</v>
      </c>
      <c r="D5" s="5" t="s">
        <v>13</v>
      </c>
      <c r="E5" s="1" t="s">
        <v>471</v>
      </c>
      <c r="F5" s="1" t="s">
        <v>190</v>
      </c>
      <c r="G5" s="1" t="s">
        <v>472</v>
      </c>
      <c r="H5" s="1" t="s">
        <v>473</v>
      </c>
      <c r="I5" s="21">
        <v>7141.2</v>
      </c>
      <c r="J5" s="1" t="s">
        <v>16</v>
      </c>
      <c r="K5" s="2">
        <f>I5/6/2000*1000</f>
        <v>595.1</v>
      </c>
      <c r="L5" s="38" t="s">
        <v>17</v>
      </c>
      <c r="M5" s="5" t="s">
        <v>422</v>
      </c>
      <c r="N5" s="5"/>
    </row>
    <row r="6" spans="1:14" s="41" customFormat="1" ht="67.5">
      <c r="A6" s="8" t="s">
        <v>193</v>
      </c>
      <c r="B6" s="9" t="s">
        <v>11</v>
      </c>
      <c r="C6" s="10" t="s">
        <v>182</v>
      </c>
      <c r="D6" s="10" t="s">
        <v>183</v>
      </c>
      <c r="E6" s="11" t="s">
        <v>18</v>
      </c>
      <c r="F6" s="11" t="s">
        <v>184</v>
      </c>
      <c r="G6" s="11" t="s">
        <v>185</v>
      </c>
      <c r="H6" s="11" t="s">
        <v>19</v>
      </c>
      <c r="I6" s="21">
        <v>5030.9</v>
      </c>
      <c r="J6" s="1" t="s">
        <v>16</v>
      </c>
      <c r="K6" s="12">
        <f>I6/6/2000*1000</f>
        <v>419.2416666666666</v>
      </c>
      <c r="L6" s="39" t="s">
        <v>17</v>
      </c>
      <c r="M6" s="30" t="s">
        <v>422</v>
      </c>
      <c r="N6" s="31"/>
    </row>
    <row r="7" spans="1:14" s="41" customFormat="1" ht="67.5">
      <c r="A7" s="66" t="s">
        <v>507</v>
      </c>
      <c r="B7" s="61" t="s">
        <v>11</v>
      </c>
      <c r="C7" s="61" t="s">
        <v>182</v>
      </c>
      <c r="D7" s="61" t="s">
        <v>183</v>
      </c>
      <c r="E7" s="67" t="s">
        <v>18</v>
      </c>
      <c r="F7" s="67" t="s">
        <v>508</v>
      </c>
      <c r="G7" s="67" t="s">
        <v>185</v>
      </c>
      <c r="H7" s="67" t="s">
        <v>19</v>
      </c>
      <c r="I7" s="21">
        <v>10061.8</v>
      </c>
      <c r="J7" s="70" t="s">
        <v>16</v>
      </c>
      <c r="K7" s="71">
        <f>I7/6/4000*1000</f>
        <v>419.2416666666666</v>
      </c>
      <c r="L7" s="72" t="s">
        <v>17</v>
      </c>
      <c r="M7" s="73" t="s">
        <v>422</v>
      </c>
      <c r="N7" s="74"/>
    </row>
    <row r="8" spans="1:14" ht="67.5">
      <c r="A8" s="4" t="s">
        <v>194</v>
      </c>
      <c r="B8" s="5" t="s">
        <v>11</v>
      </c>
      <c r="C8" s="5" t="s">
        <v>20</v>
      </c>
      <c r="D8" s="5" t="s">
        <v>21</v>
      </c>
      <c r="E8" s="1" t="s">
        <v>14</v>
      </c>
      <c r="F8" s="1" t="s">
        <v>22</v>
      </c>
      <c r="G8" s="1" t="s">
        <v>23</v>
      </c>
      <c r="H8" s="1" t="s">
        <v>24</v>
      </c>
      <c r="I8" s="21">
        <v>6375.1</v>
      </c>
      <c r="J8" s="1" t="s">
        <v>16</v>
      </c>
      <c r="K8" s="2">
        <f>I8/6/2000*1000</f>
        <v>531.2583333333333</v>
      </c>
      <c r="L8" s="38" t="s">
        <v>17</v>
      </c>
      <c r="M8" s="5" t="s">
        <v>423</v>
      </c>
      <c r="N8" s="5"/>
    </row>
    <row r="9" spans="1:14" ht="67.5">
      <c r="A9" s="4" t="s">
        <v>195</v>
      </c>
      <c r="B9" s="5" t="s">
        <v>11</v>
      </c>
      <c r="C9" s="5" t="s">
        <v>25</v>
      </c>
      <c r="D9" s="5" t="s">
        <v>26</v>
      </c>
      <c r="E9" s="1" t="s">
        <v>27</v>
      </c>
      <c r="F9" s="1" t="s">
        <v>30</v>
      </c>
      <c r="G9" s="1" t="s">
        <v>28</v>
      </c>
      <c r="H9" s="1" t="s">
        <v>29</v>
      </c>
      <c r="I9" s="21">
        <v>3593.6</v>
      </c>
      <c r="J9" s="1" t="s">
        <v>16</v>
      </c>
      <c r="K9" s="2">
        <f>I9/6/1000*1000</f>
        <v>598.9333333333333</v>
      </c>
      <c r="L9" s="38" t="s">
        <v>17</v>
      </c>
      <c r="M9" s="5" t="s">
        <v>422</v>
      </c>
      <c r="N9" s="5"/>
    </row>
    <row r="10" spans="1:14" ht="67.5">
      <c r="A10" s="4" t="s">
        <v>196</v>
      </c>
      <c r="B10" s="5" t="s">
        <v>11</v>
      </c>
      <c r="C10" s="5" t="s">
        <v>25</v>
      </c>
      <c r="D10" s="5" t="s">
        <v>26</v>
      </c>
      <c r="E10" s="1" t="s">
        <v>27</v>
      </c>
      <c r="F10" s="1" t="s">
        <v>31</v>
      </c>
      <c r="G10" s="1" t="s">
        <v>28</v>
      </c>
      <c r="H10" s="1" t="s">
        <v>29</v>
      </c>
      <c r="I10" s="21">
        <v>7044.5</v>
      </c>
      <c r="J10" s="1" t="s">
        <v>16</v>
      </c>
      <c r="K10" s="2">
        <f>I10/6/2000*1000</f>
        <v>587.0416666666666</v>
      </c>
      <c r="L10" s="38" t="s">
        <v>17</v>
      </c>
      <c r="M10" s="5" t="s">
        <v>422</v>
      </c>
      <c r="N10" s="5"/>
    </row>
    <row r="11" spans="1:14" ht="67.5">
      <c r="A11" s="4" t="s">
        <v>197</v>
      </c>
      <c r="B11" s="5" t="s">
        <v>11</v>
      </c>
      <c r="C11" s="5" t="s">
        <v>25</v>
      </c>
      <c r="D11" s="5" t="s">
        <v>26</v>
      </c>
      <c r="E11" s="1" t="s">
        <v>27</v>
      </c>
      <c r="F11" s="1" t="s">
        <v>32</v>
      </c>
      <c r="G11" s="1" t="s">
        <v>28</v>
      </c>
      <c r="H11" s="1" t="s">
        <v>29</v>
      </c>
      <c r="I11" s="21">
        <v>13964.2</v>
      </c>
      <c r="J11" s="1" t="s">
        <v>16</v>
      </c>
      <c r="K11" s="2">
        <f>I11/6/4000*1000</f>
        <v>581.8416666666667</v>
      </c>
      <c r="L11" s="38" t="s">
        <v>17</v>
      </c>
      <c r="M11" s="5" t="s">
        <v>422</v>
      </c>
      <c r="N11" s="5"/>
    </row>
    <row r="12" spans="1:14" ht="67.5">
      <c r="A12" s="4" t="s">
        <v>198</v>
      </c>
      <c r="B12" s="5" t="s">
        <v>11</v>
      </c>
      <c r="C12" s="5" t="s">
        <v>25</v>
      </c>
      <c r="D12" s="5" t="s">
        <v>26</v>
      </c>
      <c r="E12" s="1" t="s">
        <v>27</v>
      </c>
      <c r="F12" s="1" t="s">
        <v>33</v>
      </c>
      <c r="G12" s="1" t="s">
        <v>28</v>
      </c>
      <c r="H12" s="1" t="s">
        <v>29</v>
      </c>
      <c r="I12" s="21">
        <v>5199.2</v>
      </c>
      <c r="J12" s="1" t="s">
        <v>16</v>
      </c>
      <c r="K12" s="2">
        <f>I12/1/10000*1000</f>
        <v>519.92</v>
      </c>
      <c r="L12" s="38" t="s">
        <v>17</v>
      </c>
      <c r="M12" s="5" t="s">
        <v>422</v>
      </c>
      <c r="N12" s="5"/>
    </row>
    <row r="13" spans="1:14" ht="67.5">
      <c r="A13" s="4" t="s">
        <v>199</v>
      </c>
      <c r="B13" s="5" t="s">
        <v>11</v>
      </c>
      <c r="C13" s="5" t="s">
        <v>25</v>
      </c>
      <c r="D13" s="5" t="s">
        <v>26</v>
      </c>
      <c r="E13" s="1" t="s">
        <v>27</v>
      </c>
      <c r="F13" s="1" t="s">
        <v>34</v>
      </c>
      <c r="G13" s="1" t="s">
        <v>28</v>
      </c>
      <c r="H13" s="1" t="s">
        <v>29</v>
      </c>
      <c r="I13" s="21">
        <v>11978.2</v>
      </c>
      <c r="J13" s="1" t="s">
        <v>16</v>
      </c>
      <c r="K13" s="2">
        <f>I13/1/20000*1000</f>
        <v>598.9100000000001</v>
      </c>
      <c r="L13" s="38" t="s">
        <v>17</v>
      </c>
      <c r="M13" s="5" t="s">
        <v>422</v>
      </c>
      <c r="N13" s="5"/>
    </row>
    <row r="14" spans="1:14" ht="67.5">
      <c r="A14" s="4" t="s">
        <v>200</v>
      </c>
      <c r="B14" s="5" t="s">
        <v>11</v>
      </c>
      <c r="C14" s="5" t="s">
        <v>25</v>
      </c>
      <c r="D14" s="5" t="s">
        <v>26</v>
      </c>
      <c r="E14" s="1" t="s">
        <v>27</v>
      </c>
      <c r="F14" s="1" t="s">
        <v>35</v>
      </c>
      <c r="G14" s="1" t="s">
        <v>28</v>
      </c>
      <c r="H14" s="1" t="s">
        <v>29</v>
      </c>
      <c r="I14" s="21">
        <v>17967.3</v>
      </c>
      <c r="J14" s="1" t="s">
        <v>16</v>
      </c>
      <c r="K14" s="2">
        <f>I14/1/30000*1000</f>
        <v>598.91</v>
      </c>
      <c r="L14" s="38" t="s">
        <v>17</v>
      </c>
      <c r="M14" s="5" t="s">
        <v>422</v>
      </c>
      <c r="N14" s="5"/>
    </row>
    <row r="15" spans="1:14" ht="157.5">
      <c r="A15" s="4" t="s">
        <v>201</v>
      </c>
      <c r="B15" s="5" t="s">
        <v>36</v>
      </c>
      <c r="C15" s="5" t="s">
        <v>37</v>
      </c>
      <c r="D15" s="5" t="s">
        <v>38</v>
      </c>
      <c r="E15" s="1" t="s">
        <v>18</v>
      </c>
      <c r="F15" s="1" t="s">
        <v>347</v>
      </c>
      <c r="G15" s="1" t="s">
        <v>39</v>
      </c>
      <c r="H15" s="1" t="s">
        <v>40</v>
      </c>
      <c r="I15" s="21">
        <v>1331</v>
      </c>
      <c r="J15" s="1" t="s">
        <v>41</v>
      </c>
      <c r="K15" s="2">
        <f>I15/10*4.5</f>
        <v>598.9499999999999</v>
      </c>
      <c r="L15" s="38" t="s">
        <v>17</v>
      </c>
      <c r="M15" s="5" t="s">
        <v>424</v>
      </c>
      <c r="N15" s="5"/>
    </row>
    <row r="16" spans="1:14" ht="157.5">
      <c r="A16" s="4" t="s">
        <v>202</v>
      </c>
      <c r="B16" s="5" t="s">
        <v>36</v>
      </c>
      <c r="C16" s="5" t="s">
        <v>37</v>
      </c>
      <c r="D16" s="5" t="s">
        <v>38</v>
      </c>
      <c r="E16" s="1" t="s">
        <v>18</v>
      </c>
      <c r="F16" s="1" t="s">
        <v>348</v>
      </c>
      <c r="G16" s="1" t="s">
        <v>39</v>
      </c>
      <c r="H16" s="1" t="s">
        <v>40</v>
      </c>
      <c r="I16" s="21">
        <v>2653.9</v>
      </c>
      <c r="J16" s="1" t="s">
        <v>41</v>
      </c>
      <c r="K16" s="2">
        <f>I16/20*4.5</f>
        <v>597.1274999999999</v>
      </c>
      <c r="L16" s="38" t="s">
        <v>17</v>
      </c>
      <c r="M16" s="5" t="s">
        <v>424</v>
      </c>
      <c r="N16" s="5"/>
    </row>
    <row r="17" spans="1:14" ht="157.5">
      <c r="A17" s="4" t="s">
        <v>203</v>
      </c>
      <c r="B17" s="5" t="s">
        <v>36</v>
      </c>
      <c r="C17" s="5" t="s">
        <v>37</v>
      </c>
      <c r="D17" s="5" t="s">
        <v>38</v>
      </c>
      <c r="E17" s="1" t="s">
        <v>18</v>
      </c>
      <c r="F17" s="1" t="s">
        <v>349</v>
      </c>
      <c r="G17" s="1" t="s">
        <v>39</v>
      </c>
      <c r="H17" s="1" t="s">
        <v>40</v>
      </c>
      <c r="I17" s="21">
        <v>3954.3</v>
      </c>
      <c r="J17" s="1" t="s">
        <v>41</v>
      </c>
      <c r="K17" s="2">
        <f>I17/30*4.5</f>
        <v>593.145</v>
      </c>
      <c r="L17" s="38" t="s">
        <v>17</v>
      </c>
      <c r="M17" s="5" t="s">
        <v>424</v>
      </c>
      <c r="N17" s="5"/>
    </row>
    <row r="18" spans="1:14" ht="157.5">
      <c r="A18" s="4" t="s">
        <v>204</v>
      </c>
      <c r="B18" s="5" t="s">
        <v>36</v>
      </c>
      <c r="C18" s="5" t="s">
        <v>37</v>
      </c>
      <c r="D18" s="5" t="s">
        <v>38</v>
      </c>
      <c r="E18" s="1" t="s">
        <v>18</v>
      </c>
      <c r="F18" s="1" t="s">
        <v>350</v>
      </c>
      <c r="G18" s="1" t="s">
        <v>39</v>
      </c>
      <c r="H18" s="1" t="s">
        <v>40</v>
      </c>
      <c r="I18" s="21">
        <v>7848.7</v>
      </c>
      <c r="J18" s="1" t="s">
        <v>41</v>
      </c>
      <c r="K18" s="2">
        <f>I18/60*4.5</f>
        <v>588.6525</v>
      </c>
      <c r="L18" s="38" t="s">
        <v>17</v>
      </c>
      <c r="M18" s="5" t="s">
        <v>424</v>
      </c>
      <c r="N18" s="5"/>
    </row>
    <row r="19" spans="1:14" ht="90">
      <c r="A19" s="4" t="s">
        <v>205</v>
      </c>
      <c r="B19" s="5" t="s">
        <v>43</v>
      </c>
      <c r="C19" s="5" t="s">
        <v>44</v>
      </c>
      <c r="D19" s="5" t="s">
        <v>45</v>
      </c>
      <c r="E19" s="1" t="s">
        <v>27</v>
      </c>
      <c r="F19" s="1" t="s">
        <v>46</v>
      </c>
      <c r="G19" s="1" t="s">
        <v>23</v>
      </c>
      <c r="H19" s="1" t="s">
        <v>24</v>
      </c>
      <c r="I19" s="21">
        <v>7918.1</v>
      </c>
      <c r="J19" s="1" t="s">
        <v>47</v>
      </c>
      <c r="K19" s="2">
        <f>I19/50*4</f>
        <v>633.448</v>
      </c>
      <c r="L19" s="38" t="s">
        <v>17</v>
      </c>
      <c r="M19" s="5" t="s">
        <v>425</v>
      </c>
      <c r="N19" s="5"/>
    </row>
    <row r="20" spans="1:14" ht="90">
      <c r="A20" s="4" t="s">
        <v>206</v>
      </c>
      <c r="B20" s="5" t="s">
        <v>43</v>
      </c>
      <c r="C20" s="5" t="s">
        <v>44</v>
      </c>
      <c r="D20" s="5" t="s">
        <v>45</v>
      </c>
      <c r="E20" s="1" t="s">
        <v>27</v>
      </c>
      <c r="F20" s="1" t="s">
        <v>48</v>
      </c>
      <c r="G20" s="1" t="s">
        <v>23</v>
      </c>
      <c r="H20" s="1" t="s">
        <v>24</v>
      </c>
      <c r="I20" s="21">
        <v>11846.5</v>
      </c>
      <c r="J20" s="1" t="s">
        <v>47</v>
      </c>
      <c r="K20" s="2">
        <f>I20/75*4</f>
        <v>631.8133333333334</v>
      </c>
      <c r="L20" s="38" t="s">
        <v>17</v>
      </c>
      <c r="M20" s="5" t="s">
        <v>425</v>
      </c>
      <c r="N20" s="5"/>
    </row>
    <row r="21" spans="1:14" ht="90">
      <c r="A21" s="4" t="s">
        <v>207</v>
      </c>
      <c r="B21" s="5" t="s">
        <v>43</v>
      </c>
      <c r="C21" s="5" t="s">
        <v>44</v>
      </c>
      <c r="D21" s="5" t="s">
        <v>45</v>
      </c>
      <c r="E21" s="1" t="s">
        <v>27</v>
      </c>
      <c r="F21" s="1" t="s">
        <v>49</v>
      </c>
      <c r="G21" s="1" t="s">
        <v>23</v>
      </c>
      <c r="H21" s="1" t="s">
        <v>24</v>
      </c>
      <c r="I21" s="21">
        <v>23633.1</v>
      </c>
      <c r="J21" s="1" t="s">
        <v>47</v>
      </c>
      <c r="K21" s="2">
        <f>I21/150*4</f>
        <v>630.216</v>
      </c>
      <c r="L21" s="38" t="s">
        <v>17</v>
      </c>
      <c r="M21" s="5" t="s">
        <v>425</v>
      </c>
      <c r="N21" s="5"/>
    </row>
    <row r="22" spans="1:14" ht="90">
      <c r="A22" s="4" t="s">
        <v>208</v>
      </c>
      <c r="B22" s="5" t="s">
        <v>43</v>
      </c>
      <c r="C22" s="5" t="s">
        <v>44</v>
      </c>
      <c r="D22" s="5" t="s">
        <v>45</v>
      </c>
      <c r="E22" s="1" t="s">
        <v>18</v>
      </c>
      <c r="F22" s="1" t="s">
        <v>51</v>
      </c>
      <c r="G22" s="1" t="s">
        <v>23</v>
      </c>
      <c r="H22" s="1" t="s">
        <v>24</v>
      </c>
      <c r="I22" s="21">
        <v>4772.7</v>
      </c>
      <c r="J22" s="1" t="s">
        <v>47</v>
      </c>
      <c r="K22" s="2">
        <f>I22/30*4</f>
        <v>636.36</v>
      </c>
      <c r="L22" s="38" t="s">
        <v>17</v>
      </c>
      <c r="M22" s="5" t="s">
        <v>425</v>
      </c>
      <c r="N22" s="5"/>
    </row>
    <row r="23" spans="1:14" ht="90">
      <c r="A23" s="4" t="s">
        <v>209</v>
      </c>
      <c r="B23" s="5" t="s">
        <v>43</v>
      </c>
      <c r="C23" s="5" t="s">
        <v>44</v>
      </c>
      <c r="D23" s="5" t="s">
        <v>45</v>
      </c>
      <c r="E23" s="1" t="s">
        <v>18</v>
      </c>
      <c r="F23" s="1" t="s">
        <v>52</v>
      </c>
      <c r="G23" s="1" t="s">
        <v>23</v>
      </c>
      <c r="H23" s="1" t="s">
        <v>24</v>
      </c>
      <c r="I23" s="21">
        <v>18918</v>
      </c>
      <c r="J23" s="1" t="s">
        <v>47</v>
      </c>
      <c r="K23" s="2">
        <f>I23/120*4</f>
        <v>630.6</v>
      </c>
      <c r="L23" s="38" t="s">
        <v>17</v>
      </c>
      <c r="M23" s="5" t="s">
        <v>425</v>
      </c>
      <c r="N23" s="5"/>
    </row>
    <row r="24" spans="1:14" s="28" customFormat="1" ht="37.5" customHeight="1">
      <c r="A24" s="51">
        <v>1328444</v>
      </c>
      <c r="B24" s="51" t="s">
        <v>699</v>
      </c>
      <c r="C24" s="55" t="s">
        <v>416</v>
      </c>
      <c r="D24" s="56" t="s">
        <v>417</v>
      </c>
      <c r="E24" s="1" t="s">
        <v>53</v>
      </c>
      <c r="F24" s="1" t="s">
        <v>418</v>
      </c>
      <c r="G24" s="1" t="s">
        <v>419</v>
      </c>
      <c r="H24" s="1" t="s">
        <v>56</v>
      </c>
      <c r="I24" s="21">
        <v>747928.1</v>
      </c>
      <c r="J24" s="1" t="s">
        <v>415</v>
      </c>
      <c r="K24" s="53">
        <f>I24/28</f>
        <v>26711.717857142856</v>
      </c>
      <c r="L24" s="54" t="s">
        <v>17</v>
      </c>
      <c r="M24" s="42" t="s">
        <v>799</v>
      </c>
      <c r="N24" s="42" t="s">
        <v>436</v>
      </c>
    </row>
    <row r="25" spans="1:14" s="28" customFormat="1" ht="56.25">
      <c r="A25" s="66" t="s">
        <v>707</v>
      </c>
      <c r="B25" s="61" t="s">
        <v>708</v>
      </c>
      <c r="C25" s="61" t="s">
        <v>709</v>
      </c>
      <c r="D25" s="61" t="s">
        <v>710</v>
      </c>
      <c r="E25" s="67" t="s">
        <v>53</v>
      </c>
      <c r="F25" s="76" t="s">
        <v>711</v>
      </c>
      <c r="G25" s="67" t="s">
        <v>712</v>
      </c>
      <c r="H25" s="67" t="s">
        <v>713</v>
      </c>
      <c r="I25" s="71">
        <v>1414236.7</v>
      </c>
      <c r="J25" s="77" t="s">
        <v>714</v>
      </c>
      <c r="K25" s="71">
        <f>I25/84*3</f>
        <v>50508.453571428574</v>
      </c>
      <c r="L25" s="78" t="s">
        <v>17</v>
      </c>
      <c r="M25" s="82" t="s">
        <v>798</v>
      </c>
      <c r="N25" s="82" t="s">
        <v>436</v>
      </c>
    </row>
    <row r="26" spans="1:14" s="28" customFormat="1" ht="247.5">
      <c r="A26" s="50" t="s">
        <v>405</v>
      </c>
      <c r="B26" s="51" t="s">
        <v>406</v>
      </c>
      <c r="C26" s="5" t="s">
        <v>407</v>
      </c>
      <c r="D26" s="5" t="s">
        <v>408</v>
      </c>
      <c r="E26" s="1" t="s">
        <v>53</v>
      </c>
      <c r="F26" s="1" t="s">
        <v>409</v>
      </c>
      <c r="G26" s="1" t="s">
        <v>410</v>
      </c>
      <c r="H26" s="1" t="s">
        <v>127</v>
      </c>
      <c r="I26" s="21">
        <v>957933.6</v>
      </c>
      <c r="J26" s="52" t="s">
        <v>455</v>
      </c>
      <c r="K26" s="53">
        <f>I26/28/400*400</f>
        <v>34211.91428571429</v>
      </c>
      <c r="L26" s="54" t="s">
        <v>17</v>
      </c>
      <c r="M26" s="42" t="s">
        <v>457</v>
      </c>
      <c r="N26" s="42" t="s">
        <v>436</v>
      </c>
    </row>
    <row r="27" spans="1:14" s="28" customFormat="1" ht="135">
      <c r="A27" s="51">
        <v>1328630</v>
      </c>
      <c r="B27" s="51" t="s">
        <v>411</v>
      </c>
      <c r="C27" s="55" t="s">
        <v>412</v>
      </c>
      <c r="D27" s="56" t="s">
        <v>413</v>
      </c>
      <c r="E27" s="1" t="s">
        <v>53</v>
      </c>
      <c r="F27" s="1" t="s">
        <v>414</v>
      </c>
      <c r="G27" s="1" t="s">
        <v>410</v>
      </c>
      <c r="H27" s="1" t="s">
        <v>127</v>
      </c>
      <c r="I27" s="21">
        <v>1152402.1</v>
      </c>
      <c r="J27" s="1" t="s">
        <v>415</v>
      </c>
      <c r="K27" s="53">
        <f>I27/28</f>
        <v>41157.21785714286</v>
      </c>
      <c r="L27" s="54" t="s">
        <v>17</v>
      </c>
      <c r="M27" s="42" t="s">
        <v>450</v>
      </c>
      <c r="N27" s="42" t="s">
        <v>436</v>
      </c>
    </row>
    <row r="28" spans="1:14" s="28" customFormat="1" ht="41.25" customHeight="1">
      <c r="A28" s="92" t="s">
        <v>715</v>
      </c>
      <c r="B28" s="92" t="s">
        <v>716</v>
      </c>
      <c r="C28" s="92" t="s">
        <v>717</v>
      </c>
      <c r="D28" s="92" t="s">
        <v>718</v>
      </c>
      <c r="E28" s="101" t="s">
        <v>53</v>
      </c>
      <c r="F28" s="101" t="s">
        <v>719</v>
      </c>
      <c r="G28" s="101" t="s">
        <v>410</v>
      </c>
      <c r="H28" s="101" t="s">
        <v>127</v>
      </c>
      <c r="I28" s="2">
        <v>943902.3</v>
      </c>
      <c r="J28" s="1" t="s">
        <v>720</v>
      </c>
      <c r="K28" s="2">
        <f>I28/28</f>
        <v>33710.79642857143</v>
      </c>
      <c r="L28" s="2" t="s">
        <v>17</v>
      </c>
      <c r="M28" s="42" t="s">
        <v>798</v>
      </c>
      <c r="N28" s="42" t="s">
        <v>436</v>
      </c>
    </row>
    <row r="29" spans="1:14" ht="101.25">
      <c r="A29" s="4" t="s">
        <v>354</v>
      </c>
      <c r="B29" s="5" t="s">
        <v>57</v>
      </c>
      <c r="C29" s="5" t="s">
        <v>58</v>
      </c>
      <c r="D29" s="5" t="s">
        <v>703</v>
      </c>
      <c r="E29" s="1" t="s">
        <v>59</v>
      </c>
      <c r="F29" s="1" t="s">
        <v>355</v>
      </c>
      <c r="G29" s="1" t="s">
        <v>352</v>
      </c>
      <c r="H29" s="1" t="s">
        <v>353</v>
      </c>
      <c r="I29" s="21">
        <v>41589.3</v>
      </c>
      <c r="J29" s="2" t="s">
        <v>17</v>
      </c>
      <c r="K29" s="2" t="s">
        <v>17</v>
      </c>
      <c r="L29" s="40" t="s">
        <v>17</v>
      </c>
      <c r="M29" s="5" t="s">
        <v>956</v>
      </c>
      <c r="N29" s="5" t="s">
        <v>791</v>
      </c>
    </row>
    <row r="30" spans="1:14" s="57" customFormat="1" ht="101.25">
      <c r="A30" s="5" t="s">
        <v>366</v>
      </c>
      <c r="B30" s="5" t="s">
        <v>57</v>
      </c>
      <c r="C30" s="55" t="s">
        <v>58</v>
      </c>
      <c r="D30" s="55" t="s">
        <v>372</v>
      </c>
      <c r="E30" s="1" t="s">
        <v>59</v>
      </c>
      <c r="F30" s="1" t="s">
        <v>351</v>
      </c>
      <c r="G30" s="1" t="s">
        <v>367</v>
      </c>
      <c r="H30" s="1" t="s">
        <v>368</v>
      </c>
      <c r="I30" s="21">
        <v>41589.3</v>
      </c>
      <c r="J30" s="1" t="s">
        <v>17</v>
      </c>
      <c r="K30" s="2" t="s">
        <v>17</v>
      </c>
      <c r="L30" s="40" t="s">
        <v>17</v>
      </c>
      <c r="M30" s="5" t="s">
        <v>956</v>
      </c>
      <c r="N30" s="5" t="s">
        <v>792</v>
      </c>
    </row>
    <row r="31" spans="1:14" s="57" customFormat="1" ht="101.25">
      <c r="A31" s="66" t="s">
        <v>534</v>
      </c>
      <c r="B31" s="61" t="s">
        <v>57</v>
      </c>
      <c r="C31" s="61" t="s">
        <v>58</v>
      </c>
      <c r="D31" s="61" t="s">
        <v>535</v>
      </c>
      <c r="E31" s="67" t="s">
        <v>59</v>
      </c>
      <c r="F31" s="76" t="s">
        <v>351</v>
      </c>
      <c r="G31" s="67" t="s">
        <v>536</v>
      </c>
      <c r="H31" s="67" t="s">
        <v>537</v>
      </c>
      <c r="I31" s="21">
        <v>41589.3</v>
      </c>
      <c r="J31" s="77" t="s">
        <v>17</v>
      </c>
      <c r="K31" s="71" t="s">
        <v>17</v>
      </c>
      <c r="L31" s="70" t="s">
        <v>17</v>
      </c>
      <c r="M31" s="5" t="s">
        <v>956</v>
      </c>
      <c r="N31" s="61" t="s">
        <v>792</v>
      </c>
    </row>
    <row r="32" spans="1:14" s="57" customFormat="1" ht="101.25">
      <c r="A32" s="4" t="s">
        <v>823</v>
      </c>
      <c r="B32" s="32" t="s">
        <v>57</v>
      </c>
      <c r="C32" s="32" t="s">
        <v>58</v>
      </c>
      <c r="D32" s="32" t="s">
        <v>824</v>
      </c>
      <c r="E32" s="2" t="s">
        <v>59</v>
      </c>
      <c r="F32" s="2" t="s">
        <v>355</v>
      </c>
      <c r="G32" s="2" t="s">
        <v>825</v>
      </c>
      <c r="H32" s="2" t="s">
        <v>826</v>
      </c>
      <c r="I32" s="2">
        <v>41589.3</v>
      </c>
      <c r="J32" s="2" t="s">
        <v>17</v>
      </c>
      <c r="K32" s="2" t="s">
        <v>17</v>
      </c>
      <c r="L32" s="59" t="s">
        <v>17</v>
      </c>
      <c r="M32" s="5" t="s">
        <v>956</v>
      </c>
      <c r="N32" s="5" t="s">
        <v>792</v>
      </c>
    </row>
    <row r="33" spans="1:14" s="57" customFormat="1" ht="126.75" customHeight="1">
      <c r="A33" s="126" t="s">
        <v>957</v>
      </c>
      <c r="B33" s="127" t="s">
        <v>958</v>
      </c>
      <c r="C33" s="127" t="s">
        <v>959</v>
      </c>
      <c r="D33" s="127" t="s">
        <v>960</v>
      </c>
      <c r="E33" s="128" t="s">
        <v>53</v>
      </c>
      <c r="F33" s="128" t="s">
        <v>961</v>
      </c>
      <c r="G33" s="129" t="s">
        <v>962</v>
      </c>
      <c r="H33" s="129" t="s">
        <v>963</v>
      </c>
      <c r="I33" s="21">
        <v>56667.1</v>
      </c>
      <c r="J33" s="130" t="s">
        <v>17</v>
      </c>
      <c r="K33" s="130" t="s">
        <v>17</v>
      </c>
      <c r="L33" s="130" t="s">
        <v>17</v>
      </c>
      <c r="M33" s="131" t="s">
        <v>964</v>
      </c>
      <c r="N33" s="131" t="s">
        <v>967</v>
      </c>
    </row>
    <row r="34" spans="1:14" s="57" customFormat="1" ht="123.75">
      <c r="A34" s="126" t="s">
        <v>965</v>
      </c>
      <c r="B34" s="127" t="s">
        <v>958</v>
      </c>
      <c r="C34" s="127" t="s">
        <v>959</v>
      </c>
      <c r="D34" s="127" t="s">
        <v>960</v>
      </c>
      <c r="E34" s="128" t="s">
        <v>53</v>
      </c>
      <c r="F34" s="128" t="s">
        <v>966</v>
      </c>
      <c r="G34" s="129" t="s">
        <v>962</v>
      </c>
      <c r="H34" s="129" t="s">
        <v>963</v>
      </c>
      <c r="I34" s="21">
        <v>75556.9</v>
      </c>
      <c r="J34" s="130" t="s">
        <v>17</v>
      </c>
      <c r="K34" s="130" t="s">
        <v>17</v>
      </c>
      <c r="L34" s="130" t="s">
        <v>17</v>
      </c>
      <c r="M34" s="131" t="s">
        <v>964</v>
      </c>
      <c r="N34" s="131" t="s">
        <v>968</v>
      </c>
    </row>
    <row r="35" spans="1:14" ht="112.5">
      <c r="A35" s="4" t="s">
        <v>287</v>
      </c>
      <c r="B35" s="5" t="s">
        <v>288</v>
      </c>
      <c r="C35" s="5" t="s">
        <v>969</v>
      </c>
      <c r="D35" s="5" t="s">
        <v>289</v>
      </c>
      <c r="E35" s="1" t="s">
        <v>290</v>
      </c>
      <c r="F35" s="1" t="s">
        <v>291</v>
      </c>
      <c r="G35" s="1" t="s">
        <v>373</v>
      </c>
      <c r="H35" s="1" t="s">
        <v>24</v>
      </c>
      <c r="I35" s="21">
        <v>329026</v>
      </c>
      <c r="J35" s="2" t="s">
        <v>17</v>
      </c>
      <c r="K35" s="2" t="s">
        <v>17</v>
      </c>
      <c r="L35" s="40" t="s">
        <v>17</v>
      </c>
      <c r="M35" s="5" t="s">
        <v>426</v>
      </c>
      <c r="N35" s="5" t="s">
        <v>805</v>
      </c>
    </row>
    <row r="36" spans="1:14" ht="180">
      <c r="A36" s="4" t="s">
        <v>210</v>
      </c>
      <c r="B36" s="5" t="s">
        <v>61</v>
      </c>
      <c r="C36" s="5" t="s">
        <v>62</v>
      </c>
      <c r="D36" s="5" t="s">
        <v>63</v>
      </c>
      <c r="E36" s="1" t="s">
        <v>111</v>
      </c>
      <c r="F36" s="1" t="s">
        <v>779</v>
      </c>
      <c r="G36" s="1" t="s">
        <v>827</v>
      </c>
      <c r="H36" s="1" t="s">
        <v>54</v>
      </c>
      <c r="I36" s="21">
        <v>12339</v>
      </c>
      <c r="J36" s="2" t="s">
        <v>17</v>
      </c>
      <c r="K36" s="2" t="s">
        <v>17</v>
      </c>
      <c r="L36" s="40" t="s">
        <v>17</v>
      </c>
      <c r="M36" s="5" t="s">
        <v>427</v>
      </c>
      <c r="N36" s="5" t="s">
        <v>828</v>
      </c>
    </row>
    <row r="37" spans="1:14" ht="146.25">
      <c r="A37" s="66">
        <v>1039671</v>
      </c>
      <c r="B37" s="5" t="s">
        <v>1010</v>
      </c>
      <c r="C37" s="61" t="s">
        <v>580</v>
      </c>
      <c r="D37" s="61" t="s">
        <v>581</v>
      </c>
      <c r="E37" s="67" t="s">
        <v>53</v>
      </c>
      <c r="F37" s="67" t="s">
        <v>582</v>
      </c>
      <c r="G37" s="67" t="s">
        <v>583</v>
      </c>
      <c r="H37" s="67" t="s">
        <v>584</v>
      </c>
      <c r="I37" s="21">
        <v>585993.2</v>
      </c>
      <c r="J37" s="70" t="s">
        <v>17</v>
      </c>
      <c r="K37" s="71" t="s">
        <v>17</v>
      </c>
      <c r="L37" s="70" t="s">
        <v>17</v>
      </c>
      <c r="M37" s="5" t="s">
        <v>1011</v>
      </c>
      <c r="N37" s="85" t="s">
        <v>794</v>
      </c>
    </row>
    <row r="38" spans="1:14" ht="146.25">
      <c r="A38" s="4" t="s">
        <v>1012</v>
      </c>
      <c r="B38" s="5" t="s">
        <v>1010</v>
      </c>
      <c r="C38" s="5" t="s">
        <v>580</v>
      </c>
      <c r="D38" s="5" t="s">
        <v>581</v>
      </c>
      <c r="E38" s="1" t="s">
        <v>53</v>
      </c>
      <c r="F38" s="1" t="s">
        <v>1013</v>
      </c>
      <c r="G38" s="1" t="s">
        <v>583</v>
      </c>
      <c r="H38" s="1" t="s">
        <v>584</v>
      </c>
      <c r="I38" s="21">
        <v>585993.2</v>
      </c>
      <c r="J38" s="59" t="s">
        <v>17</v>
      </c>
      <c r="K38" s="21" t="s">
        <v>17</v>
      </c>
      <c r="L38" s="59" t="s">
        <v>17</v>
      </c>
      <c r="M38" s="5" t="s">
        <v>1011</v>
      </c>
      <c r="N38" s="86" t="s">
        <v>794</v>
      </c>
    </row>
    <row r="39" spans="1:14" ht="157.5">
      <c r="A39" s="4" t="s">
        <v>304</v>
      </c>
      <c r="B39" s="5" t="s">
        <v>1001</v>
      </c>
      <c r="C39" s="5" t="s">
        <v>305</v>
      </c>
      <c r="D39" s="5" t="s">
        <v>306</v>
      </c>
      <c r="E39" s="1" t="s">
        <v>53</v>
      </c>
      <c r="F39" s="1" t="s">
        <v>369</v>
      </c>
      <c r="G39" s="1" t="s">
        <v>1002</v>
      </c>
      <c r="H39" s="1" t="s">
        <v>1003</v>
      </c>
      <c r="I39" s="21">
        <v>135588</v>
      </c>
      <c r="J39" s="2" t="s">
        <v>17</v>
      </c>
      <c r="K39" s="2" t="s">
        <v>17</v>
      </c>
      <c r="L39" s="40" t="s">
        <v>17</v>
      </c>
      <c r="M39" s="5" t="s">
        <v>570</v>
      </c>
      <c r="N39" s="5" t="s">
        <v>795</v>
      </c>
    </row>
    <row r="40" spans="1:14" ht="157.5">
      <c r="A40" s="66">
        <v>1039337</v>
      </c>
      <c r="B40" s="5" t="s">
        <v>1014</v>
      </c>
      <c r="C40" s="61" t="s">
        <v>591</v>
      </c>
      <c r="D40" s="61" t="s">
        <v>592</v>
      </c>
      <c r="E40" s="67" t="s">
        <v>53</v>
      </c>
      <c r="F40" s="67" t="s">
        <v>593</v>
      </c>
      <c r="G40" s="1" t="s">
        <v>1002</v>
      </c>
      <c r="H40" s="1" t="s">
        <v>1003</v>
      </c>
      <c r="I40" s="21">
        <v>547445.7</v>
      </c>
      <c r="J40" s="70" t="s">
        <v>17</v>
      </c>
      <c r="K40" s="71" t="s">
        <v>17</v>
      </c>
      <c r="L40" s="70" t="s">
        <v>17</v>
      </c>
      <c r="M40" s="87" t="s">
        <v>594</v>
      </c>
      <c r="N40" s="5" t="s">
        <v>796</v>
      </c>
    </row>
    <row r="41" spans="1:14" ht="145.5" customHeight="1">
      <c r="A41" s="4">
        <v>1039690</v>
      </c>
      <c r="B41" s="132" t="s">
        <v>970</v>
      </c>
      <c r="C41" s="132" t="s">
        <v>971</v>
      </c>
      <c r="D41" s="133" t="s">
        <v>972</v>
      </c>
      <c r="E41" s="94" t="s">
        <v>53</v>
      </c>
      <c r="F41" s="134" t="s">
        <v>876</v>
      </c>
      <c r="G41" s="134" t="s">
        <v>973</v>
      </c>
      <c r="H41" s="1" t="s">
        <v>491</v>
      </c>
      <c r="I41" s="21">
        <v>92359.6</v>
      </c>
      <c r="J41" s="130" t="s">
        <v>974</v>
      </c>
      <c r="K41" s="21">
        <f>+(I41/28)/50*300</f>
        <v>19791.34285714286</v>
      </c>
      <c r="L41" s="59" t="s">
        <v>17</v>
      </c>
      <c r="M41" s="135" t="s">
        <v>978</v>
      </c>
      <c r="N41" s="135" t="s">
        <v>976</v>
      </c>
    </row>
    <row r="42" spans="1:14" ht="145.5" customHeight="1">
      <c r="A42" s="4">
        <v>1039691</v>
      </c>
      <c r="B42" s="132" t="s">
        <v>970</v>
      </c>
      <c r="C42" s="132" t="s">
        <v>971</v>
      </c>
      <c r="D42" s="133" t="s">
        <v>972</v>
      </c>
      <c r="E42" s="94" t="s">
        <v>53</v>
      </c>
      <c r="F42" s="134" t="s">
        <v>975</v>
      </c>
      <c r="G42" s="134" t="s">
        <v>973</v>
      </c>
      <c r="H42" s="1" t="s">
        <v>491</v>
      </c>
      <c r="I42" s="21">
        <v>92359.6</v>
      </c>
      <c r="J42" s="130" t="s">
        <v>974</v>
      </c>
      <c r="K42" s="21">
        <f>+(I42/28)/100*300</f>
        <v>9895.67142857143</v>
      </c>
      <c r="L42" s="59" t="s">
        <v>17</v>
      </c>
      <c r="M42" s="135" t="s">
        <v>978</v>
      </c>
      <c r="N42" s="135" t="s">
        <v>976</v>
      </c>
    </row>
    <row r="43" spans="1:14" ht="135.75" customHeight="1">
      <c r="A43" s="4">
        <v>1039692</v>
      </c>
      <c r="B43" s="132" t="s">
        <v>970</v>
      </c>
      <c r="C43" s="132" t="s">
        <v>971</v>
      </c>
      <c r="D43" s="133" t="s">
        <v>972</v>
      </c>
      <c r="E43" s="94" t="s">
        <v>53</v>
      </c>
      <c r="F43" s="134" t="s">
        <v>977</v>
      </c>
      <c r="G43" s="134" t="s">
        <v>973</v>
      </c>
      <c r="H43" s="1" t="s">
        <v>491</v>
      </c>
      <c r="I43" s="21">
        <v>92359.6</v>
      </c>
      <c r="J43" s="130" t="s">
        <v>974</v>
      </c>
      <c r="K43" s="21">
        <f>+(I43/28)/150*300</f>
        <v>6597.114285714286</v>
      </c>
      <c r="L43" s="59" t="s">
        <v>17</v>
      </c>
      <c r="M43" s="135" t="s">
        <v>978</v>
      </c>
      <c r="N43" s="135" t="s">
        <v>976</v>
      </c>
    </row>
    <row r="44" spans="1:14" ht="146.25">
      <c r="A44" s="102">
        <v>1039343</v>
      </c>
      <c r="B44" s="102" t="s">
        <v>721</v>
      </c>
      <c r="C44" s="102" t="s">
        <v>722</v>
      </c>
      <c r="D44" s="102" t="s">
        <v>723</v>
      </c>
      <c r="E44" s="70" t="s">
        <v>55</v>
      </c>
      <c r="F44" s="67" t="s">
        <v>724</v>
      </c>
      <c r="G44" s="67" t="s">
        <v>725</v>
      </c>
      <c r="H44" s="70" t="s">
        <v>56</v>
      </c>
      <c r="I44" s="71">
        <v>594087.8</v>
      </c>
      <c r="J44" s="78" t="s">
        <v>726</v>
      </c>
      <c r="K44" s="78">
        <v>19802.93</v>
      </c>
      <c r="L44" s="78" t="s">
        <v>17</v>
      </c>
      <c r="M44" s="103" t="s">
        <v>800</v>
      </c>
      <c r="N44" s="113" t="s">
        <v>829</v>
      </c>
    </row>
    <row r="45" spans="1:14" ht="168" customHeight="1">
      <c r="A45" s="136" t="s">
        <v>979</v>
      </c>
      <c r="B45" s="56" t="s">
        <v>980</v>
      </c>
      <c r="C45" s="136" t="s">
        <v>981</v>
      </c>
      <c r="D45" s="136" t="s">
        <v>982</v>
      </c>
      <c r="E45" s="137" t="s">
        <v>27</v>
      </c>
      <c r="F45" s="137" t="s">
        <v>983</v>
      </c>
      <c r="G45" s="1" t="s">
        <v>148</v>
      </c>
      <c r="H45" s="1" t="s">
        <v>40</v>
      </c>
      <c r="I45" s="2">
        <v>517751.2</v>
      </c>
      <c r="J45" s="138" t="s">
        <v>17</v>
      </c>
      <c r="K45" s="138" t="s">
        <v>17</v>
      </c>
      <c r="L45" s="138" t="s">
        <v>17</v>
      </c>
      <c r="M45" s="5" t="s">
        <v>984</v>
      </c>
      <c r="N45" s="124" t="s">
        <v>829</v>
      </c>
    </row>
    <row r="46" spans="1:14" s="28" customFormat="1" ht="314.25" customHeight="1">
      <c r="A46" s="66" t="s">
        <v>563</v>
      </c>
      <c r="B46" s="61" t="s">
        <v>706</v>
      </c>
      <c r="C46" s="61" t="s">
        <v>564</v>
      </c>
      <c r="D46" s="61" t="s">
        <v>565</v>
      </c>
      <c r="E46" s="67" t="s">
        <v>66</v>
      </c>
      <c r="F46" s="67" t="s">
        <v>566</v>
      </c>
      <c r="G46" s="1" t="s">
        <v>1117</v>
      </c>
      <c r="H46" s="67" t="s">
        <v>127</v>
      </c>
      <c r="I46" s="21">
        <v>47044</v>
      </c>
      <c r="J46" s="70" t="s">
        <v>17</v>
      </c>
      <c r="K46" s="71" t="s">
        <v>17</v>
      </c>
      <c r="L46" s="70" t="s">
        <v>17</v>
      </c>
      <c r="M46" s="5" t="s">
        <v>985</v>
      </c>
      <c r="N46" s="5" t="s">
        <v>986</v>
      </c>
    </row>
    <row r="47" spans="1:14" s="28" customFormat="1" ht="294" customHeight="1">
      <c r="A47" s="66" t="s">
        <v>567</v>
      </c>
      <c r="B47" s="61" t="s">
        <v>706</v>
      </c>
      <c r="C47" s="61" t="s">
        <v>564</v>
      </c>
      <c r="D47" s="61" t="s">
        <v>565</v>
      </c>
      <c r="E47" s="67" t="s">
        <v>66</v>
      </c>
      <c r="F47" s="67" t="s">
        <v>568</v>
      </c>
      <c r="G47" s="1" t="s">
        <v>1117</v>
      </c>
      <c r="H47" s="67" t="s">
        <v>127</v>
      </c>
      <c r="I47" s="21">
        <v>118376.1</v>
      </c>
      <c r="J47" s="70" t="s">
        <v>17</v>
      </c>
      <c r="K47" s="71" t="s">
        <v>17</v>
      </c>
      <c r="L47" s="70" t="s">
        <v>17</v>
      </c>
      <c r="M47" s="5" t="s">
        <v>985</v>
      </c>
      <c r="N47" s="5" t="s">
        <v>986</v>
      </c>
    </row>
    <row r="48" spans="1:14" ht="303.75">
      <c r="A48" s="4" t="s">
        <v>211</v>
      </c>
      <c r="B48" s="5" t="s">
        <v>64</v>
      </c>
      <c r="C48" s="5" t="s">
        <v>65</v>
      </c>
      <c r="D48" s="5" t="s">
        <v>240</v>
      </c>
      <c r="E48" s="1" t="s">
        <v>66</v>
      </c>
      <c r="F48" s="1" t="s">
        <v>67</v>
      </c>
      <c r="G48" s="1" t="s">
        <v>50</v>
      </c>
      <c r="H48" s="1" t="s">
        <v>15</v>
      </c>
      <c r="I48" s="21">
        <v>33628.9</v>
      </c>
      <c r="J48" s="2" t="s">
        <v>17</v>
      </c>
      <c r="K48" s="2" t="s">
        <v>17</v>
      </c>
      <c r="L48" s="40" t="s">
        <v>17</v>
      </c>
      <c r="M48" s="5" t="s">
        <v>428</v>
      </c>
      <c r="N48" s="5" t="s">
        <v>830</v>
      </c>
    </row>
    <row r="49" spans="1:14" ht="303.75">
      <c r="A49" s="4" t="s">
        <v>212</v>
      </c>
      <c r="B49" s="5" t="s">
        <v>64</v>
      </c>
      <c r="C49" s="5" t="s">
        <v>65</v>
      </c>
      <c r="D49" s="5" t="s">
        <v>240</v>
      </c>
      <c r="E49" s="1" t="s">
        <v>66</v>
      </c>
      <c r="F49" s="1" t="s">
        <v>68</v>
      </c>
      <c r="G49" s="1" t="s">
        <v>50</v>
      </c>
      <c r="H49" s="1" t="s">
        <v>15</v>
      </c>
      <c r="I49" s="21">
        <v>83984.1</v>
      </c>
      <c r="J49" s="2" t="s">
        <v>17</v>
      </c>
      <c r="K49" s="2" t="s">
        <v>17</v>
      </c>
      <c r="L49" s="40" t="s">
        <v>17</v>
      </c>
      <c r="M49" s="5" t="s">
        <v>428</v>
      </c>
      <c r="N49" s="5" t="s">
        <v>830</v>
      </c>
    </row>
    <row r="50" spans="1:14" ht="146.25">
      <c r="A50" s="5" t="s">
        <v>356</v>
      </c>
      <c r="B50" s="5" t="s">
        <v>64</v>
      </c>
      <c r="C50" s="5" t="s">
        <v>65</v>
      </c>
      <c r="D50" s="5" t="s">
        <v>240</v>
      </c>
      <c r="E50" s="1" t="s">
        <v>27</v>
      </c>
      <c r="F50" s="1" t="s">
        <v>357</v>
      </c>
      <c r="G50" s="1" t="s">
        <v>358</v>
      </c>
      <c r="H50" s="1" t="s">
        <v>15</v>
      </c>
      <c r="I50" s="21">
        <v>163076.4</v>
      </c>
      <c r="J50" s="1" t="s">
        <v>17</v>
      </c>
      <c r="K50" s="1" t="s">
        <v>17</v>
      </c>
      <c r="L50" s="40" t="s">
        <v>17</v>
      </c>
      <c r="M50" s="55" t="s">
        <v>429</v>
      </c>
      <c r="N50" s="5" t="s">
        <v>831</v>
      </c>
    </row>
    <row r="51" spans="1:14" ht="202.5">
      <c r="A51" s="66" t="s">
        <v>538</v>
      </c>
      <c r="B51" s="61" t="s">
        <v>64</v>
      </c>
      <c r="C51" s="61" t="s">
        <v>65</v>
      </c>
      <c r="D51" s="61" t="s">
        <v>539</v>
      </c>
      <c r="E51" s="67" t="s">
        <v>66</v>
      </c>
      <c r="F51" s="67" t="s">
        <v>540</v>
      </c>
      <c r="G51" s="67" t="s">
        <v>247</v>
      </c>
      <c r="H51" s="67" t="s">
        <v>86</v>
      </c>
      <c r="I51" s="71">
        <v>27686</v>
      </c>
      <c r="J51" s="78" t="s">
        <v>17</v>
      </c>
      <c r="K51" s="78" t="s">
        <v>17</v>
      </c>
      <c r="L51" s="79" t="s">
        <v>17</v>
      </c>
      <c r="M51" s="80" t="s">
        <v>541</v>
      </c>
      <c r="N51" s="5" t="s">
        <v>832</v>
      </c>
    </row>
    <row r="52" spans="1:14" ht="202.5">
      <c r="A52" s="66" t="s">
        <v>542</v>
      </c>
      <c r="B52" s="61" t="s">
        <v>64</v>
      </c>
      <c r="C52" s="61" t="s">
        <v>65</v>
      </c>
      <c r="D52" s="61" t="s">
        <v>539</v>
      </c>
      <c r="E52" s="67" t="s">
        <v>66</v>
      </c>
      <c r="F52" s="67" t="s">
        <v>543</v>
      </c>
      <c r="G52" s="67" t="s">
        <v>247</v>
      </c>
      <c r="H52" s="67" t="s">
        <v>86</v>
      </c>
      <c r="I52" s="71">
        <v>69155.2</v>
      </c>
      <c r="J52" s="78" t="s">
        <v>17</v>
      </c>
      <c r="K52" s="78" t="s">
        <v>17</v>
      </c>
      <c r="L52" s="79" t="s">
        <v>17</v>
      </c>
      <c r="M52" s="80" t="s">
        <v>541</v>
      </c>
      <c r="N52" s="5" t="s">
        <v>833</v>
      </c>
    </row>
    <row r="53" spans="1:14" ht="303.75">
      <c r="A53" s="66" t="s">
        <v>544</v>
      </c>
      <c r="B53" s="61" t="s">
        <v>64</v>
      </c>
      <c r="C53" s="61" t="s">
        <v>65</v>
      </c>
      <c r="D53" s="61" t="s">
        <v>545</v>
      </c>
      <c r="E53" s="67" t="s">
        <v>66</v>
      </c>
      <c r="F53" s="67" t="s">
        <v>67</v>
      </c>
      <c r="G53" s="67" t="s">
        <v>185</v>
      </c>
      <c r="H53" s="67" t="s">
        <v>19</v>
      </c>
      <c r="I53" s="71">
        <v>27686</v>
      </c>
      <c r="J53" s="78" t="s">
        <v>17</v>
      </c>
      <c r="K53" s="78" t="s">
        <v>17</v>
      </c>
      <c r="L53" s="79" t="s">
        <v>17</v>
      </c>
      <c r="M53" s="80" t="s">
        <v>428</v>
      </c>
      <c r="N53" s="5" t="s">
        <v>830</v>
      </c>
    </row>
    <row r="54" spans="1:14" ht="303.75">
      <c r="A54" s="66" t="s">
        <v>546</v>
      </c>
      <c r="B54" s="61" t="s">
        <v>64</v>
      </c>
      <c r="C54" s="61" t="s">
        <v>65</v>
      </c>
      <c r="D54" s="61" t="s">
        <v>545</v>
      </c>
      <c r="E54" s="67" t="s">
        <v>66</v>
      </c>
      <c r="F54" s="67" t="s">
        <v>68</v>
      </c>
      <c r="G54" s="67" t="s">
        <v>185</v>
      </c>
      <c r="H54" s="67" t="s">
        <v>19</v>
      </c>
      <c r="I54" s="71">
        <v>69155.2</v>
      </c>
      <c r="J54" s="78" t="s">
        <v>17</v>
      </c>
      <c r="K54" s="78" t="s">
        <v>17</v>
      </c>
      <c r="L54" s="79" t="s">
        <v>17</v>
      </c>
      <c r="M54" s="80" t="s">
        <v>428</v>
      </c>
      <c r="N54" s="5" t="s">
        <v>834</v>
      </c>
    </row>
    <row r="55" spans="1:14" ht="168.75">
      <c r="A55" s="4" t="s">
        <v>213</v>
      </c>
      <c r="B55" s="5" t="s">
        <v>69</v>
      </c>
      <c r="C55" s="5" t="s">
        <v>70</v>
      </c>
      <c r="D55" s="5" t="s">
        <v>71</v>
      </c>
      <c r="E55" s="1" t="s">
        <v>191</v>
      </c>
      <c r="F55" s="1" t="s">
        <v>177</v>
      </c>
      <c r="G55" s="1" t="s">
        <v>50</v>
      </c>
      <c r="H55" s="1" t="s">
        <v>15</v>
      </c>
      <c r="I55" s="21">
        <v>175345.4</v>
      </c>
      <c r="J55" s="2" t="s">
        <v>17</v>
      </c>
      <c r="K55" s="2" t="s">
        <v>17</v>
      </c>
      <c r="L55" s="40" t="s">
        <v>17</v>
      </c>
      <c r="M55" s="55" t="s">
        <v>452</v>
      </c>
      <c r="N55" s="55" t="s">
        <v>801</v>
      </c>
    </row>
    <row r="56" spans="1:14" ht="168.75">
      <c r="A56" s="4" t="s">
        <v>255</v>
      </c>
      <c r="B56" s="5" t="s">
        <v>69</v>
      </c>
      <c r="C56" s="5" t="s">
        <v>70</v>
      </c>
      <c r="D56" s="5" t="s">
        <v>71</v>
      </c>
      <c r="E56" s="1" t="s">
        <v>27</v>
      </c>
      <c r="F56" s="1" t="s">
        <v>256</v>
      </c>
      <c r="G56" s="1" t="s">
        <v>50</v>
      </c>
      <c r="H56" s="1" t="s">
        <v>15</v>
      </c>
      <c r="I56" s="21">
        <v>136715</v>
      </c>
      <c r="J56" s="2" t="s">
        <v>17</v>
      </c>
      <c r="K56" s="2" t="s">
        <v>17</v>
      </c>
      <c r="L56" s="40" t="s">
        <v>17</v>
      </c>
      <c r="M56" s="55" t="s">
        <v>452</v>
      </c>
      <c r="N56" s="55" t="s">
        <v>801</v>
      </c>
    </row>
    <row r="57" spans="1:17" s="28" customFormat="1" ht="168.75">
      <c r="A57" s="88" t="s">
        <v>639</v>
      </c>
      <c r="B57" s="89" t="s">
        <v>835</v>
      </c>
      <c r="C57" s="89" t="s">
        <v>70</v>
      </c>
      <c r="D57" s="5" t="s">
        <v>640</v>
      </c>
      <c r="E57" s="1" t="s">
        <v>59</v>
      </c>
      <c r="F57" s="1" t="s">
        <v>641</v>
      </c>
      <c r="G57" s="1" t="s">
        <v>247</v>
      </c>
      <c r="H57" s="1" t="s">
        <v>86</v>
      </c>
      <c r="I57" s="21">
        <v>26227.7</v>
      </c>
      <c r="J57" s="2" t="s">
        <v>17</v>
      </c>
      <c r="K57" s="21" t="s">
        <v>17</v>
      </c>
      <c r="L57" s="59" t="s">
        <v>17</v>
      </c>
      <c r="M57" s="55" t="s">
        <v>452</v>
      </c>
      <c r="N57" s="55" t="s">
        <v>801</v>
      </c>
      <c r="O57" s="90"/>
      <c r="P57" s="90"/>
      <c r="Q57" s="90"/>
    </row>
    <row r="58" spans="1:14" s="90" customFormat="1" ht="168.75">
      <c r="A58" s="88" t="s">
        <v>642</v>
      </c>
      <c r="B58" s="5" t="s">
        <v>69</v>
      </c>
      <c r="C58" s="5" t="s">
        <v>70</v>
      </c>
      <c r="D58" s="91" t="s">
        <v>643</v>
      </c>
      <c r="E58" s="1" t="s">
        <v>59</v>
      </c>
      <c r="F58" s="1" t="s">
        <v>641</v>
      </c>
      <c r="G58" s="1" t="s">
        <v>39</v>
      </c>
      <c r="H58" s="1" t="s">
        <v>40</v>
      </c>
      <c r="I58" s="21">
        <v>26227.7</v>
      </c>
      <c r="J58" s="2" t="s">
        <v>17</v>
      </c>
      <c r="K58" s="2" t="s">
        <v>17</v>
      </c>
      <c r="L58" s="2" t="s">
        <v>17</v>
      </c>
      <c r="M58" s="55" t="s">
        <v>452</v>
      </c>
      <c r="N58" s="55" t="s">
        <v>801</v>
      </c>
    </row>
    <row r="59" spans="1:17" s="90" customFormat="1" ht="168.75">
      <c r="A59" s="88" t="s">
        <v>644</v>
      </c>
      <c r="B59" s="5" t="s">
        <v>69</v>
      </c>
      <c r="C59" s="5" t="s">
        <v>70</v>
      </c>
      <c r="D59" s="91" t="s">
        <v>643</v>
      </c>
      <c r="E59" s="1" t="s">
        <v>59</v>
      </c>
      <c r="F59" s="1" t="s">
        <v>645</v>
      </c>
      <c r="G59" s="1" t="s">
        <v>39</v>
      </c>
      <c r="H59" s="1" t="s">
        <v>40</v>
      </c>
      <c r="I59" s="21">
        <v>73343.3</v>
      </c>
      <c r="J59" s="2" t="s">
        <v>17</v>
      </c>
      <c r="K59" s="2" t="s">
        <v>17</v>
      </c>
      <c r="L59" s="2" t="s">
        <v>17</v>
      </c>
      <c r="M59" s="55" t="s">
        <v>452</v>
      </c>
      <c r="N59" s="55" t="s">
        <v>801</v>
      </c>
      <c r="O59" s="28"/>
      <c r="P59" s="28"/>
      <c r="Q59" s="28"/>
    </row>
    <row r="60" spans="1:17" s="90" customFormat="1" ht="180">
      <c r="A60" s="5" t="s">
        <v>836</v>
      </c>
      <c r="B60" s="5" t="s">
        <v>835</v>
      </c>
      <c r="C60" s="5" t="s">
        <v>70</v>
      </c>
      <c r="D60" s="5" t="s">
        <v>640</v>
      </c>
      <c r="E60" s="1" t="s">
        <v>59</v>
      </c>
      <c r="F60" s="1" t="s">
        <v>645</v>
      </c>
      <c r="G60" s="1" t="s">
        <v>837</v>
      </c>
      <c r="H60" s="1" t="s">
        <v>838</v>
      </c>
      <c r="I60" s="21">
        <v>73343.3</v>
      </c>
      <c r="J60" s="59" t="s">
        <v>17</v>
      </c>
      <c r="K60" s="2" t="s">
        <v>17</v>
      </c>
      <c r="L60" s="2" t="s">
        <v>17</v>
      </c>
      <c r="M60" s="55" t="s">
        <v>839</v>
      </c>
      <c r="N60" s="55" t="s">
        <v>801</v>
      </c>
      <c r="O60" s="28"/>
      <c r="P60" s="28"/>
      <c r="Q60" s="28"/>
    </row>
    <row r="61" spans="1:17" s="90" customFormat="1" ht="180">
      <c r="A61" s="50" t="s">
        <v>840</v>
      </c>
      <c r="B61" s="51" t="s">
        <v>69</v>
      </c>
      <c r="C61" s="5" t="s">
        <v>70</v>
      </c>
      <c r="D61" s="5" t="s">
        <v>841</v>
      </c>
      <c r="E61" s="1" t="s">
        <v>59</v>
      </c>
      <c r="F61" s="1" t="s">
        <v>641</v>
      </c>
      <c r="G61" s="1" t="s">
        <v>842</v>
      </c>
      <c r="H61" s="1" t="s">
        <v>56</v>
      </c>
      <c r="I61" s="21">
        <v>26227.7</v>
      </c>
      <c r="J61" s="59" t="s">
        <v>17</v>
      </c>
      <c r="K61" s="2" t="s">
        <v>17</v>
      </c>
      <c r="L61" s="2" t="s">
        <v>17</v>
      </c>
      <c r="M61" s="55" t="s">
        <v>839</v>
      </c>
      <c r="N61" s="55" t="s">
        <v>801</v>
      </c>
      <c r="O61" s="28"/>
      <c r="P61" s="28"/>
      <c r="Q61" s="28"/>
    </row>
    <row r="62" spans="1:17" s="90" customFormat="1" ht="180">
      <c r="A62" s="50" t="s">
        <v>843</v>
      </c>
      <c r="B62" s="51" t="s">
        <v>69</v>
      </c>
      <c r="C62" s="5" t="s">
        <v>70</v>
      </c>
      <c r="D62" s="5" t="s">
        <v>841</v>
      </c>
      <c r="E62" s="1" t="s">
        <v>59</v>
      </c>
      <c r="F62" s="1" t="s">
        <v>645</v>
      </c>
      <c r="G62" s="1" t="s">
        <v>842</v>
      </c>
      <c r="H62" s="1" t="s">
        <v>56</v>
      </c>
      <c r="I62" s="21">
        <v>73343.3</v>
      </c>
      <c r="J62" s="59" t="s">
        <v>17</v>
      </c>
      <c r="K62" s="2" t="s">
        <v>17</v>
      </c>
      <c r="L62" s="2" t="s">
        <v>17</v>
      </c>
      <c r="M62" s="55" t="s">
        <v>839</v>
      </c>
      <c r="N62" s="55" t="s">
        <v>801</v>
      </c>
      <c r="O62" s="28"/>
      <c r="P62" s="28"/>
      <c r="Q62" s="28"/>
    </row>
    <row r="63" spans="1:14" ht="270">
      <c r="A63" s="4" t="s">
        <v>214</v>
      </c>
      <c r="B63" s="5" t="s">
        <v>72</v>
      </c>
      <c r="C63" s="5" t="s">
        <v>73</v>
      </c>
      <c r="D63" s="5" t="s">
        <v>74</v>
      </c>
      <c r="E63" s="1" t="s">
        <v>75</v>
      </c>
      <c r="F63" s="1" t="s">
        <v>76</v>
      </c>
      <c r="G63" s="1" t="s">
        <v>77</v>
      </c>
      <c r="H63" s="1" t="s">
        <v>24</v>
      </c>
      <c r="I63" s="21">
        <v>18863.9</v>
      </c>
      <c r="J63" s="2" t="s">
        <v>17</v>
      </c>
      <c r="K63" s="2" t="s">
        <v>17</v>
      </c>
      <c r="L63" s="40" t="s">
        <v>17</v>
      </c>
      <c r="M63" s="55" t="s">
        <v>816</v>
      </c>
      <c r="N63" s="55" t="s">
        <v>844</v>
      </c>
    </row>
    <row r="64" spans="1:14" ht="308.25" customHeight="1">
      <c r="A64" s="5" t="s">
        <v>215</v>
      </c>
      <c r="B64" s="5" t="s">
        <v>78</v>
      </c>
      <c r="C64" s="5" t="s">
        <v>79</v>
      </c>
      <c r="D64" s="5" t="s">
        <v>80</v>
      </c>
      <c r="E64" s="1" t="s">
        <v>66</v>
      </c>
      <c r="F64" s="1" t="s">
        <v>780</v>
      </c>
      <c r="G64" s="1" t="s">
        <v>781</v>
      </c>
      <c r="H64" s="1" t="s">
        <v>782</v>
      </c>
      <c r="I64" s="21">
        <v>23405</v>
      </c>
      <c r="J64" s="2" t="s">
        <v>17</v>
      </c>
      <c r="K64" s="2" t="s">
        <v>17</v>
      </c>
      <c r="L64" s="40" t="s">
        <v>17</v>
      </c>
      <c r="M64" s="5" t="s">
        <v>987</v>
      </c>
      <c r="N64" s="55" t="s">
        <v>845</v>
      </c>
    </row>
    <row r="65" spans="1:14" ht="307.5" customHeight="1">
      <c r="A65" s="5" t="s">
        <v>216</v>
      </c>
      <c r="B65" s="5" t="s">
        <v>78</v>
      </c>
      <c r="C65" s="5" t="s">
        <v>79</v>
      </c>
      <c r="D65" s="5" t="s">
        <v>80</v>
      </c>
      <c r="E65" s="1" t="s">
        <v>66</v>
      </c>
      <c r="F65" s="1" t="s">
        <v>783</v>
      </c>
      <c r="G65" s="1" t="s">
        <v>781</v>
      </c>
      <c r="H65" s="1" t="s">
        <v>782</v>
      </c>
      <c r="I65" s="21">
        <v>84597.9</v>
      </c>
      <c r="J65" s="2" t="s">
        <v>17</v>
      </c>
      <c r="K65" s="2" t="s">
        <v>17</v>
      </c>
      <c r="L65" s="40" t="s">
        <v>17</v>
      </c>
      <c r="M65" s="5" t="s">
        <v>987</v>
      </c>
      <c r="N65" s="55" t="s">
        <v>845</v>
      </c>
    </row>
    <row r="66" spans="1:14" ht="292.5">
      <c r="A66" s="114" t="s">
        <v>846</v>
      </c>
      <c r="B66" s="5" t="s">
        <v>847</v>
      </c>
      <c r="C66" s="115" t="s">
        <v>79</v>
      </c>
      <c r="D66" s="5" t="s">
        <v>848</v>
      </c>
      <c r="E66" s="1" t="s">
        <v>66</v>
      </c>
      <c r="F66" s="1" t="s">
        <v>476</v>
      </c>
      <c r="G66" s="1" t="s">
        <v>849</v>
      </c>
      <c r="H66" s="1" t="s">
        <v>491</v>
      </c>
      <c r="I66" s="21">
        <v>19670.9</v>
      </c>
      <c r="J66" s="2" t="s">
        <v>17</v>
      </c>
      <c r="K66" s="2" t="s">
        <v>17</v>
      </c>
      <c r="L66" s="40" t="s">
        <v>17</v>
      </c>
      <c r="M66" s="5" t="s">
        <v>850</v>
      </c>
      <c r="N66" s="55" t="s">
        <v>845</v>
      </c>
    </row>
    <row r="67" spans="1:14" ht="292.5">
      <c r="A67" s="114" t="s">
        <v>851</v>
      </c>
      <c r="B67" s="5" t="s">
        <v>847</v>
      </c>
      <c r="C67" s="115" t="s">
        <v>79</v>
      </c>
      <c r="D67" s="5" t="s">
        <v>848</v>
      </c>
      <c r="E67" s="1" t="s">
        <v>66</v>
      </c>
      <c r="F67" s="1" t="s">
        <v>852</v>
      </c>
      <c r="G67" s="1" t="s">
        <v>849</v>
      </c>
      <c r="H67" s="1" t="s">
        <v>491</v>
      </c>
      <c r="I67" s="21">
        <v>72275.9</v>
      </c>
      <c r="J67" s="2" t="s">
        <v>17</v>
      </c>
      <c r="K67" s="2" t="s">
        <v>17</v>
      </c>
      <c r="L67" s="40" t="s">
        <v>17</v>
      </c>
      <c r="M67" s="5" t="s">
        <v>850</v>
      </c>
      <c r="N67" s="55" t="s">
        <v>845</v>
      </c>
    </row>
    <row r="68" spans="1:14" ht="180">
      <c r="A68" s="5" t="s">
        <v>257</v>
      </c>
      <c r="B68" s="5" t="s">
        <v>258</v>
      </c>
      <c r="C68" s="5" t="s">
        <v>259</v>
      </c>
      <c r="D68" s="5" t="s">
        <v>260</v>
      </c>
      <c r="E68" s="1" t="s">
        <v>66</v>
      </c>
      <c r="F68" s="1" t="s">
        <v>261</v>
      </c>
      <c r="G68" s="1" t="s">
        <v>39</v>
      </c>
      <c r="H68" s="1" t="s">
        <v>40</v>
      </c>
      <c r="I68" s="21">
        <v>39163.6</v>
      </c>
      <c r="J68" s="2" t="s">
        <v>17</v>
      </c>
      <c r="K68" s="2" t="s">
        <v>17</v>
      </c>
      <c r="L68" s="40" t="s">
        <v>17</v>
      </c>
      <c r="M68" s="5" t="s">
        <v>817</v>
      </c>
      <c r="N68" s="5" t="s">
        <v>853</v>
      </c>
    </row>
    <row r="69" spans="1:14" ht="146.25">
      <c r="A69" s="5" t="s">
        <v>292</v>
      </c>
      <c r="B69" s="5" t="s">
        <v>293</v>
      </c>
      <c r="C69" s="5" t="s">
        <v>294</v>
      </c>
      <c r="D69" s="5" t="s">
        <v>295</v>
      </c>
      <c r="E69" s="1" t="s">
        <v>59</v>
      </c>
      <c r="F69" s="1" t="s">
        <v>296</v>
      </c>
      <c r="G69" s="1" t="s">
        <v>297</v>
      </c>
      <c r="H69" s="1" t="s">
        <v>54</v>
      </c>
      <c r="I69" s="21">
        <v>323648.9</v>
      </c>
      <c r="J69" s="2" t="s">
        <v>17</v>
      </c>
      <c r="K69" s="2" t="s">
        <v>17</v>
      </c>
      <c r="L69" s="40" t="s">
        <v>17</v>
      </c>
      <c r="M69" s="58" t="s">
        <v>533</v>
      </c>
      <c r="N69" s="55" t="s">
        <v>854</v>
      </c>
    </row>
    <row r="70" spans="1:14" s="28" customFormat="1" ht="202.5">
      <c r="A70" s="51" t="s">
        <v>392</v>
      </c>
      <c r="B70" s="51" t="s">
        <v>393</v>
      </c>
      <c r="C70" s="55" t="s">
        <v>394</v>
      </c>
      <c r="D70" s="56" t="s">
        <v>397</v>
      </c>
      <c r="E70" s="1" t="s">
        <v>66</v>
      </c>
      <c r="F70" s="1" t="s">
        <v>395</v>
      </c>
      <c r="G70" s="1" t="s">
        <v>396</v>
      </c>
      <c r="H70" s="1" t="s">
        <v>15</v>
      </c>
      <c r="I70" s="21">
        <v>264039.9</v>
      </c>
      <c r="J70" s="1" t="s">
        <v>17</v>
      </c>
      <c r="K70" s="53" t="s">
        <v>17</v>
      </c>
      <c r="L70" s="54" t="s">
        <v>17</v>
      </c>
      <c r="M70" s="42" t="s">
        <v>818</v>
      </c>
      <c r="N70" s="5" t="s">
        <v>802</v>
      </c>
    </row>
    <row r="71" spans="1:14" s="28" customFormat="1" ht="185.25" customHeight="1">
      <c r="A71" s="51" t="s">
        <v>399</v>
      </c>
      <c r="B71" s="51" t="s">
        <v>400</v>
      </c>
      <c r="C71" s="55" t="s">
        <v>401</v>
      </c>
      <c r="D71" s="56" t="s">
        <v>404</v>
      </c>
      <c r="E71" s="1" t="s">
        <v>59</v>
      </c>
      <c r="F71" s="1" t="s">
        <v>243</v>
      </c>
      <c r="G71" s="1" t="s">
        <v>988</v>
      </c>
      <c r="H71" s="1" t="s">
        <v>15</v>
      </c>
      <c r="I71" s="21">
        <v>164336</v>
      </c>
      <c r="J71" s="1" t="s">
        <v>17</v>
      </c>
      <c r="K71" s="53" t="s">
        <v>17</v>
      </c>
      <c r="L71" s="54" t="s">
        <v>17</v>
      </c>
      <c r="M71" s="42" t="s">
        <v>989</v>
      </c>
      <c r="N71" s="55" t="s">
        <v>803</v>
      </c>
    </row>
    <row r="72" spans="1:14" s="28" customFormat="1" ht="185.25" customHeight="1">
      <c r="A72" s="51" t="s">
        <v>402</v>
      </c>
      <c r="B72" s="51" t="s">
        <v>400</v>
      </c>
      <c r="C72" s="55" t="s">
        <v>401</v>
      </c>
      <c r="D72" s="56" t="s">
        <v>404</v>
      </c>
      <c r="E72" s="1" t="s">
        <v>59</v>
      </c>
      <c r="F72" s="1" t="s">
        <v>403</v>
      </c>
      <c r="G72" s="1" t="s">
        <v>988</v>
      </c>
      <c r="H72" s="1" t="s">
        <v>15</v>
      </c>
      <c r="I72" s="21">
        <v>262941.6</v>
      </c>
      <c r="J72" s="1" t="s">
        <v>17</v>
      </c>
      <c r="K72" s="53" t="s">
        <v>17</v>
      </c>
      <c r="L72" s="54" t="s">
        <v>17</v>
      </c>
      <c r="M72" s="42" t="s">
        <v>989</v>
      </c>
      <c r="N72" s="55" t="s">
        <v>803</v>
      </c>
    </row>
    <row r="73" spans="1:14" s="28" customFormat="1" ht="315">
      <c r="A73" s="51" t="s">
        <v>388</v>
      </c>
      <c r="B73" s="51" t="s">
        <v>389</v>
      </c>
      <c r="C73" s="55" t="s">
        <v>390</v>
      </c>
      <c r="D73" s="56" t="s">
        <v>398</v>
      </c>
      <c r="E73" s="1" t="s">
        <v>66</v>
      </c>
      <c r="F73" s="1" t="s">
        <v>391</v>
      </c>
      <c r="G73" s="1" t="s">
        <v>358</v>
      </c>
      <c r="H73" s="1" t="s">
        <v>15</v>
      </c>
      <c r="I73" s="21">
        <v>135968.6</v>
      </c>
      <c r="J73" s="1" t="s">
        <v>17</v>
      </c>
      <c r="K73" s="53" t="s">
        <v>17</v>
      </c>
      <c r="L73" s="54" t="s">
        <v>17</v>
      </c>
      <c r="M73" s="42" t="s">
        <v>531</v>
      </c>
      <c r="N73" s="55" t="s">
        <v>855</v>
      </c>
    </row>
    <row r="74" spans="1:14" ht="409.5" customHeight="1">
      <c r="A74" s="62" t="s">
        <v>474</v>
      </c>
      <c r="B74" s="116" t="s">
        <v>856</v>
      </c>
      <c r="C74" s="63" t="s">
        <v>298</v>
      </c>
      <c r="D74" s="63" t="s">
        <v>299</v>
      </c>
      <c r="E74" s="64" t="s">
        <v>475</v>
      </c>
      <c r="F74" s="64" t="s">
        <v>476</v>
      </c>
      <c r="G74" s="1" t="s">
        <v>990</v>
      </c>
      <c r="H74" s="59" t="s">
        <v>56</v>
      </c>
      <c r="I74" s="21">
        <v>291807.2</v>
      </c>
      <c r="J74" s="2" t="s">
        <v>17</v>
      </c>
      <c r="K74" s="1" t="s">
        <v>17</v>
      </c>
      <c r="L74" s="75" t="s">
        <v>17</v>
      </c>
      <c r="M74" s="5" t="s">
        <v>991</v>
      </c>
      <c r="N74" s="86" t="s">
        <v>992</v>
      </c>
    </row>
    <row r="75" spans="1:14" ht="342" customHeight="1">
      <c r="A75" s="123" t="s">
        <v>993</v>
      </c>
      <c r="B75" s="139" t="s">
        <v>994</v>
      </c>
      <c r="C75" s="140" t="s">
        <v>995</v>
      </c>
      <c r="D75" s="140" t="s">
        <v>996</v>
      </c>
      <c r="E75" s="141" t="s">
        <v>997</v>
      </c>
      <c r="F75" s="141" t="s">
        <v>998</v>
      </c>
      <c r="G75" s="1" t="s">
        <v>50</v>
      </c>
      <c r="H75" s="1" t="s">
        <v>15</v>
      </c>
      <c r="I75" s="2">
        <v>400593.2</v>
      </c>
      <c r="J75" s="118" t="s">
        <v>17</v>
      </c>
      <c r="K75" s="118" t="s">
        <v>17</v>
      </c>
      <c r="L75" s="125" t="s">
        <v>17</v>
      </c>
      <c r="M75" s="5" t="s">
        <v>999</v>
      </c>
      <c r="N75" s="55" t="s">
        <v>1000</v>
      </c>
    </row>
    <row r="76" spans="1:14" ht="101.25">
      <c r="A76" s="4">
        <v>1039398</v>
      </c>
      <c r="B76" s="5" t="s">
        <v>81</v>
      </c>
      <c r="C76" s="5" t="s">
        <v>82</v>
      </c>
      <c r="D76" s="5" t="s">
        <v>83</v>
      </c>
      <c r="E76" s="1" t="s">
        <v>53</v>
      </c>
      <c r="F76" s="1" t="s">
        <v>84</v>
      </c>
      <c r="G76" s="1" t="s">
        <v>85</v>
      </c>
      <c r="H76" s="1" t="s">
        <v>86</v>
      </c>
      <c r="I76" s="21">
        <v>141069.6</v>
      </c>
      <c r="J76" s="53" t="s">
        <v>857</v>
      </c>
      <c r="K76" s="2">
        <f aca="true" t="shared" si="0" ref="K76:K82">(I76/30)/250*250</f>
        <v>4702.320000000001</v>
      </c>
      <c r="L76" s="40" t="s">
        <v>17</v>
      </c>
      <c r="M76" s="5" t="s">
        <v>430</v>
      </c>
      <c r="N76" s="86" t="s">
        <v>793</v>
      </c>
    </row>
    <row r="77" spans="1:14" s="90" customFormat="1" ht="101.25">
      <c r="A77" s="50" t="s">
        <v>646</v>
      </c>
      <c r="B77" s="51" t="s">
        <v>81</v>
      </c>
      <c r="C77" s="92" t="s">
        <v>82</v>
      </c>
      <c r="D77" s="92" t="s">
        <v>647</v>
      </c>
      <c r="E77" s="93" t="s">
        <v>53</v>
      </c>
      <c r="F77" s="93" t="s">
        <v>652</v>
      </c>
      <c r="G77" s="93" t="s">
        <v>648</v>
      </c>
      <c r="H77" s="93" t="s">
        <v>649</v>
      </c>
      <c r="I77" s="2">
        <v>75227.6</v>
      </c>
      <c r="J77" s="53" t="s">
        <v>857</v>
      </c>
      <c r="K77" s="2">
        <f t="shared" si="0"/>
        <v>2507.586666666667</v>
      </c>
      <c r="L77" s="59" t="s">
        <v>17</v>
      </c>
      <c r="M77" s="5" t="s">
        <v>430</v>
      </c>
      <c r="N77" s="86" t="s">
        <v>793</v>
      </c>
    </row>
    <row r="78" spans="1:14" s="90" customFormat="1" ht="101.25">
      <c r="A78" s="88" t="s">
        <v>650</v>
      </c>
      <c r="B78" s="5" t="s">
        <v>81</v>
      </c>
      <c r="C78" s="5" t="s">
        <v>82</v>
      </c>
      <c r="D78" s="91" t="s">
        <v>651</v>
      </c>
      <c r="E78" s="1" t="s">
        <v>53</v>
      </c>
      <c r="F78" s="1" t="s">
        <v>652</v>
      </c>
      <c r="G78" s="1" t="s">
        <v>653</v>
      </c>
      <c r="H78" s="1" t="s">
        <v>491</v>
      </c>
      <c r="I78" s="2">
        <v>75227.6</v>
      </c>
      <c r="J78" s="53" t="s">
        <v>857</v>
      </c>
      <c r="K78" s="2">
        <f t="shared" si="0"/>
        <v>2507.586666666667</v>
      </c>
      <c r="L78" s="59" t="s">
        <v>17</v>
      </c>
      <c r="M78" s="5" t="s">
        <v>430</v>
      </c>
      <c r="N78" s="86" t="s">
        <v>794</v>
      </c>
    </row>
    <row r="79" spans="1:17" s="90" customFormat="1" ht="101.25">
      <c r="A79" s="88" t="s">
        <v>654</v>
      </c>
      <c r="B79" s="5" t="s">
        <v>81</v>
      </c>
      <c r="C79" s="5" t="s">
        <v>82</v>
      </c>
      <c r="D79" s="91" t="s">
        <v>655</v>
      </c>
      <c r="E79" s="1" t="s">
        <v>53</v>
      </c>
      <c r="F79" s="1" t="s">
        <v>656</v>
      </c>
      <c r="G79" s="1" t="s">
        <v>657</v>
      </c>
      <c r="H79" s="1" t="s">
        <v>658</v>
      </c>
      <c r="I79" s="2">
        <v>75227.6</v>
      </c>
      <c r="J79" s="53" t="s">
        <v>857</v>
      </c>
      <c r="K79" s="2">
        <f t="shared" si="0"/>
        <v>2507.586666666667</v>
      </c>
      <c r="L79" s="59" t="s">
        <v>17</v>
      </c>
      <c r="M79" s="5" t="s">
        <v>430</v>
      </c>
      <c r="N79" s="86" t="s">
        <v>793</v>
      </c>
      <c r="O79" s="28"/>
      <c r="P79" s="28"/>
      <c r="Q79" s="28"/>
    </row>
    <row r="80" spans="1:17" s="28" customFormat="1" ht="101.25">
      <c r="A80" s="88" t="s">
        <v>659</v>
      </c>
      <c r="B80" s="5" t="s">
        <v>81</v>
      </c>
      <c r="C80" s="5" t="s">
        <v>82</v>
      </c>
      <c r="D80" s="91" t="s">
        <v>655</v>
      </c>
      <c r="E80" s="1" t="s">
        <v>53</v>
      </c>
      <c r="F80" s="1" t="s">
        <v>660</v>
      </c>
      <c r="G80" s="1" t="s">
        <v>657</v>
      </c>
      <c r="H80" s="1" t="s">
        <v>658</v>
      </c>
      <c r="I80" s="2">
        <v>75227.6</v>
      </c>
      <c r="J80" s="53" t="s">
        <v>857</v>
      </c>
      <c r="K80" s="2">
        <f t="shared" si="0"/>
        <v>2507.586666666667</v>
      </c>
      <c r="L80" s="59" t="s">
        <v>17</v>
      </c>
      <c r="M80" s="5" t="s">
        <v>430</v>
      </c>
      <c r="N80" s="86" t="s">
        <v>793</v>
      </c>
      <c r="O80" s="90"/>
      <c r="P80" s="90"/>
      <c r="Q80" s="90"/>
    </row>
    <row r="81" spans="1:17" s="28" customFormat="1" ht="101.25">
      <c r="A81" s="50" t="s">
        <v>858</v>
      </c>
      <c r="B81" s="50" t="s">
        <v>81</v>
      </c>
      <c r="C81" s="89" t="s">
        <v>82</v>
      </c>
      <c r="D81" s="89" t="s">
        <v>859</v>
      </c>
      <c r="E81" s="94" t="s">
        <v>53</v>
      </c>
      <c r="F81" s="94" t="s">
        <v>652</v>
      </c>
      <c r="G81" s="1" t="s">
        <v>860</v>
      </c>
      <c r="H81" s="1" t="s">
        <v>491</v>
      </c>
      <c r="I81" s="2">
        <v>75227.6</v>
      </c>
      <c r="J81" s="53" t="s">
        <v>857</v>
      </c>
      <c r="K81" s="2">
        <f t="shared" si="0"/>
        <v>2507.586666666667</v>
      </c>
      <c r="L81" s="59" t="s">
        <v>17</v>
      </c>
      <c r="M81" s="5" t="s">
        <v>430</v>
      </c>
      <c r="N81" s="86" t="s">
        <v>793</v>
      </c>
      <c r="O81" s="90"/>
      <c r="P81" s="90"/>
      <c r="Q81" s="90"/>
    </row>
    <row r="82" spans="1:17" s="28" customFormat="1" ht="101.25">
      <c r="A82" s="50" t="s">
        <v>861</v>
      </c>
      <c r="B82" s="50" t="s">
        <v>81</v>
      </c>
      <c r="C82" s="89" t="s">
        <v>82</v>
      </c>
      <c r="D82" s="89" t="s">
        <v>862</v>
      </c>
      <c r="E82" s="94" t="s">
        <v>53</v>
      </c>
      <c r="F82" s="94" t="s">
        <v>652</v>
      </c>
      <c r="G82" s="1" t="s">
        <v>863</v>
      </c>
      <c r="H82" s="1" t="s">
        <v>864</v>
      </c>
      <c r="I82" s="2">
        <v>75227.6</v>
      </c>
      <c r="J82" s="53" t="s">
        <v>857</v>
      </c>
      <c r="K82" s="2">
        <f t="shared" si="0"/>
        <v>2507.586666666667</v>
      </c>
      <c r="L82" s="59" t="s">
        <v>17</v>
      </c>
      <c r="M82" s="5" t="s">
        <v>430</v>
      </c>
      <c r="N82" s="86" t="s">
        <v>793</v>
      </c>
      <c r="O82" s="90"/>
      <c r="P82" s="90"/>
      <c r="Q82" s="90"/>
    </row>
    <row r="83" spans="1:14" ht="101.25">
      <c r="A83" s="4">
        <v>1039402</v>
      </c>
      <c r="B83" s="5" t="s">
        <v>87</v>
      </c>
      <c r="C83" s="5" t="s">
        <v>88</v>
      </c>
      <c r="D83" s="5" t="s">
        <v>89</v>
      </c>
      <c r="E83" s="1" t="s">
        <v>53</v>
      </c>
      <c r="F83" s="1" t="s">
        <v>90</v>
      </c>
      <c r="G83" s="1" t="s">
        <v>50</v>
      </c>
      <c r="H83" s="1" t="s">
        <v>15</v>
      </c>
      <c r="I83" s="21">
        <v>29241.7</v>
      </c>
      <c r="J83" s="2" t="s">
        <v>865</v>
      </c>
      <c r="K83" s="2">
        <f>(I83/30)/25*150</f>
        <v>5848.34</v>
      </c>
      <c r="L83" s="40" t="s">
        <v>17</v>
      </c>
      <c r="M83" s="5" t="s">
        <v>431</v>
      </c>
      <c r="N83" s="5" t="s">
        <v>793</v>
      </c>
    </row>
    <row r="84" spans="1:14" ht="101.25">
      <c r="A84" s="4">
        <v>1039403</v>
      </c>
      <c r="B84" s="5" t="s">
        <v>87</v>
      </c>
      <c r="C84" s="5" t="s">
        <v>88</v>
      </c>
      <c r="D84" s="5" t="s">
        <v>89</v>
      </c>
      <c r="E84" s="1" t="s">
        <v>53</v>
      </c>
      <c r="F84" s="1" t="s">
        <v>91</v>
      </c>
      <c r="G84" s="1" t="s">
        <v>50</v>
      </c>
      <c r="H84" s="1" t="s">
        <v>15</v>
      </c>
      <c r="I84" s="21">
        <v>71149.8</v>
      </c>
      <c r="J84" s="2" t="s">
        <v>865</v>
      </c>
      <c r="K84" s="2">
        <f>(I84/30)/100*150</f>
        <v>3557.4900000000007</v>
      </c>
      <c r="L84" s="40" t="s">
        <v>17</v>
      </c>
      <c r="M84" s="5" t="s">
        <v>431</v>
      </c>
      <c r="N84" s="5" t="s">
        <v>793</v>
      </c>
    </row>
    <row r="85" spans="1:14" ht="101.25">
      <c r="A85" s="4">
        <v>1039404</v>
      </c>
      <c r="B85" s="5" t="s">
        <v>87</v>
      </c>
      <c r="C85" s="5" t="s">
        <v>88</v>
      </c>
      <c r="D85" s="5" t="s">
        <v>89</v>
      </c>
      <c r="E85" s="1" t="s">
        <v>53</v>
      </c>
      <c r="F85" s="1" t="s">
        <v>92</v>
      </c>
      <c r="G85" s="1" t="s">
        <v>50</v>
      </c>
      <c r="H85" s="1" t="s">
        <v>15</v>
      </c>
      <c r="I85" s="2">
        <v>92170.3</v>
      </c>
      <c r="J85" s="2" t="s">
        <v>865</v>
      </c>
      <c r="K85" s="2">
        <f>(I85/30)/150*150</f>
        <v>3072.3433333333332</v>
      </c>
      <c r="L85" s="40" t="s">
        <v>17</v>
      </c>
      <c r="M85" s="5" t="s">
        <v>431</v>
      </c>
      <c r="N85" s="5" t="s">
        <v>793</v>
      </c>
    </row>
    <row r="86" spans="1:14" ht="101.25">
      <c r="A86" s="66" t="s">
        <v>462</v>
      </c>
      <c r="B86" s="61" t="s">
        <v>87</v>
      </c>
      <c r="C86" s="61" t="s">
        <v>88</v>
      </c>
      <c r="D86" s="61" t="s">
        <v>463</v>
      </c>
      <c r="E86" s="67" t="s">
        <v>53</v>
      </c>
      <c r="F86" s="67" t="s">
        <v>90</v>
      </c>
      <c r="G86" s="67" t="s">
        <v>464</v>
      </c>
      <c r="H86" s="67" t="s">
        <v>465</v>
      </c>
      <c r="I86" s="21">
        <v>26317.6</v>
      </c>
      <c r="J86" s="2" t="s">
        <v>865</v>
      </c>
      <c r="K86" s="2">
        <f>(I86/30)/25*150</f>
        <v>5263.52</v>
      </c>
      <c r="L86" s="60" t="s">
        <v>17</v>
      </c>
      <c r="M86" s="61" t="s">
        <v>431</v>
      </c>
      <c r="N86" s="5" t="s">
        <v>793</v>
      </c>
    </row>
    <row r="87" spans="1:14" ht="101.25">
      <c r="A87" s="66" t="s">
        <v>466</v>
      </c>
      <c r="B87" s="61" t="s">
        <v>87</v>
      </c>
      <c r="C87" s="61" t="s">
        <v>88</v>
      </c>
      <c r="D87" s="61" t="s">
        <v>463</v>
      </c>
      <c r="E87" s="67" t="s">
        <v>53</v>
      </c>
      <c r="F87" s="67" t="s">
        <v>91</v>
      </c>
      <c r="G87" s="67" t="s">
        <v>464</v>
      </c>
      <c r="H87" s="67" t="s">
        <v>465</v>
      </c>
      <c r="I87" s="21">
        <v>64034.8</v>
      </c>
      <c r="J87" s="2" t="s">
        <v>865</v>
      </c>
      <c r="K87" s="2">
        <f>(I87/30)/100*150</f>
        <v>3201.7400000000002</v>
      </c>
      <c r="L87" s="60" t="s">
        <v>17</v>
      </c>
      <c r="M87" s="61" t="s">
        <v>431</v>
      </c>
      <c r="N87" s="5" t="s">
        <v>793</v>
      </c>
    </row>
    <row r="88" spans="1:14" ht="101.25">
      <c r="A88" s="66" t="s">
        <v>467</v>
      </c>
      <c r="B88" s="61" t="s">
        <v>87</v>
      </c>
      <c r="C88" s="61" t="s">
        <v>88</v>
      </c>
      <c r="D88" s="61" t="s">
        <v>463</v>
      </c>
      <c r="E88" s="67" t="s">
        <v>53</v>
      </c>
      <c r="F88" s="67" t="s">
        <v>92</v>
      </c>
      <c r="G88" s="67" t="s">
        <v>464</v>
      </c>
      <c r="H88" s="67" t="s">
        <v>465</v>
      </c>
      <c r="I88" s="2">
        <v>92170.3</v>
      </c>
      <c r="J88" s="2" t="s">
        <v>865</v>
      </c>
      <c r="K88" s="2">
        <f>(I88/30)/150*150</f>
        <v>3072.3433333333332</v>
      </c>
      <c r="L88" s="60" t="s">
        <v>17</v>
      </c>
      <c r="M88" s="61" t="s">
        <v>431</v>
      </c>
      <c r="N88" s="5" t="s">
        <v>793</v>
      </c>
    </row>
    <row r="89" spans="1:14" ht="101.25">
      <c r="A89" s="66" t="s">
        <v>509</v>
      </c>
      <c r="B89" s="61" t="s">
        <v>87</v>
      </c>
      <c r="C89" s="61" t="s">
        <v>88</v>
      </c>
      <c r="D89" s="61" t="s">
        <v>513</v>
      </c>
      <c r="E89" s="67" t="s">
        <v>53</v>
      </c>
      <c r="F89" s="67" t="s">
        <v>90</v>
      </c>
      <c r="G89" s="67" t="s">
        <v>510</v>
      </c>
      <c r="H89" s="67" t="s">
        <v>244</v>
      </c>
      <c r="I89" s="21">
        <v>26317.6</v>
      </c>
      <c r="J89" s="2" t="s">
        <v>865</v>
      </c>
      <c r="K89" s="2">
        <f>(I89/30)/25*150</f>
        <v>5263.52</v>
      </c>
      <c r="L89" s="60" t="s">
        <v>17</v>
      </c>
      <c r="M89" s="61" t="s">
        <v>431</v>
      </c>
      <c r="N89" s="5" t="s">
        <v>793</v>
      </c>
    </row>
    <row r="90" spans="1:14" ht="101.25">
      <c r="A90" s="66" t="s">
        <v>511</v>
      </c>
      <c r="B90" s="61" t="s">
        <v>87</v>
      </c>
      <c r="C90" s="61" t="s">
        <v>88</v>
      </c>
      <c r="D90" s="61" t="s">
        <v>513</v>
      </c>
      <c r="E90" s="67" t="s">
        <v>53</v>
      </c>
      <c r="F90" s="67" t="s">
        <v>91</v>
      </c>
      <c r="G90" s="67" t="s">
        <v>510</v>
      </c>
      <c r="H90" s="67" t="s">
        <v>244</v>
      </c>
      <c r="I90" s="21">
        <v>64034.8</v>
      </c>
      <c r="J90" s="2" t="s">
        <v>865</v>
      </c>
      <c r="K90" s="2">
        <f>(I90/30)/100*150</f>
        <v>3201.7400000000002</v>
      </c>
      <c r="L90" s="60" t="s">
        <v>17</v>
      </c>
      <c r="M90" s="61" t="s">
        <v>431</v>
      </c>
      <c r="N90" s="5" t="s">
        <v>793</v>
      </c>
    </row>
    <row r="91" spans="1:14" ht="101.25">
      <c r="A91" s="66" t="s">
        <v>512</v>
      </c>
      <c r="B91" s="61" t="s">
        <v>87</v>
      </c>
      <c r="C91" s="61" t="s">
        <v>88</v>
      </c>
      <c r="D91" s="61" t="s">
        <v>513</v>
      </c>
      <c r="E91" s="67" t="s">
        <v>53</v>
      </c>
      <c r="F91" s="67" t="s">
        <v>92</v>
      </c>
      <c r="G91" s="67" t="s">
        <v>510</v>
      </c>
      <c r="H91" s="67" t="s">
        <v>244</v>
      </c>
      <c r="I91" s="2">
        <v>92170.3</v>
      </c>
      <c r="J91" s="2" t="s">
        <v>865</v>
      </c>
      <c r="K91" s="2">
        <f>(I91/30)/150*150</f>
        <v>3072.3433333333332</v>
      </c>
      <c r="L91" s="60" t="s">
        <v>17</v>
      </c>
      <c r="M91" s="61" t="s">
        <v>431</v>
      </c>
      <c r="N91" s="5" t="s">
        <v>793</v>
      </c>
    </row>
    <row r="92" spans="1:14" s="90" customFormat="1" ht="101.25">
      <c r="A92" s="88" t="s">
        <v>661</v>
      </c>
      <c r="B92" s="89" t="s">
        <v>87</v>
      </c>
      <c r="C92" s="5" t="s">
        <v>88</v>
      </c>
      <c r="D92" s="91" t="s">
        <v>662</v>
      </c>
      <c r="E92" s="1" t="s">
        <v>53</v>
      </c>
      <c r="F92" s="1" t="s">
        <v>90</v>
      </c>
      <c r="G92" s="1" t="s">
        <v>663</v>
      </c>
      <c r="H92" s="1" t="s">
        <v>465</v>
      </c>
      <c r="I92" s="21">
        <v>26317.6</v>
      </c>
      <c r="J92" s="2" t="s">
        <v>865</v>
      </c>
      <c r="K92" s="2">
        <f>(I92/30)/25*150</f>
        <v>5263.52</v>
      </c>
      <c r="L92" s="59" t="s">
        <v>17</v>
      </c>
      <c r="M92" s="5" t="s">
        <v>431</v>
      </c>
      <c r="N92" s="5" t="s">
        <v>793</v>
      </c>
    </row>
    <row r="93" spans="1:14" s="90" customFormat="1" ht="101.25">
      <c r="A93" s="88" t="s">
        <v>664</v>
      </c>
      <c r="B93" s="89" t="s">
        <v>87</v>
      </c>
      <c r="C93" s="5" t="s">
        <v>88</v>
      </c>
      <c r="D93" s="91" t="s">
        <v>662</v>
      </c>
      <c r="E93" s="1" t="s">
        <v>53</v>
      </c>
      <c r="F93" s="1" t="s">
        <v>91</v>
      </c>
      <c r="G93" s="1" t="s">
        <v>663</v>
      </c>
      <c r="H93" s="1" t="s">
        <v>465</v>
      </c>
      <c r="I93" s="21">
        <v>64034.8</v>
      </c>
      <c r="J93" s="2" t="s">
        <v>865</v>
      </c>
      <c r="K93" s="2">
        <f>(I93/30)/100*150</f>
        <v>3201.7400000000002</v>
      </c>
      <c r="L93" s="59" t="s">
        <v>17</v>
      </c>
      <c r="M93" s="5" t="s">
        <v>431</v>
      </c>
      <c r="N93" s="5" t="s">
        <v>793</v>
      </c>
    </row>
    <row r="94" spans="1:14" s="90" customFormat="1" ht="101.25">
      <c r="A94" s="88" t="s">
        <v>665</v>
      </c>
      <c r="B94" s="89" t="s">
        <v>87</v>
      </c>
      <c r="C94" s="5" t="s">
        <v>88</v>
      </c>
      <c r="D94" s="91" t="s">
        <v>662</v>
      </c>
      <c r="E94" s="1" t="s">
        <v>53</v>
      </c>
      <c r="F94" s="1" t="s">
        <v>92</v>
      </c>
      <c r="G94" s="1" t="s">
        <v>663</v>
      </c>
      <c r="H94" s="1" t="s">
        <v>465</v>
      </c>
      <c r="I94" s="2">
        <v>92170.3</v>
      </c>
      <c r="J94" s="2" t="s">
        <v>865</v>
      </c>
      <c r="K94" s="2">
        <f>(I94/30)/150*150</f>
        <v>3072.3433333333332</v>
      </c>
      <c r="L94" s="59" t="s">
        <v>17</v>
      </c>
      <c r="M94" s="5" t="s">
        <v>431</v>
      </c>
      <c r="N94" s="5" t="s">
        <v>793</v>
      </c>
    </row>
    <row r="95" spans="1:17" s="90" customFormat="1" ht="101.25">
      <c r="A95" s="88" t="s">
        <v>666</v>
      </c>
      <c r="B95" s="89" t="s">
        <v>87</v>
      </c>
      <c r="C95" s="5" t="s">
        <v>88</v>
      </c>
      <c r="D95" s="5" t="s">
        <v>667</v>
      </c>
      <c r="E95" s="94" t="s">
        <v>53</v>
      </c>
      <c r="F95" s="1" t="s">
        <v>668</v>
      </c>
      <c r="G95" s="1" t="s">
        <v>669</v>
      </c>
      <c r="H95" s="1" t="s">
        <v>670</v>
      </c>
      <c r="I95" s="21">
        <v>64034.8</v>
      </c>
      <c r="J95" s="2" t="s">
        <v>865</v>
      </c>
      <c r="K95" s="2">
        <f>(I95/30)/100*150</f>
        <v>3201.7400000000002</v>
      </c>
      <c r="L95" s="53" t="s">
        <v>17</v>
      </c>
      <c r="M95" s="5" t="s">
        <v>431</v>
      </c>
      <c r="N95" s="5" t="s">
        <v>793</v>
      </c>
      <c r="O95" s="28"/>
      <c r="P95" s="28"/>
      <c r="Q95" s="28"/>
    </row>
    <row r="96" spans="1:14" s="28" customFormat="1" ht="101.25">
      <c r="A96" s="88" t="s">
        <v>671</v>
      </c>
      <c r="B96" s="89" t="s">
        <v>87</v>
      </c>
      <c r="C96" s="5" t="s">
        <v>88</v>
      </c>
      <c r="D96" s="5" t="s">
        <v>667</v>
      </c>
      <c r="E96" s="94" t="s">
        <v>53</v>
      </c>
      <c r="F96" s="1" t="s">
        <v>672</v>
      </c>
      <c r="G96" s="1" t="s">
        <v>669</v>
      </c>
      <c r="H96" s="1" t="s">
        <v>670</v>
      </c>
      <c r="I96" s="2">
        <v>92170.3</v>
      </c>
      <c r="J96" s="2" t="s">
        <v>865</v>
      </c>
      <c r="K96" s="2">
        <f>(I96/30)/150*150</f>
        <v>3072.3433333333332</v>
      </c>
      <c r="L96" s="53" t="s">
        <v>17</v>
      </c>
      <c r="M96" s="5" t="s">
        <v>431</v>
      </c>
      <c r="N96" s="5" t="s">
        <v>793</v>
      </c>
    </row>
    <row r="97" spans="1:14" s="28" customFormat="1" ht="101.25">
      <c r="A97" s="50" t="s">
        <v>866</v>
      </c>
      <c r="B97" s="51" t="s">
        <v>87</v>
      </c>
      <c r="C97" s="5" t="s">
        <v>88</v>
      </c>
      <c r="D97" s="5" t="s">
        <v>867</v>
      </c>
      <c r="E97" s="1" t="s">
        <v>53</v>
      </c>
      <c r="F97" s="1" t="s">
        <v>91</v>
      </c>
      <c r="G97" s="1" t="s">
        <v>464</v>
      </c>
      <c r="H97" s="1" t="s">
        <v>465</v>
      </c>
      <c r="I97" s="2">
        <v>64034.8</v>
      </c>
      <c r="J97" s="2" t="s">
        <v>865</v>
      </c>
      <c r="K97" s="2">
        <f>(I97/30)/100*150</f>
        <v>3201.7400000000002</v>
      </c>
      <c r="L97" s="53" t="s">
        <v>17</v>
      </c>
      <c r="M97" s="5" t="s">
        <v>431</v>
      </c>
      <c r="N97" s="5" t="s">
        <v>793</v>
      </c>
    </row>
    <row r="98" spans="1:14" s="28" customFormat="1" ht="101.25">
      <c r="A98" s="50" t="s">
        <v>868</v>
      </c>
      <c r="B98" s="51" t="s">
        <v>87</v>
      </c>
      <c r="C98" s="5" t="s">
        <v>88</v>
      </c>
      <c r="D98" s="5" t="s">
        <v>867</v>
      </c>
      <c r="E98" s="1" t="s">
        <v>53</v>
      </c>
      <c r="F98" s="1" t="s">
        <v>92</v>
      </c>
      <c r="G98" s="1" t="s">
        <v>464</v>
      </c>
      <c r="H98" s="1" t="s">
        <v>465</v>
      </c>
      <c r="I98" s="2">
        <v>92170.3</v>
      </c>
      <c r="J98" s="2" t="s">
        <v>865</v>
      </c>
      <c r="K98" s="2">
        <f>(I98/30)/150*150</f>
        <v>3072.3433333333332</v>
      </c>
      <c r="L98" s="53" t="s">
        <v>17</v>
      </c>
      <c r="M98" s="5" t="s">
        <v>431</v>
      </c>
      <c r="N98" s="5" t="s">
        <v>793</v>
      </c>
    </row>
    <row r="99" spans="1:14" ht="112.5">
      <c r="A99" s="4" t="s">
        <v>217</v>
      </c>
      <c r="B99" s="5" t="s">
        <v>93</v>
      </c>
      <c r="C99" s="5" t="s">
        <v>94</v>
      </c>
      <c r="D99" s="5" t="s">
        <v>95</v>
      </c>
      <c r="E99" s="1" t="s">
        <v>55</v>
      </c>
      <c r="F99" s="1" t="s">
        <v>784</v>
      </c>
      <c r="G99" s="1" t="s">
        <v>96</v>
      </c>
      <c r="H99" s="1" t="s">
        <v>54</v>
      </c>
      <c r="I99" s="21">
        <v>79146.696996</v>
      </c>
      <c r="J99" s="2" t="s">
        <v>869</v>
      </c>
      <c r="K99" s="2">
        <f>(I99/28)/12.5*33</f>
        <v>7462.402859622857</v>
      </c>
      <c r="L99" s="40" t="s">
        <v>17</v>
      </c>
      <c r="M99" s="32" t="s">
        <v>432</v>
      </c>
      <c r="N99" s="5" t="s">
        <v>870</v>
      </c>
    </row>
    <row r="100" spans="1:14" ht="112.5">
      <c r="A100" s="4" t="s">
        <v>218</v>
      </c>
      <c r="B100" s="5" t="s">
        <v>93</v>
      </c>
      <c r="C100" s="5" t="s">
        <v>94</v>
      </c>
      <c r="D100" s="5" t="s">
        <v>95</v>
      </c>
      <c r="E100" s="1" t="s">
        <v>55</v>
      </c>
      <c r="F100" s="1" t="s">
        <v>785</v>
      </c>
      <c r="G100" s="1" t="s">
        <v>96</v>
      </c>
      <c r="H100" s="1" t="s">
        <v>54</v>
      </c>
      <c r="I100" s="117">
        <v>157570.3</v>
      </c>
      <c r="J100" s="2" t="s">
        <v>869</v>
      </c>
      <c r="K100" s="2">
        <f>(I100/28)/25*33</f>
        <v>7428.3141428571425</v>
      </c>
      <c r="L100" s="40" t="s">
        <v>17</v>
      </c>
      <c r="M100" s="32" t="s">
        <v>432</v>
      </c>
      <c r="N100" s="5" t="s">
        <v>870</v>
      </c>
    </row>
    <row r="101" spans="1:14" ht="112.5">
      <c r="A101" s="4" t="s">
        <v>219</v>
      </c>
      <c r="B101" s="5" t="s">
        <v>93</v>
      </c>
      <c r="C101" s="5" t="s">
        <v>94</v>
      </c>
      <c r="D101" s="5" t="s">
        <v>95</v>
      </c>
      <c r="E101" s="1" t="s">
        <v>55</v>
      </c>
      <c r="F101" s="1" t="s">
        <v>786</v>
      </c>
      <c r="G101" s="1" t="s">
        <v>96</v>
      </c>
      <c r="H101" s="1" t="s">
        <v>54</v>
      </c>
      <c r="I101" s="117">
        <v>313864.7</v>
      </c>
      <c r="J101" s="2" t="s">
        <v>869</v>
      </c>
      <c r="K101" s="2">
        <f>(I101/28)/50*33</f>
        <v>7398.239357142858</v>
      </c>
      <c r="L101" s="40" t="s">
        <v>17</v>
      </c>
      <c r="M101" s="32" t="s">
        <v>432</v>
      </c>
      <c r="N101" s="5" t="s">
        <v>870</v>
      </c>
    </row>
    <row r="102" spans="1:14" ht="112.5">
      <c r="A102" s="5">
        <v>1039740</v>
      </c>
      <c r="B102" s="5" t="s">
        <v>93</v>
      </c>
      <c r="C102" s="5" t="s">
        <v>94</v>
      </c>
      <c r="D102" s="5" t="s">
        <v>871</v>
      </c>
      <c r="E102" s="1" t="s">
        <v>55</v>
      </c>
      <c r="F102" s="1" t="s">
        <v>872</v>
      </c>
      <c r="G102" s="1" t="s">
        <v>873</v>
      </c>
      <c r="H102" s="1" t="s">
        <v>670</v>
      </c>
      <c r="I102" s="117">
        <v>67197.8</v>
      </c>
      <c r="J102" s="2" t="s">
        <v>869</v>
      </c>
      <c r="K102" s="2">
        <f>(I102/28)/12.5*33</f>
        <v>6335.792571428572</v>
      </c>
      <c r="L102" s="40" t="s">
        <v>17</v>
      </c>
      <c r="M102" s="32" t="s">
        <v>432</v>
      </c>
      <c r="N102" s="5" t="s">
        <v>870</v>
      </c>
    </row>
    <row r="103" spans="1:14" ht="112.5">
      <c r="A103" s="5">
        <v>1039741</v>
      </c>
      <c r="B103" s="5" t="s">
        <v>93</v>
      </c>
      <c r="C103" s="5" t="s">
        <v>94</v>
      </c>
      <c r="D103" s="5" t="s">
        <v>874</v>
      </c>
      <c r="E103" s="1" t="s">
        <v>55</v>
      </c>
      <c r="F103" s="1" t="s">
        <v>97</v>
      </c>
      <c r="G103" s="1" t="s">
        <v>875</v>
      </c>
      <c r="H103" s="1" t="s">
        <v>670</v>
      </c>
      <c r="I103" s="117">
        <v>134044.9</v>
      </c>
      <c r="J103" s="2" t="s">
        <v>869</v>
      </c>
      <c r="K103" s="2">
        <f>(I103/28)/25*33</f>
        <v>6319.259571428571</v>
      </c>
      <c r="L103" s="40" t="s">
        <v>17</v>
      </c>
      <c r="M103" s="32" t="s">
        <v>432</v>
      </c>
      <c r="N103" s="5" t="s">
        <v>870</v>
      </c>
    </row>
    <row r="104" spans="1:14" ht="112.5">
      <c r="A104" s="5">
        <v>1039742</v>
      </c>
      <c r="B104" s="5" t="s">
        <v>93</v>
      </c>
      <c r="C104" s="5" t="s">
        <v>94</v>
      </c>
      <c r="D104" s="5" t="s">
        <v>871</v>
      </c>
      <c r="E104" s="1" t="s">
        <v>55</v>
      </c>
      <c r="F104" s="1" t="s">
        <v>876</v>
      </c>
      <c r="G104" s="1" t="s">
        <v>877</v>
      </c>
      <c r="H104" s="1" t="s">
        <v>670</v>
      </c>
      <c r="I104" s="117">
        <v>267421.2</v>
      </c>
      <c r="J104" s="2" t="s">
        <v>869</v>
      </c>
      <c r="K104" s="2">
        <f>(I104/28)/50*33</f>
        <v>6303.499714285714</v>
      </c>
      <c r="L104" s="40" t="s">
        <v>17</v>
      </c>
      <c r="M104" s="32" t="s">
        <v>432</v>
      </c>
      <c r="N104" s="5" t="s">
        <v>870</v>
      </c>
    </row>
    <row r="105" spans="1:14" ht="112.5">
      <c r="A105" s="50" t="s">
        <v>878</v>
      </c>
      <c r="B105" s="50" t="s">
        <v>879</v>
      </c>
      <c r="C105" s="89" t="s">
        <v>94</v>
      </c>
      <c r="D105" s="89" t="s">
        <v>880</v>
      </c>
      <c r="E105" s="94" t="s">
        <v>55</v>
      </c>
      <c r="F105" s="94" t="s">
        <v>881</v>
      </c>
      <c r="G105" s="1" t="s">
        <v>882</v>
      </c>
      <c r="H105" s="1" t="s">
        <v>883</v>
      </c>
      <c r="I105" s="2">
        <v>200565.9</v>
      </c>
      <c r="J105" s="53" t="s">
        <v>869</v>
      </c>
      <c r="K105" s="2">
        <f>(I105/28)/37.5*33</f>
        <v>6303.499714285714</v>
      </c>
      <c r="L105" s="40" t="s">
        <v>17</v>
      </c>
      <c r="M105" s="32" t="s">
        <v>432</v>
      </c>
      <c r="N105" s="5" t="s">
        <v>870</v>
      </c>
    </row>
    <row r="106" spans="1:14" ht="112.5">
      <c r="A106" s="50" t="s">
        <v>884</v>
      </c>
      <c r="B106" s="50" t="s">
        <v>879</v>
      </c>
      <c r="C106" s="89" t="s">
        <v>94</v>
      </c>
      <c r="D106" s="89" t="s">
        <v>880</v>
      </c>
      <c r="E106" s="94" t="s">
        <v>55</v>
      </c>
      <c r="F106" s="94" t="s">
        <v>876</v>
      </c>
      <c r="G106" s="1" t="s">
        <v>882</v>
      </c>
      <c r="H106" s="1" t="s">
        <v>883</v>
      </c>
      <c r="I106" s="2">
        <v>267421.2</v>
      </c>
      <c r="J106" s="53" t="s">
        <v>869</v>
      </c>
      <c r="K106" s="2">
        <f>(I106/28)/50*33</f>
        <v>6303.499714285714</v>
      </c>
      <c r="L106" s="40" t="s">
        <v>17</v>
      </c>
      <c r="M106" s="32" t="s">
        <v>432</v>
      </c>
      <c r="N106" s="5" t="s">
        <v>870</v>
      </c>
    </row>
    <row r="107" spans="1:14" ht="112.5">
      <c r="A107" s="51">
        <v>1039755</v>
      </c>
      <c r="B107" s="50" t="s">
        <v>879</v>
      </c>
      <c r="C107" s="5" t="s">
        <v>94</v>
      </c>
      <c r="D107" s="51" t="s">
        <v>885</v>
      </c>
      <c r="E107" s="1" t="s">
        <v>55</v>
      </c>
      <c r="F107" s="1" t="s">
        <v>872</v>
      </c>
      <c r="G107" s="1" t="s">
        <v>886</v>
      </c>
      <c r="H107" s="1" t="s">
        <v>887</v>
      </c>
      <c r="I107" s="117">
        <v>67197.8</v>
      </c>
      <c r="J107" s="117" t="s">
        <v>869</v>
      </c>
      <c r="K107" s="2">
        <f>(I107/28)/12.5*33</f>
        <v>6335.792571428572</v>
      </c>
      <c r="L107" s="40" t="s">
        <v>17</v>
      </c>
      <c r="M107" s="32" t="s">
        <v>432</v>
      </c>
      <c r="N107" s="5" t="s">
        <v>870</v>
      </c>
    </row>
    <row r="108" spans="1:14" ht="112.5">
      <c r="A108" s="51">
        <v>1039756</v>
      </c>
      <c r="B108" s="50" t="s">
        <v>879</v>
      </c>
      <c r="C108" s="5" t="s">
        <v>94</v>
      </c>
      <c r="D108" s="51" t="s">
        <v>885</v>
      </c>
      <c r="E108" s="1" t="s">
        <v>55</v>
      </c>
      <c r="F108" s="1" t="s">
        <v>97</v>
      </c>
      <c r="G108" s="1" t="s">
        <v>886</v>
      </c>
      <c r="H108" s="1" t="s">
        <v>887</v>
      </c>
      <c r="I108" s="117">
        <v>134044.9</v>
      </c>
      <c r="J108" s="117" t="s">
        <v>869</v>
      </c>
      <c r="K108" s="2">
        <f>(I108/28)/25*33</f>
        <v>6319.259571428571</v>
      </c>
      <c r="L108" s="40" t="s">
        <v>17</v>
      </c>
      <c r="M108" s="32" t="s">
        <v>432</v>
      </c>
      <c r="N108" s="5" t="s">
        <v>870</v>
      </c>
    </row>
    <row r="109" spans="1:14" ht="112.5">
      <c r="A109" s="51">
        <v>1039757</v>
      </c>
      <c r="B109" s="50" t="s">
        <v>879</v>
      </c>
      <c r="C109" s="5" t="s">
        <v>94</v>
      </c>
      <c r="D109" s="51" t="s">
        <v>885</v>
      </c>
      <c r="E109" s="1" t="s">
        <v>55</v>
      </c>
      <c r="F109" s="1" t="s">
        <v>876</v>
      </c>
      <c r="G109" s="1" t="s">
        <v>886</v>
      </c>
      <c r="H109" s="1" t="s">
        <v>887</v>
      </c>
      <c r="I109" s="117">
        <v>267421.2</v>
      </c>
      <c r="J109" s="117" t="s">
        <v>869</v>
      </c>
      <c r="K109" s="2">
        <f>(I109/28)/50*33</f>
        <v>6303.499714285714</v>
      </c>
      <c r="L109" s="40" t="s">
        <v>17</v>
      </c>
      <c r="M109" s="32" t="s">
        <v>432</v>
      </c>
      <c r="N109" s="5" t="s">
        <v>870</v>
      </c>
    </row>
    <row r="110" spans="1:14" ht="180">
      <c r="A110" s="4" t="s">
        <v>300</v>
      </c>
      <c r="B110" s="5" t="s">
        <v>301</v>
      </c>
      <c r="C110" s="5" t="s">
        <v>302</v>
      </c>
      <c r="D110" s="5" t="s">
        <v>303</v>
      </c>
      <c r="E110" s="1" t="s">
        <v>53</v>
      </c>
      <c r="F110" s="1" t="s">
        <v>98</v>
      </c>
      <c r="G110" s="1" t="s">
        <v>374</v>
      </c>
      <c r="H110" s="1" t="s">
        <v>375</v>
      </c>
      <c r="I110" s="21">
        <v>218435.1</v>
      </c>
      <c r="J110" s="2" t="s">
        <v>888</v>
      </c>
      <c r="K110" s="2">
        <f>(I110/112)/200*800</f>
        <v>7801.253571428571</v>
      </c>
      <c r="L110" s="40" t="s">
        <v>17</v>
      </c>
      <c r="M110" s="32" t="s">
        <v>819</v>
      </c>
      <c r="N110" s="5" t="s">
        <v>820</v>
      </c>
    </row>
    <row r="111" spans="1:14" ht="135">
      <c r="A111" s="5">
        <v>1039140</v>
      </c>
      <c r="B111" s="5" t="s">
        <v>301</v>
      </c>
      <c r="C111" s="5" t="s">
        <v>302</v>
      </c>
      <c r="D111" s="5" t="s">
        <v>889</v>
      </c>
      <c r="E111" s="1" t="s">
        <v>53</v>
      </c>
      <c r="F111" s="1" t="s">
        <v>98</v>
      </c>
      <c r="G111" s="1" t="s">
        <v>890</v>
      </c>
      <c r="H111" s="1" t="s">
        <v>891</v>
      </c>
      <c r="I111" s="117">
        <v>178329.5</v>
      </c>
      <c r="J111" s="2" t="s">
        <v>888</v>
      </c>
      <c r="K111" s="2">
        <f>(I111/112)/200*800</f>
        <v>6368.910714285715</v>
      </c>
      <c r="L111" s="40" t="s">
        <v>17</v>
      </c>
      <c r="M111" s="32" t="s">
        <v>892</v>
      </c>
      <c r="N111" s="5" t="s">
        <v>893</v>
      </c>
    </row>
    <row r="112" spans="1:14" ht="135">
      <c r="A112" s="114" t="s">
        <v>894</v>
      </c>
      <c r="B112" s="5" t="s">
        <v>895</v>
      </c>
      <c r="C112" s="115" t="s">
        <v>302</v>
      </c>
      <c r="D112" s="5" t="s">
        <v>896</v>
      </c>
      <c r="E112" s="1" t="s">
        <v>53</v>
      </c>
      <c r="F112" s="1" t="s">
        <v>98</v>
      </c>
      <c r="G112" s="1" t="s">
        <v>897</v>
      </c>
      <c r="H112" s="1" t="s">
        <v>898</v>
      </c>
      <c r="I112" s="117">
        <v>178329.5</v>
      </c>
      <c r="J112" s="2" t="s">
        <v>888</v>
      </c>
      <c r="K112" s="2">
        <f>(I112/112)/200*800</f>
        <v>6368.910714285715</v>
      </c>
      <c r="L112" s="40" t="s">
        <v>17</v>
      </c>
      <c r="M112" s="32" t="s">
        <v>892</v>
      </c>
      <c r="N112" s="5" t="s">
        <v>893</v>
      </c>
    </row>
    <row r="113" spans="1:14" ht="135">
      <c r="A113" s="51">
        <v>1039145</v>
      </c>
      <c r="B113" s="51" t="s">
        <v>895</v>
      </c>
      <c r="C113" s="115" t="s">
        <v>302</v>
      </c>
      <c r="D113" s="51" t="s">
        <v>899</v>
      </c>
      <c r="E113" s="1" t="s">
        <v>53</v>
      </c>
      <c r="F113" s="1" t="s">
        <v>98</v>
      </c>
      <c r="G113" s="1" t="s">
        <v>900</v>
      </c>
      <c r="H113" s="1" t="s">
        <v>898</v>
      </c>
      <c r="I113" s="117">
        <v>178329.5</v>
      </c>
      <c r="J113" s="2" t="s">
        <v>888</v>
      </c>
      <c r="K113" s="2">
        <f>(I113/112)/200*800</f>
        <v>6368.910714285715</v>
      </c>
      <c r="L113" s="40" t="s">
        <v>17</v>
      </c>
      <c r="M113" s="32" t="s">
        <v>892</v>
      </c>
      <c r="N113" s="5" t="s">
        <v>893</v>
      </c>
    </row>
    <row r="114" spans="1:14" ht="123.75">
      <c r="A114" s="4" t="s">
        <v>220</v>
      </c>
      <c r="B114" s="5" t="s">
        <v>99</v>
      </c>
      <c r="C114" s="5" t="s">
        <v>100</v>
      </c>
      <c r="D114" s="5" t="s">
        <v>101</v>
      </c>
      <c r="E114" s="1" t="s">
        <v>53</v>
      </c>
      <c r="F114" s="1" t="s">
        <v>241</v>
      </c>
      <c r="G114" s="1" t="s">
        <v>178</v>
      </c>
      <c r="H114" s="1" t="s">
        <v>179</v>
      </c>
      <c r="I114" s="21">
        <v>123488.6</v>
      </c>
      <c r="J114" s="2" t="s">
        <v>17</v>
      </c>
      <c r="K114" s="2" t="s">
        <v>17</v>
      </c>
      <c r="L114" s="40" t="s">
        <v>17</v>
      </c>
      <c r="M114" s="5" t="s">
        <v>454</v>
      </c>
      <c r="N114" s="5" t="s">
        <v>813</v>
      </c>
    </row>
    <row r="115" spans="1:14" ht="157.5">
      <c r="A115" s="4" t="s">
        <v>221</v>
      </c>
      <c r="B115" s="5" t="s">
        <v>102</v>
      </c>
      <c r="C115" s="5" t="s">
        <v>103</v>
      </c>
      <c r="D115" s="5" t="s">
        <v>104</v>
      </c>
      <c r="E115" s="1" t="s">
        <v>55</v>
      </c>
      <c r="F115" s="1" t="s">
        <v>98</v>
      </c>
      <c r="G115" s="1" t="s">
        <v>105</v>
      </c>
      <c r="H115" s="1" t="s">
        <v>15</v>
      </c>
      <c r="I115" s="21">
        <v>354261.7</v>
      </c>
      <c r="J115" s="2" t="s">
        <v>17</v>
      </c>
      <c r="K115" s="2" t="s">
        <v>17</v>
      </c>
      <c r="L115" s="40" t="s">
        <v>17</v>
      </c>
      <c r="M115" s="5" t="s">
        <v>451</v>
      </c>
      <c r="N115" s="5" t="s">
        <v>901</v>
      </c>
    </row>
    <row r="116" spans="1:14" ht="112.5">
      <c r="A116" s="4" t="s">
        <v>275</v>
      </c>
      <c r="B116" s="5" t="s">
        <v>262</v>
      </c>
      <c r="C116" s="5" t="s">
        <v>263</v>
      </c>
      <c r="D116" s="5" t="s">
        <v>700</v>
      </c>
      <c r="E116" s="1" t="s">
        <v>53</v>
      </c>
      <c r="F116" s="1" t="s">
        <v>264</v>
      </c>
      <c r="G116" s="1" t="s">
        <v>265</v>
      </c>
      <c r="H116" s="1" t="s">
        <v>266</v>
      </c>
      <c r="I116" s="21">
        <v>70376.1</v>
      </c>
      <c r="J116" s="2" t="s">
        <v>17</v>
      </c>
      <c r="K116" s="2" t="s">
        <v>17</v>
      </c>
      <c r="L116" s="40" t="s">
        <v>17</v>
      </c>
      <c r="M116" s="5" t="s">
        <v>432</v>
      </c>
      <c r="N116" s="5" t="s">
        <v>870</v>
      </c>
    </row>
    <row r="117" spans="1:14" ht="112.5">
      <c r="A117" s="4" t="s">
        <v>276</v>
      </c>
      <c r="B117" s="5" t="s">
        <v>262</v>
      </c>
      <c r="C117" s="5" t="s">
        <v>263</v>
      </c>
      <c r="D117" s="5" t="s">
        <v>700</v>
      </c>
      <c r="E117" s="1" t="s">
        <v>53</v>
      </c>
      <c r="F117" s="1" t="s">
        <v>267</v>
      </c>
      <c r="G117" s="1" t="s">
        <v>265</v>
      </c>
      <c r="H117" s="1" t="s">
        <v>266</v>
      </c>
      <c r="I117" s="21">
        <v>281382.3</v>
      </c>
      <c r="J117" s="2" t="s">
        <v>17</v>
      </c>
      <c r="K117" s="2" t="s">
        <v>17</v>
      </c>
      <c r="L117" s="40" t="s">
        <v>17</v>
      </c>
      <c r="M117" s="5" t="s">
        <v>432</v>
      </c>
      <c r="N117" s="5" t="s">
        <v>870</v>
      </c>
    </row>
    <row r="118" spans="1:14" ht="101.25">
      <c r="A118" s="4" t="s">
        <v>277</v>
      </c>
      <c r="B118" s="5" t="s">
        <v>268</v>
      </c>
      <c r="C118" s="5" t="s">
        <v>269</v>
      </c>
      <c r="D118" s="5" t="s">
        <v>701</v>
      </c>
      <c r="E118" s="1" t="s">
        <v>53</v>
      </c>
      <c r="F118" s="1" t="s">
        <v>270</v>
      </c>
      <c r="G118" s="1" t="s">
        <v>271</v>
      </c>
      <c r="H118" s="1" t="s">
        <v>24</v>
      </c>
      <c r="I118" s="21">
        <v>189985.7</v>
      </c>
      <c r="J118" s="2" t="s">
        <v>17</v>
      </c>
      <c r="K118" s="2" t="s">
        <v>17</v>
      </c>
      <c r="L118" s="40" t="s">
        <v>17</v>
      </c>
      <c r="M118" s="5" t="s">
        <v>430</v>
      </c>
      <c r="N118" s="5" t="s">
        <v>793</v>
      </c>
    </row>
    <row r="119" spans="1:14" ht="101.25">
      <c r="A119" s="4" t="s">
        <v>278</v>
      </c>
      <c r="B119" s="5" t="s">
        <v>268</v>
      </c>
      <c r="C119" s="5" t="s">
        <v>269</v>
      </c>
      <c r="D119" s="5" t="s">
        <v>701</v>
      </c>
      <c r="E119" s="1" t="s">
        <v>53</v>
      </c>
      <c r="F119" s="1" t="s">
        <v>272</v>
      </c>
      <c r="G119" s="1" t="s">
        <v>271</v>
      </c>
      <c r="H119" s="1" t="s">
        <v>24</v>
      </c>
      <c r="I119" s="21">
        <v>189985.7</v>
      </c>
      <c r="J119" s="2" t="s">
        <v>17</v>
      </c>
      <c r="K119" s="2" t="s">
        <v>17</v>
      </c>
      <c r="L119" s="40" t="s">
        <v>17</v>
      </c>
      <c r="M119" s="5" t="s">
        <v>430</v>
      </c>
      <c r="N119" s="5" t="s">
        <v>794</v>
      </c>
    </row>
    <row r="120" spans="1:14" ht="101.25">
      <c r="A120" s="4">
        <v>1039278</v>
      </c>
      <c r="B120" s="5" t="s">
        <v>268</v>
      </c>
      <c r="C120" s="5" t="s">
        <v>269</v>
      </c>
      <c r="D120" s="5" t="s">
        <v>701</v>
      </c>
      <c r="E120" s="1" t="s">
        <v>53</v>
      </c>
      <c r="F120" s="1" t="s">
        <v>273</v>
      </c>
      <c r="G120" s="1" t="s">
        <v>271</v>
      </c>
      <c r="H120" s="1" t="s">
        <v>24</v>
      </c>
      <c r="I120" s="21">
        <v>189985.7</v>
      </c>
      <c r="J120" s="2" t="s">
        <v>17</v>
      </c>
      <c r="K120" s="2" t="s">
        <v>17</v>
      </c>
      <c r="L120" s="40" t="s">
        <v>17</v>
      </c>
      <c r="M120" s="5" t="s">
        <v>430</v>
      </c>
      <c r="N120" s="5" t="s">
        <v>794</v>
      </c>
    </row>
    <row r="121" spans="1:14" ht="90">
      <c r="A121" s="104">
        <v>1039256</v>
      </c>
      <c r="B121" s="102" t="s">
        <v>727</v>
      </c>
      <c r="C121" s="61" t="s">
        <v>728</v>
      </c>
      <c r="D121" s="61" t="s">
        <v>729</v>
      </c>
      <c r="E121" s="67" t="s">
        <v>53</v>
      </c>
      <c r="F121" s="67" t="s">
        <v>730</v>
      </c>
      <c r="G121" s="67" t="s">
        <v>731</v>
      </c>
      <c r="H121" s="67" t="s">
        <v>24</v>
      </c>
      <c r="I121" s="71">
        <v>68720.6</v>
      </c>
      <c r="J121" s="112" t="s">
        <v>17</v>
      </c>
      <c r="K121" s="112" t="s">
        <v>17</v>
      </c>
      <c r="L121" s="112" t="s">
        <v>17</v>
      </c>
      <c r="M121" s="61" t="s">
        <v>732</v>
      </c>
      <c r="N121" s="5" t="s">
        <v>804</v>
      </c>
    </row>
    <row r="122" spans="1:14" ht="90">
      <c r="A122" s="104">
        <v>1039258</v>
      </c>
      <c r="B122" s="102" t="s">
        <v>727</v>
      </c>
      <c r="C122" s="61" t="s">
        <v>728</v>
      </c>
      <c r="D122" s="61" t="s">
        <v>729</v>
      </c>
      <c r="E122" s="67" t="s">
        <v>53</v>
      </c>
      <c r="F122" s="67" t="s">
        <v>733</v>
      </c>
      <c r="G122" s="67" t="s">
        <v>731</v>
      </c>
      <c r="H122" s="67" t="s">
        <v>24</v>
      </c>
      <c r="I122" s="71">
        <v>342810.3</v>
      </c>
      <c r="J122" s="112" t="s">
        <v>17</v>
      </c>
      <c r="K122" s="112" t="s">
        <v>17</v>
      </c>
      <c r="L122" s="112" t="s">
        <v>17</v>
      </c>
      <c r="M122" s="61" t="s">
        <v>732</v>
      </c>
      <c r="N122" s="5" t="s">
        <v>804</v>
      </c>
    </row>
    <row r="123" spans="1:14" ht="112.5">
      <c r="A123" s="4" t="s">
        <v>307</v>
      </c>
      <c r="B123" s="5" t="s">
        <v>308</v>
      </c>
      <c r="C123" s="5" t="s">
        <v>309</v>
      </c>
      <c r="D123" s="5" t="s">
        <v>310</v>
      </c>
      <c r="E123" s="1" t="s">
        <v>242</v>
      </c>
      <c r="F123" s="1" t="s">
        <v>311</v>
      </c>
      <c r="G123" s="1" t="s">
        <v>105</v>
      </c>
      <c r="H123" s="1" t="s">
        <v>15</v>
      </c>
      <c r="I123" s="21">
        <v>185874.4</v>
      </c>
      <c r="J123" s="2" t="s">
        <v>17</v>
      </c>
      <c r="K123" s="2" t="s">
        <v>17</v>
      </c>
      <c r="L123" s="40" t="s">
        <v>17</v>
      </c>
      <c r="M123" s="5" t="s">
        <v>527</v>
      </c>
      <c r="N123" s="5" t="s">
        <v>902</v>
      </c>
    </row>
    <row r="124" spans="1:14" ht="112.5">
      <c r="A124" s="4" t="s">
        <v>312</v>
      </c>
      <c r="B124" s="5" t="s">
        <v>308</v>
      </c>
      <c r="C124" s="5" t="s">
        <v>309</v>
      </c>
      <c r="D124" s="5" t="s">
        <v>310</v>
      </c>
      <c r="E124" s="1" t="s">
        <v>242</v>
      </c>
      <c r="F124" s="1" t="s">
        <v>313</v>
      </c>
      <c r="G124" s="1" t="s">
        <v>105</v>
      </c>
      <c r="H124" s="1" t="s">
        <v>15</v>
      </c>
      <c r="I124" s="21">
        <v>370840.8</v>
      </c>
      <c r="J124" s="2" t="s">
        <v>17</v>
      </c>
      <c r="K124" s="2" t="s">
        <v>17</v>
      </c>
      <c r="L124" s="40" t="s">
        <v>17</v>
      </c>
      <c r="M124" s="5" t="s">
        <v>527</v>
      </c>
      <c r="N124" s="5" t="s">
        <v>902</v>
      </c>
    </row>
    <row r="125" spans="1:14" ht="112.5">
      <c r="A125" s="4" t="s">
        <v>314</v>
      </c>
      <c r="B125" s="5" t="s">
        <v>308</v>
      </c>
      <c r="C125" s="5" t="s">
        <v>309</v>
      </c>
      <c r="D125" s="5" t="s">
        <v>310</v>
      </c>
      <c r="E125" s="1" t="s">
        <v>242</v>
      </c>
      <c r="F125" s="1" t="s">
        <v>315</v>
      </c>
      <c r="G125" s="1" t="s">
        <v>105</v>
      </c>
      <c r="H125" s="1" t="s">
        <v>15</v>
      </c>
      <c r="I125" s="21">
        <v>370840.8</v>
      </c>
      <c r="J125" s="2" t="s">
        <v>17</v>
      </c>
      <c r="K125" s="2" t="s">
        <v>17</v>
      </c>
      <c r="L125" s="40" t="s">
        <v>17</v>
      </c>
      <c r="M125" s="5" t="s">
        <v>527</v>
      </c>
      <c r="N125" s="5" t="s">
        <v>902</v>
      </c>
    </row>
    <row r="126" spans="1:14" ht="191.25" customHeight="1">
      <c r="A126" s="66" t="s">
        <v>571</v>
      </c>
      <c r="B126" s="61" t="s">
        <v>572</v>
      </c>
      <c r="C126" s="61" t="s">
        <v>573</v>
      </c>
      <c r="D126" s="61" t="s">
        <v>574</v>
      </c>
      <c r="E126" s="67" t="s">
        <v>55</v>
      </c>
      <c r="F126" s="67" t="s">
        <v>575</v>
      </c>
      <c r="G126" s="1" t="s">
        <v>1004</v>
      </c>
      <c r="H126" s="1" t="s">
        <v>1005</v>
      </c>
      <c r="I126" s="71">
        <v>560289.2</v>
      </c>
      <c r="J126" s="70" t="s">
        <v>17</v>
      </c>
      <c r="K126" s="71" t="s">
        <v>17</v>
      </c>
      <c r="L126" s="70" t="s">
        <v>17</v>
      </c>
      <c r="M126" s="5" t="s">
        <v>1006</v>
      </c>
      <c r="N126" s="5" t="s">
        <v>1007</v>
      </c>
    </row>
    <row r="127" spans="1:14" ht="194.25" customHeight="1">
      <c r="A127" s="66">
        <v>1039658</v>
      </c>
      <c r="B127" s="61" t="s">
        <v>576</v>
      </c>
      <c r="C127" s="61" t="s">
        <v>577</v>
      </c>
      <c r="D127" s="61" t="s">
        <v>578</v>
      </c>
      <c r="E127" s="67" t="s">
        <v>53</v>
      </c>
      <c r="F127" s="67" t="s">
        <v>579</v>
      </c>
      <c r="G127" s="1" t="s">
        <v>1008</v>
      </c>
      <c r="H127" s="1" t="s">
        <v>523</v>
      </c>
      <c r="I127" s="21">
        <v>411707.2</v>
      </c>
      <c r="J127" s="70" t="s">
        <v>17</v>
      </c>
      <c r="K127" s="71" t="s">
        <v>17</v>
      </c>
      <c r="L127" s="70" t="s">
        <v>17</v>
      </c>
      <c r="M127" s="55" t="s">
        <v>1009</v>
      </c>
      <c r="N127" s="5" t="s">
        <v>1007</v>
      </c>
    </row>
    <row r="128" spans="1:14" ht="90">
      <c r="A128" s="104" t="s">
        <v>734</v>
      </c>
      <c r="B128" s="102" t="s">
        <v>735</v>
      </c>
      <c r="C128" s="102" t="s">
        <v>736</v>
      </c>
      <c r="D128" s="102" t="s">
        <v>737</v>
      </c>
      <c r="E128" s="70" t="s">
        <v>53</v>
      </c>
      <c r="F128" s="67" t="s">
        <v>738</v>
      </c>
      <c r="G128" s="67" t="s">
        <v>739</v>
      </c>
      <c r="H128" s="67" t="s">
        <v>740</v>
      </c>
      <c r="I128" s="71">
        <v>545440.9</v>
      </c>
      <c r="J128" s="112" t="s">
        <v>17</v>
      </c>
      <c r="K128" s="112" t="s">
        <v>17</v>
      </c>
      <c r="L128" s="112" t="s">
        <v>17</v>
      </c>
      <c r="M128" s="61" t="s">
        <v>732</v>
      </c>
      <c r="N128" s="5" t="s">
        <v>804</v>
      </c>
    </row>
    <row r="129" spans="1:14" ht="90">
      <c r="A129" s="104" t="s">
        <v>741</v>
      </c>
      <c r="B129" s="102" t="s">
        <v>735</v>
      </c>
      <c r="C129" s="102" t="s">
        <v>736</v>
      </c>
      <c r="D129" s="102" t="s">
        <v>737</v>
      </c>
      <c r="E129" s="70" t="s">
        <v>53</v>
      </c>
      <c r="F129" s="67" t="s">
        <v>742</v>
      </c>
      <c r="G129" s="67" t="s">
        <v>739</v>
      </c>
      <c r="H129" s="67" t="s">
        <v>740</v>
      </c>
      <c r="I129" s="71">
        <v>545440.9</v>
      </c>
      <c r="J129" s="112" t="s">
        <v>17</v>
      </c>
      <c r="K129" s="112" t="s">
        <v>17</v>
      </c>
      <c r="L129" s="112" t="s">
        <v>17</v>
      </c>
      <c r="M129" s="61" t="s">
        <v>732</v>
      </c>
      <c r="N129" s="5" t="s">
        <v>804</v>
      </c>
    </row>
    <row r="130" spans="1:14" ht="90">
      <c r="A130" s="104" t="s">
        <v>743</v>
      </c>
      <c r="B130" s="102" t="s">
        <v>735</v>
      </c>
      <c r="C130" s="102" t="s">
        <v>736</v>
      </c>
      <c r="D130" s="102" t="s">
        <v>737</v>
      </c>
      <c r="E130" s="70" t="s">
        <v>53</v>
      </c>
      <c r="F130" s="67" t="s">
        <v>744</v>
      </c>
      <c r="G130" s="67" t="s">
        <v>739</v>
      </c>
      <c r="H130" s="67" t="s">
        <v>740</v>
      </c>
      <c r="I130" s="71">
        <v>545440.9</v>
      </c>
      <c r="J130" s="112" t="s">
        <v>17</v>
      </c>
      <c r="K130" s="112" t="s">
        <v>17</v>
      </c>
      <c r="L130" s="112" t="s">
        <v>17</v>
      </c>
      <c r="M130" s="61" t="s">
        <v>732</v>
      </c>
      <c r="N130" s="5" t="s">
        <v>804</v>
      </c>
    </row>
    <row r="131" spans="1:14" ht="157.5">
      <c r="A131" s="104" t="s">
        <v>751</v>
      </c>
      <c r="B131" s="102" t="s">
        <v>745</v>
      </c>
      <c r="C131" s="61" t="s">
        <v>746</v>
      </c>
      <c r="D131" s="61" t="s">
        <v>747</v>
      </c>
      <c r="E131" s="67" t="s">
        <v>55</v>
      </c>
      <c r="F131" s="105" t="s">
        <v>748</v>
      </c>
      <c r="G131" s="105" t="s">
        <v>482</v>
      </c>
      <c r="H131" s="105" t="s">
        <v>24</v>
      </c>
      <c r="I131" s="71">
        <v>233241.2</v>
      </c>
      <c r="J131" s="78" t="s">
        <v>17</v>
      </c>
      <c r="K131" s="71" t="s">
        <v>17</v>
      </c>
      <c r="L131" s="78" t="s">
        <v>17</v>
      </c>
      <c r="M131" s="106" t="s">
        <v>808</v>
      </c>
      <c r="N131" s="107" t="s">
        <v>806</v>
      </c>
    </row>
    <row r="132" spans="1:14" ht="157.5">
      <c r="A132" s="104" t="s">
        <v>752</v>
      </c>
      <c r="B132" s="102" t="s">
        <v>745</v>
      </c>
      <c r="C132" s="61" t="s">
        <v>746</v>
      </c>
      <c r="D132" s="61" t="s">
        <v>747</v>
      </c>
      <c r="E132" s="67" t="s">
        <v>55</v>
      </c>
      <c r="F132" s="105" t="s">
        <v>749</v>
      </c>
      <c r="G132" s="105" t="s">
        <v>482</v>
      </c>
      <c r="H132" s="105" t="s">
        <v>24</v>
      </c>
      <c r="I132" s="71">
        <v>233241.2</v>
      </c>
      <c r="J132" s="78" t="s">
        <v>17</v>
      </c>
      <c r="K132" s="71" t="s">
        <v>17</v>
      </c>
      <c r="L132" s="78" t="s">
        <v>17</v>
      </c>
      <c r="M132" s="106" t="s">
        <v>808</v>
      </c>
      <c r="N132" s="107" t="s">
        <v>806</v>
      </c>
    </row>
    <row r="133" spans="1:14" ht="157.5">
      <c r="A133" s="104" t="s">
        <v>753</v>
      </c>
      <c r="B133" s="102" t="s">
        <v>745</v>
      </c>
      <c r="C133" s="61" t="s">
        <v>746</v>
      </c>
      <c r="D133" s="61" t="s">
        <v>747</v>
      </c>
      <c r="E133" s="67" t="s">
        <v>55</v>
      </c>
      <c r="F133" s="105" t="s">
        <v>750</v>
      </c>
      <c r="G133" s="105" t="s">
        <v>482</v>
      </c>
      <c r="H133" s="105" t="s">
        <v>24</v>
      </c>
      <c r="I133" s="71">
        <v>233241.2</v>
      </c>
      <c r="J133" s="78" t="s">
        <v>17</v>
      </c>
      <c r="K133" s="71" t="s">
        <v>17</v>
      </c>
      <c r="L133" s="78" t="s">
        <v>17</v>
      </c>
      <c r="M133" s="106" t="s">
        <v>808</v>
      </c>
      <c r="N133" s="107" t="s">
        <v>806</v>
      </c>
    </row>
    <row r="134" spans="1:14" ht="101.25">
      <c r="A134" s="66" t="s">
        <v>585</v>
      </c>
      <c r="B134" s="61" t="s">
        <v>586</v>
      </c>
      <c r="C134" s="61" t="s">
        <v>587</v>
      </c>
      <c r="D134" s="61" t="s">
        <v>588</v>
      </c>
      <c r="E134" s="67" t="s">
        <v>55</v>
      </c>
      <c r="F134" s="67" t="s">
        <v>589</v>
      </c>
      <c r="G134" s="67" t="s">
        <v>569</v>
      </c>
      <c r="H134" s="67" t="s">
        <v>385</v>
      </c>
      <c r="I134" s="71">
        <v>497084.7</v>
      </c>
      <c r="J134" s="70" t="s">
        <v>17</v>
      </c>
      <c r="K134" s="71" t="s">
        <v>17</v>
      </c>
      <c r="L134" s="70" t="s">
        <v>17</v>
      </c>
      <c r="M134" s="61" t="s">
        <v>590</v>
      </c>
      <c r="N134" s="85" t="s">
        <v>794</v>
      </c>
    </row>
    <row r="135" spans="1:14" ht="168.75">
      <c r="A135" s="5">
        <v>1039502</v>
      </c>
      <c r="B135" s="5" t="s">
        <v>754</v>
      </c>
      <c r="C135" s="5" t="s">
        <v>755</v>
      </c>
      <c r="D135" s="5" t="s">
        <v>756</v>
      </c>
      <c r="E135" s="1" t="s">
        <v>53</v>
      </c>
      <c r="F135" s="1" t="s">
        <v>757</v>
      </c>
      <c r="G135" s="1" t="s">
        <v>758</v>
      </c>
      <c r="H135" s="1" t="s">
        <v>759</v>
      </c>
      <c r="I135" s="21">
        <v>219523.9</v>
      </c>
      <c r="J135" s="2" t="s">
        <v>17</v>
      </c>
      <c r="K135" s="2" t="s">
        <v>17</v>
      </c>
      <c r="L135" s="2" t="s">
        <v>17</v>
      </c>
      <c r="M135" s="5" t="s">
        <v>809</v>
      </c>
      <c r="N135" s="5" t="s">
        <v>807</v>
      </c>
    </row>
    <row r="136" spans="1:14" ht="101.25">
      <c r="A136" s="102">
        <v>1039300</v>
      </c>
      <c r="B136" s="102" t="s">
        <v>760</v>
      </c>
      <c r="C136" s="103" t="s">
        <v>761</v>
      </c>
      <c r="D136" s="102" t="s">
        <v>762</v>
      </c>
      <c r="E136" s="108" t="s">
        <v>53</v>
      </c>
      <c r="F136" s="108" t="s">
        <v>814</v>
      </c>
      <c r="G136" s="1" t="s">
        <v>903</v>
      </c>
      <c r="H136" s="1" t="s">
        <v>19</v>
      </c>
      <c r="I136" s="71">
        <v>261996.3</v>
      </c>
      <c r="J136" s="78" t="s">
        <v>17</v>
      </c>
      <c r="K136" s="78" t="s">
        <v>17</v>
      </c>
      <c r="L136" s="78" t="s">
        <v>17</v>
      </c>
      <c r="M136" s="109" t="s">
        <v>590</v>
      </c>
      <c r="N136" s="110" t="s">
        <v>794</v>
      </c>
    </row>
    <row r="137" spans="1:14" ht="146.25">
      <c r="A137" s="142">
        <v>1039992</v>
      </c>
      <c r="B137" s="142" t="s">
        <v>1015</v>
      </c>
      <c r="C137" s="143" t="s">
        <v>1016</v>
      </c>
      <c r="D137" s="144" t="s">
        <v>1017</v>
      </c>
      <c r="E137" s="145" t="s">
        <v>55</v>
      </c>
      <c r="F137" s="145" t="s">
        <v>1018</v>
      </c>
      <c r="G137" s="145" t="s">
        <v>1019</v>
      </c>
      <c r="H137" s="145" t="s">
        <v>24</v>
      </c>
      <c r="I137" s="21">
        <v>137487</v>
      </c>
      <c r="J137" s="59" t="s">
        <v>17</v>
      </c>
      <c r="K137" s="59" t="s">
        <v>17</v>
      </c>
      <c r="L137" s="59" t="s">
        <v>17</v>
      </c>
      <c r="M137" s="131" t="s">
        <v>1020</v>
      </c>
      <c r="N137" s="131" t="s">
        <v>1021</v>
      </c>
    </row>
    <row r="138" spans="1:14" ht="146.25">
      <c r="A138" s="142" t="s">
        <v>1022</v>
      </c>
      <c r="B138" s="142" t="s">
        <v>1015</v>
      </c>
      <c r="C138" s="143" t="s">
        <v>1016</v>
      </c>
      <c r="D138" s="144" t="s">
        <v>1017</v>
      </c>
      <c r="E138" s="145" t="s">
        <v>55</v>
      </c>
      <c r="F138" s="145" t="s">
        <v>1023</v>
      </c>
      <c r="G138" s="145" t="s">
        <v>1019</v>
      </c>
      <c r="H138" s="145" t="s">
        <v>24</v>
      </c>
      <c r="I138" s="21">
        <v>411031.1</v>
      </c>
      <c r="J138" s="59" t="s">
        <v>17</v>
      </c>
      <c r="K138" s="59" t="s">
        <v>17</v>
      </c>
      <c r="L138" s="59" t="s">
        <v>17</v>
      </c>
      <c r="M138" s="131" t="s">
        <v>1020</v>
      </c>
      <c r="N138" s="131" t="s">
        <v>1021</v>
      </c>
    </row>
    <row r="139" spans="1:14" ht="168.75">
      <c r="A139" s="4">
        <v>1069140</v>
      </c>
      <c r="B139" s="5" t="s">
        <v>106</v>
      </c>
      <c r="C139" s="5" t="s">
        <v>107</v>
      </c>
      <c r="D139" s="5" t="s">
        <v>108</v>
      </c>
      <c r="E139" s="1" t="s">
        <v>180</v>
      </c>
      <c r="F139" s="1" t="s">
        <v>181</v>
      </c>
      <c r="G139" s="1" t="s">
        <v>109</v>
      </c>
      <c r="H139" s="1" t="s">
        <v>110</v>
      </c>
      <c r="I139" s="21">
        <v>30206.2</v>
      </c>
      <c r="J139" s="2" t="s">
        <v>17</v>
      </c>
      <c r="K139" s="2" t="s">
        <v>17</v>
      </c>
      <c r="L139" s="40" t="s">
        <v>17</v>
      </c>
      <c r="M139" s="5" t="s">
        <v>433</v>
      </c>
      <c r="N139" s="5" t="s">
        <v>904</v>
      </c>
    </row>
    <row r="140" spans="1:14" ht="270">
      <c r="A140" s="88" t="s">
        <v>763</v>
      </c>
      <c r="B140" s="89" t="s">
        <v>515</v>
      </c>
      <c r="C140" s="5" t="s">
        <v>516</v>
      </c>
      <c r="D140" s="5" t="s">
        <v>517</v>
      </c>
      <c r="E140" s="94" t="s">
        <v>53</v>
      </c>
      <c r="F140" s="1" t="s">
        <v>764</v>
      </c>
      <c r="G140" s="1" t="s">
        <v>765</v>
      </c>
      <c r="H140" s="1" t="s">
        <v>766</v>
      </c>
      <c r="I140" s="21">
        <v>253067</v>
      </c>
      <c r="J140" s="53" t="s">
        <v>17</v>
      </c>
      <c r="K140" s="53" t="s">
        <v>17</v>
      </c>
      <c r="L140" s="53" t="s">
        <v>17</v>
      </c>
      <c r="M140" s="5" t="s">
        <v>1024</v>
      </c>
      <c r="N140" s="5" t="s">
        <v>1025</v>
      </c>
    </row>
    <row r="141" spans="1:14" ht="270">
      <c r="A141" s="88" t="s">
        <v>767</v>
      </c>
      <c r="B141" s="89" t="s">
        <v>515</v>
      </c>
      <c r="C141" s="5" t="s">
        <v>516</v>
      </c>
      <c r="D141" s="5" t="s">
        <v>517</v>
      </c>
      <c r="E141" s="94" t="s">
        <v>53</v>
      </c>
      <c r="F141" s="1" t="s">
        <v>768</v>
      </c>
      <c r="G141" s="1" t="s">
        <v>765</v>
      </c>
      <c r="H141" s="1" t="s">
        <v>766</v>
      </c>
      <c r="I141" s="21">
        <v>253067</v>
      </c>
      <c r="J141" s="53" t="s">
        <v>17</v>
      </c>
      <c r="K141" s="53" t="s">
        <v>17</v>
      </c>
      <c r="L141" s="53" t="s">
        <v>17</v>
      </c>
      <c r="M141" s="5" t="s">
        <v>1024</v>
      </c>
      <c r="N141" s="5" t="s">
        <v>1025</v>
      </c>
    </row>
    <row r="142" spans="1:14" ht="223.5" customHeight="1">
      <c r="A142" s="5" t="s">
        <v>1026</v>
      </c>
      <c r="B142" s="5" t="s">
        <v>1027</v>
      </c>
      <c r="C142" s="5" t="s">
        <v>1028</v>
      </c>
      <c r="D142" s="5" t="s">
        <v>1029</v>
      </c>
      <c r="E142" s="5" t="s">
        <v>27</v>
      </c>
      <c r="F142" s="1" t="s">
        <v>1030</v>
      </c>
      <c r="G142" s="1" t="s">
        <v>396</v>
      </c>
      <c r="H142" s="1" t="s">
        <v>15</v>
      </c>
      <c r="I142" s="21">
        <v>543692.5</v>
      </c>
      <c r="J142" s="1" t="s">
        <v>17</v>
      </c>
      <c r="K142" s="1" t="s">
        <v>17</v>
      </c>
      <c r="L142" s="1" t="s">
        <v>17</v>
      </c>
      <c r="M142" s="5" t="s">
        <v>1031</v>
      </c>
      <c r="N142" s="5" t="s">
        <v>802</v>
      </c>
    </row>
    <row r="143" spans="1:14" ht="223.5" customHeight="1">
      <c r="A143" s="5" t="s">
        <v>1032</v>
      </c>
      <c r="B143" s="5" t="s">
        <v>1027</v>
      </c>
      <c r="C143" s="5" t="s">
        <v>1028</v>
      </c>
      <c r="D143" s="5" t="s">
        <v>1029</v>
      </c>
      <c r="E143" s="5" t="s">
        <v>27</v>
      </c>
      <c r="F143" s="1" t="s">
        <v>1033</v>
      </c>
      <c r="G143" s="1" t="s">
        <v>396</v>
      </c>
      <c r="H143" s="1" t="s">
        <v>15</v>
      </c>
      <c r="I143" s="21">
        <v>302873</v>
      </c>
      <c r="J143" s="1" t="s">
        <v>17</v>
      </c>
      <c r="K143" s="1" t="s">
        <v>17</v>
      </c>
      <c r="L143" s="1" t="s">
        <v>17</v>
      </c>
      <c r="M143" s="5" t="s">
        <v>1034</v>
      </c>
      <c r="N143" s="5" t="s">
        <v>802</v>
      </c>
    </row>
    <row r="144" spans="1:14" s="43" customFormat="1" ht="112.5">
      <c r="A144" s="13" t="s">
        <v>316</v>
      </c>
      <c r="B144" s="14" t="s">
        <v>317</v>
      </c>
      <c r="C144" s="15" t="s">
        <v>318</v>
      </c>
      <c r="D144" s="15" t="s">
        <v>319</v>
      </c>
      <c r="E144" s="16" t="s">
        <v>320</v>
      </c>
      <c r="F144" s="16" t="s">
        <v>321</v>
      </c>
      <c r="G144" s="16" t="s">
        <v>322</v>
      </c>
      <c r="H144" s="16" t="s">
        <v>40</v>
      </c>
      <c r="I144" s="21">
        <v>294899.7</v>
      </c>
      <c r="J144" s="2" t="s">
        <v>323</v>
      </c>
      <c r="K144" s="2">
        <f>I144/112/40*160</f>
        <v>10532.132142857143</v>
      </c>
      <c r="L144" s="40" t="s">
        <v>17</v>
      </c>
      <c r="M144" s="33" t="s">
        <v>595</v>
      </c>
      <c r="N144" s="5" t="s">
        <v>810</v>
      </c>
    </row>
    <row r="145" spans="1:14" s="43" customFormat="1" ht="132" customHeight="1">
      <c r="A145" s="146" t="s">
        <v>1035</v>
      </c>
      <c r="B145" s="140" t="s">
        <v>1036</v>
      </c>
      <c r="C145" s="140" t="s">
        <v>1037</v>
      </c>
      <c r="D145" s="140" t="s">
        <v>1038</v>
      </c>
      <c r="E145" s="141" t="s">
        <v>53</v>
      </c>
      <c r="F145" s="141" t="s">
        <v>1039</v>
      </c>
      <c r="G145" s="141" t="s">
        <v>1040</v>
      </c>
      <c r="H145" s="141" t="s">
        <v>54</v>
      </c>
      <c r="I145" s="21">
        <v>288298.2</v>
      </c>
      <c r="J145" s="141" t="s">
        <v>1041</v>
      </c>
      <c r="K145" s="147">
        <f>+(I145/120)/60*240</f>
        <v>9609.94</v>
      </c>
      <c r="L145" s="141" t="s">
        <v>17</v>
      </c>
      <c r="M145" s="140" t="s">
        <v>1042</v>
      </c>
      <c r="N145" s="5" t="s">
        <v>810</v>
      </c>
    </row>
    <row r="146" spans="1:14" s="43" customFormat="1" ht="112.5">
      <c r="A146" s="13" t="s">
        <v>324</v>
      </c>
      <c r="B146" s="14" t="s">
        <v>325</v>
      </c>
      <c r="C146" s="15" t="s">
        <v>326</v>
      </c>
      <c r="D146" s="15" t="s">
        <v>327</v>
      </c>
      <c r="E146" s="16" t="s">
        <v>242</v>
      </c>
      <c r="F146" s="16" t="s">
        <v>328</v>
      </c>
      <c r="G146" s="16" t="s">
        <v>329</v>
      </c>
      <c r="H146" s="16" t="s">
        <v>54</v>
      </c>
      <c r="I146" s="21">
        <v>341994.2</v>
      </c>
      <c r="J146" s="2" t="s">
        <v>330</v>
      </c>
      <c r="K146" s="2">
        <f>I146/120/250*1000</f>
        <v>11399.806666666667</v>
      </c>
      <c r="L146" s="40" t="s">
        <v>17</v>
      </c>
      <c r="M146" s="33" t="s">
        <v>596</v>
      </c>
      <c r="N146" s="5" t="s">
        <v>811</v>
      </c>
    </row>
    <row r="147" spans="1:14" s="43" customFormat="1" ht="112.5">
      <c r="A147" s="51">
        <v>1039760</v>
      </c>
      <c r="B147" s="51" t="s">
        <v>325</v>
      </c>
      <c r="C147" s="5" t="s">
        <v>326</v>
      </c>
      <c r="D147" s="5" t="s">
        <v>905</v>
      </c>
      <c r="E147" s="1" t="s">
        <v>242</v>
      </c>
      <c r="F147" s="1" t="s">
        <v>906</v>
      </c>
      <c r="G147" s="1" t="s">
        <v>907</v>
      </c>
      <c r="H147" s="1" t="s">
        <v>908</v>
      </c>
      <c r="I147" s="2">
        <v>239395.9</v>
      </c>
      <c r="J147" s="118" t="s">
        <v>330</v>
      </c>
      <c r="K147" s="2">
        <f>I147/120/250*1000</f>
        <v>7979.863333333333</v>
      </c>
      <c r="L147" s="40" t="s">
        <v>17</v>
      </c>
      <c r="M147" s="33" t="s">
        <v>596</v>
      </c>
      <c r="N147" s="5" t="s">
        <v>811</v>
      </c>
    </row>
    <row r="148" spans="1:14" s="43" customFormat="1" ht="112.5">
      <c r="A148" s="51">
        <v>1039761</v>
      </c>
      <c r="B148" s="51" t="s">
        <v>325</v>
      </c>
      <c r="C148" s="5" t="s">
        <v>326</v>
      </c>
      <c r="D148" s="5" t="s">
        <v>905</v>
      </c>
      <c r="E148" s="1" t="s">
        <v>53</v>
      </c>
      <c r="F148" s="1" t="s">
        <v>909</v>
      </c>
      <c r="G148" s="1" t="s">
        <v>907</v>
      </c>
      <c r="H148" s="1" t="s">
        <v>908</v>
      </c>
      <c r="I148" s="21">
        <v>162809.8</v>
      </c>
      <c r="J148" s="118" t="s">
        <v>330</v>
      </c>
      <c r="K148" s="2">
        <f>I148/60/500*1000</f>
        <v>5426.993333333333</v>
      </c>
      <c r="L148" s="40" t="s">
        <v>17</v>
      </c>
      <c r="M148" s="33" t="s">
        <v>596</v>
      </c>
      <c r="N148" s="5" t="s">
        <v>811</v>
      </c>
    </row>
    <row r="149" spans="1:14" ht="45">
      <c r="A149" s="4" t="s">
        <v>222</v>
      </c>
      <c r="B149" s="5" t="s">
        <v>112</v>
      </c>
      <c r="C149" s="5" t="s">
        <v>113</v>
      </c>
      <c r="D149" s="5" t="s">
        <v>114</v>
      </c>
      <c r="E149" s="1" t="s">
        <v>18</v>
      </c>
      <c r="F149" s="1" t="s">
        <v>115</v>
      </c>
      <c r="G149" s="1" t="s">
        <v>384</v>
      </c>
      <c r="H149" s="1" t="s">
        <v>385</v>
      </c>
      <c r="I149" s="21">
        <v>87681.3</v>
      </c>
      <c r="J149" s="1" t="s">
        <v>17</v>
      </c>
      <c r="K149" s="2" t="s">
        <v>17</v>
      </c>
      <c r="L149" s="38" t="s">
        <v>17</v>
      </c>
      <c r="M149" s="5" t="s">
        <v>434</v>
      </c>
      <c r="N149" s="5" t="s">
        <v>435</v>
      </c>
    </row>
    <row r="150" spans="1:14" ht="45">
      <c r="A150" s="4" t="s">
        <v>223</v>
      </c>
      <c r="B150" s="5" t="s">
        <v>112</v>
      </c>
      <c r="C150" s="5" t="s">
        <v>116</v>
      </c>
      <c r="D150" s="5" t="s">
        <v>114</v>
      </c>
      <c r="E150" s="1" t="s">
        <v>18</v>
      </c>
      <c r="F150" s="1" t="s">
        <v>117</v>
      </c>
      <c r="G150" s="1" t="s">
        <v>384</v>
      </c>
      <c r="H150" s="1" t="s">
        <v>385</v>
      </c>
      <c r="I150" s="21">
        <v>60639</v>
      </c>
      <c r="J150" s="1" t="s">
        <v>17</v>
      </c>
      <c r="K150" s="2" t="s">
        <v>17</v>
      </c>
      <c r="L150" s="38" t="s">
        <v>17</v>
      </c>
      <c r="M150" s="5" t="s">
        <v>434</v>
      </c>
      <c r="N150" s="5" t="s">
        <v>435</v>
      </c>
    </row>
    <row r="151" spans="1:14" ht="67.5">
      <c r="A151" s="4" t="s">
        <v>224</v>
      </c>
      <c r="B151" s="5" t="s">
        <v>112</v>
      </c>
      <c r="C151" s="5" t="s">
        <v>113</v>
      </c>
      <c r="D151" s="5" t="s">
        <v>118</v>
      </c>
      <c r="E151" s="1" t="s">
        <v>18</v>
      </c>
      <c r="F151" s="1" t="s">
        <v>119</v>
      </c>
      <c r="G151" s="1" t="s">
        <v>910</v>
      </c>
      <c r="H151" s="1" t="s">
        <v>911</v>
      </c>
      <c r="I151" s="21">
        <v>71114.5</v>
      </c>
      <c r="J151" s="1" t="s">
        <v>120</v>
      </c>
      <c r="K151" s="2">
        <f>I151/4/30*4.3</f>
        <v>2548.269583333333</v>
      </c>
      <c r="L151" s="38" t="s">
        <v>17</v>
      </c>
      <c r="M151" s="5" t="s">
        <v>434</v>
      </c>
      <c r="N151" s="5" t="s">
        <v>435</v>
      </c>
    </row>
    <row r="152" spans="1:14" ht="56.25">
      <c r="A152" s="4" t="s">
        <v>225</v>
      </c>
      <c r="B152" s="5" t="s">
        <v>121</v>
      </c>
      <c r="C152" s="5" t="s">
        <v>122</v>
      </c>
      <c r="D152" s="5" t="s">
        <v>123</v>
      </c>
      <c r="E152" s="1" t="s">
        <v>124</v>
      </c>
      <c r="F152" s="1" t="s">
        <v>125</v>
      </c>
      <c r="G152" s="1" t="s">
        <v>376</v>
      </c>
      <c r="H152" s="1" t="s">
        <v>24</v>
      </c>
      <c r="I152" s="21">
        <v>54979.7</v>
      </c>
      <c r="J152" s="1" t="s">
        <v>126</v>
      </c>
      <c r="K152" s="2">
        <f>I152/15/9600000*4000000</f>
        <v>1527.213888888889</v>
      </c>
      <c r="L152" s="38" t="s">
        <v>17</v>
      </c>
      <c r="M152" s="5" t="s">
        <v>434</v>
      </c>
      <c r="N152" s="5" t="s">
        <v>435</v>
      </c>
    </row>
    <row r="153" spans="1:14" ht="315">
      <c r="A153" s="4" t="s">
        <v>226</v>
      </c>
      <c r="B153" s="5" t="s">
        <v>128</v>
      </c>
      <c r="C153" s="5" t="s">
        <v>129</v>
      </c>
      <c r="D153" s="5" t="s">
        <v>130</v>
      </c>
      <c r="E153" s="1" t="s">
        <v>18</v>
      </c>
      <c r="F153" s="1" t="s">
        <v>132</v>
      </c>
      <c r="G153" s="1" t="s">
        <v>50</v>
      </c>
      <c r="H153" s="1" t="s">
        <v>15</v>
      </c>
      <c r="I153" s="21">
        <v>15787.1</v>
      </c>
      <c r="J153" s="2" t="s">
        <v>131</v>
      </c>
      <c r="K153" s="2">
        <f>I153/180*26</f>
        <v>2280.358888888889</v>
      </c>
      <c r="L153" s="38" t="s">
        <v>17</v>
      </c>
      <c r="M153" s="5" t="s">
        <v>815</v>
      </c>
      <c r="N153" s="5" t="s">
        <v>436</v>
      </c>
    </row>
    <row r="154" spans="1:14" ht="90">
      <c r="A154" s="4" t="s">
        <v>338</v>
      </c>
      <c r="B154" s="5" t="s">
        <v>134</v>
      </c>
      <c r="C154" s="5" t="s">
        <v>135</v>
      </c>
      <c r="D154" s="5" t="s">
        <v>136</v>
      </c>
      <c r="E154" s="3" t="s">
        <v>339</v>
      </c>
      <c r="F154" s="1" t="s">
        <v>370</v>
      </c>
      <c r="G154" s="1" t="s">
        <v>387</v>
      </c>
      <c r="H154" s="1" t="s">
        <v>386</v>
      </c>
      <c r="I154" s="21">
        <v>52218.5</v>
      </c>
      <c r="J154" s="1" t="s">
        <v>137</v>
      </c>
      <c r="K154" s="2">
        <f>I154/12/40*20</f>
        <v>2175.7708333333335</v>
      </c>
      <c r="L154" s="38" t="s">
        <v>17</v>
      </c>
      <c r="M154" s="5" t="s">
        <v>437</v>
      </c>
      <c r="N154" s="5" t="s">
        <v>435</v>
      </c>
    </row>
    <row r="155" spans="1:14" ht="33.75">
      <c r="A155" s="4" t="s">
        <v>468</v>
      </c>
      <c r="B155" s="5" t="s">
        <v>134</v>
      </c>
      <c r="C155" s="5" t="s">
        <v>359</v>
      </c>
      <c r="D155" s="5" t="s">
        <v>360</v>
      </c>
      <c r="E155" s="1" t="s">
        <v>18</v>
      </c>
      <c r="F155" s="1" t="s">
        <v>370</v>
      </c>
      <c r="G155" s="1" t="s">
        <v>469</v>
      </c>
      <c r="H155" s="1" t="s">
        <v>361</v>
      </c>
      <c r="I155" s="21">
        <v>51489.8</v>
      </c>
      <c r="J155" s="1" t="s">
        <v>137</v>
      </c>
      <c r="K155" s="2">
        <f>I155/12/40*20</f>
        <v>2145.4083333333333</v>
      </c>
      <c r="L155" s="38" t="s">
        <v>17</v>
      </c>
      <c r="M155" s="5" t="s">
        <v>438</v>
      </c>
      <c r="N155" s="5" t="s">
        <v>435</v>
      </c>
    </row>
    <row r="156" spans="1:14" ht="112.5">
      <c r="A156" s="4" t="s">
        <v>331</v>
      </c>
      <c r="B156" s="5" t="s">
        <v>332</v>
      </c>
      <c r="C156" s="5" t="s">
        <v>333</v>
      </c>
      <c r="D156" s="5" t="s">
        <v>334</v>
      </c>
      <c r="E156" s="3" t="s">
        <v>27</v>
      </c>
      <c r="F156" s="1" t="s">
        <v>335</v>
      </c>
      <c r="G156" s="1" t="s">
        <v>336</v>
      </c>
      <c r="H156" s="1" t="s">
        <v>86</v>
      </c>
      <c r="I156" s="21">
        <v>645919</v>
      </c>
      <c r="J156" s="1" t="s">
        <v>453</v>
      </c>
      <c r="K156" s="2">
        <f>I156/1.2/20*16.8</f>
        <v>452143.30000000005</v>
      </c>
      <c r="L156" s="38" t="s">
        <v>17</v>
      </c>
      <c r="M156" s="5" t="s">
        <v>470</v>
      </c>
      <c r="N156" s="5" t="s">
        <v>439</v>
      </c>
    </row>
    <row r="157" spans="1:14" ht="67.5">
      <c r="A157" s="66" t="s">
        <v>597</v>
      </c>
      <c r="B157" s="61" t="s">
        <v>598</v>
      </c>
      <c r="C157" s="61" t="s">
        <v>599</v>
      </c>
      <c r="D157" s="61" t="s">
        <v>600</v>
      </c>
      <c r="E157" s="67" t="s">
        <v>66</v>
      </c>
      <c r="F157" s="67" t="s">
        <v>601</v>
      </c>
      <c r="G157" s="1" t="s">
        <v>910</v>
      </c>
      <c r="H157" s="1" t="s">
        <v>911</v>
      </c>
      <c r="I157" s="21">
        <v>132649.6</v>
      </c>
      <c r="J157" s="59" t="s">
        <v>483</v>
      </c>
      <c r="K157" s="21">
        <f>(I157/300)*10</f>
        <v>4421.653333333334</v>
      </c>
      <c r="L157" s="70" t="s">
        <v>17</v>
      </c>
      <c r="M157" s="61" t="s">
        <v>438</v>
      </c>
      <c r="N157" s="61" t="s">
        <v>435</v>
      </c>
    </row>
    <row r="158" spans="1:14" ht="22.5">
      <c r="A158" s="66" t="s">
        <v>602</v>
      </c>
      <c r="B158" s="61" t="s">
        <v>603</v>
      </c>
      <c r="C158" s="61" t="s">
        <v>604</v>
      </c>
      <c r="D158" s="61" t="s">
        <v>605</v>
      </c>
      <c r="E158" s="67" t="s">
        <v>55</v>
      </c>
      <c r="F158" s="67" t="s">
        <v>606</v>
      </c>
      <c r="G158" s="67" t="s">
        <v>105</v>
      </c>
      <c r="H158" s="67" t="s">
        <v>15</v>
      </c>
      <c r="I158" s="119">
        <v>88817.6</v>
      </c>
      <c r="J158" s="70" t="s">
        <v>607</v>
      </c>
      <c r="K158" s="71">
        <f>I158/28/0.5*0.5</f>
        <v>3172.057142857143</v>
      </c>
      <c r="L158" s="70" t="s">
        <v>17</v>
      </c>
      <c r="M158" s="61" t="s">
        <v>438</v>
      </c>
      <c r="N158" s="61" t="s">
        <v>435</v>
      </c>
    </row>
    <row r="159" spans="1:14" ht="33.75">
      <c r="A159" s="4" t="s">
        <v>912</v>
      </c>
      <c r="B159" s="5" t="s">
        <v>603</v>
      </c>
      <c r="C159" s="89" t="s">
        <v>604</v>
      </c>
      <c r="D159" s="89" t="s">
        <v>913</v>
      </c>
      <c r="E159" s="94" t="s">
        <v>55</v>
      </c>
      <c r="F159" s="94" t="s">
        <v>914</v>
      </c>
      <c r="G159" s="1" t="s">
        <v>915</v>
      </c>
      <c r="H159" s="1" t="s">
        <v>916</v>
      </c>
      <c r="I159" s="119">
        <v>88817.6</v>
      </c>
      <c r="J159" s="120" t="s">
        <v>607</v>
      </c>
      <c r="K159" s="71">
        <f>I159/28/0.5*0.5</f>
        <v>3172.057142857143</v>
      </c>
      <c r="L159" s="59" t="s">
        <v>17</v>
      </c>
      <c r="M159" s="5" t="s">
        <v>438</v>
      </c>
      <c r="N159" s="5" t="s">
        <v>435</v>
      </c>
    </row>
    <row r="160" spans="1:14" ht="22.5">
      <c r="A160" s="5">
        <v>1014077</v>
      </c>
      <c r="B160" s="5" t="s">
        <v>603</v>
      </c>
      <c r="C160" s="89" t="s">
        <v>604</v>
      </c>
      <c r="D160" s="89" t="s">
        <v>917</v>
      </c>
      <c r="E160" s="1" t="s">
        <v>53</v>
      </c>
      <c r="F160" s="94" t="s">
        <v>606</v>
      </c>
      <c r="G160" s="1" t="s">
        <v>42</v>
      </c>
      <c r="H160" s="1" t="s">
        <v>29</v>
      </c>
      <c r="I160" s="119">
        <v>88817.6</v>
      </c>
      <c r="J160" s="120" t="s">
        <v>607</v>
      </c>
      <c r="K160" s="71">
        <f>I160/28/0.5*0.5</f>
        <v>3172.057142857143</v>
      </c>
      <c r="L160" s="59" t="s">
        <v>17</v>
      </c>
      <c r="M160" s="5" t="s">
        <v>438</v>
      </c>
      <c r="N160" s="5" t="s">
        <v>435</v>
      </c>
    </row>
    <row r="161" spans="1:14" ht="45">
      <c r="A161" s="5">
        <v>1014114</v>
      </c>
      <c r="B161" s="5" t="s">
        <v>603</v>
      </c>
      <c r="C161" s="5" t="s">
        <v>604</v>
      </c>
      <c r="D161" s="5" t="s">
        <v>918</v>
      </c>
      <c r="E161" s="1" t="s">
        <v>55</v>
      </c>
      <c r="F161" s="1" t="s">
        <v>606</v>
      </c>
      <c r="G161" s="1" t="s">
        <v>919</v>
      </c>
      <c r="H161" s="1" t="s">
        <v>920</v>
      </c>
      <c r="I161" s="119">
        <v>88817.6</v>
      </c>
      <c r="J161" s="2" t="s">
        <v>921</v>
      </c>
      <c r="K161" s="71">
        <f>I161/28/0.5*0.5</f>
        <v>3172.057142857143</v>
      </c>
      <c r="L161" s="59" t="s">
        <v>17</v>
      </c>
      <c r="M161" s="5" t="s">
        <v>438</v>
      </c>
      <c r="N161" s="5" t="s">
        <v>435</v>
      </c>
    </row>
    <row r="162" spans="1:14" ht="157.5">
      <c r="A162" s="13" t="s">
        <v>477</v>
      </c>
      <c r="B162" s="14" t="s">
        <v>478</v>
      </c>
      <c r="C162" s="15" t="s">
        <v>479</v>
      </c>
      <c r="D162" s="15" t="s">
        <v>480</v>
      </c>
      <c r="E162" s="16" t="s">
        <v>53</v>
      </c>
      <c r="F162" s="16" t="s">
        <v>481</v>
      </c>
      <c r="G162" s="16" t="s">
        <v>482</v>
      </c>
      <c r="H162" s="16" t="s">
        <v>24</v>
      </c>
      <c r="I162" s="95">
        <v>73014.4</v>
      </c>
      <c r="J162" s="96" t="s">
        <v>483</v>
      </c>
      <c r="K162" s="95">
        <f>I162/56/5*10</f>
        <v>2607.657142857143</v>
      </c>
      <c r="L162" s="2" t="s">
        <v>17</v>
      </c>
      <c r="M162" s="97" t="s">
        <v>673</v>
      </c>
      <c r="N162" s="65" t="s">
        <v>436</v>
      </c>
    </row>
    <row r="163" spans="1:14" ht="33.75">
      <c r="A163" s="66">
        <v>1014003</v>
      </c>
      <c r="B163" s="61" t="s">
        <v>608</v>
      </c>
      <c r="C163" s="61" t="s">
        <v>609</v>
      </c>
      <c r="D163" s="61" t="s">
        <v>610</v>
      </c>
      <c r="E163" s="67" t="s">
        <v>53</v>
      </c>
      <c r="F163" s="67" t="s">
        <v>611</v>
      </c>
      <c r="G163" s="1" t="s">
        <v>1043</v>
      </c>
      <c r="H163" s="67" t="s">
        <v>60</v>
      </c>
      <c r="I163" s="21">
        <v>65935</v>
      </c>
      <c r="J163" s="59" t="s">
        <v>612</v>
      </c>
      <c r="K163" s="21">
        <f>(I163/392)*14</f>
        <v>2354.821428571429</v>
      </c>
      <c r="L163" s="70" t="s">
        <v>17</v>
      </c>
      <c r="M163" s="61" t="s">
        <v>438</v>
      </c>
      <c r="N163" s="61" t="s">
        <v>435</v>
      </c>
    </row>
    <row r="164" spans="1:14" ht="90">
      <c r="A164" s="44" t="s">
        <v>377</v>
      </c>
      <c r="B164" s="45" t="s">
        <v>378</v>
      </c>
      <c r="C164" s="45" t="s">
        <v>379</v>
      </c>
      <c r="D164" s="46" t="s">
        <v>380</v>
      </c>
      <c r="E164" s="47" t="s">
        <v>59</v>
      </c>
      <c r="F164" s="47" t="s">
        <v>381</v>
      </c>
      <c r="G164" s="47" t="s">
        <v>297</v>
      </c>
      <c r="H164" s="47" t="s">
        <v>54</v>
      </c>
      <c r="I164" s="21">
        <v>162121.8</v>
      </c>
      <c r="J164" s="49" t="s">
        <v>17</v>
      </c>
      <c r="K164" s="48" t="s">
        <v>17</v>
      </c>
      <c r="L164" s="38" t="s">
        <v>17</v>
      </c>
      <c r="M164" s="5" t="s">
        <v>456</v>
      </c>
      <c r="N164" s="5" t="s">
        <v>461</v>
      </c>
    </row>
    <row r="165" spans="1:14" ht="109.5" customHeight="1">
      <c r="A165" s="4" t="s">
        <v>1044</v>
      </c>
      <c r="B165" s="148" t="s">
        <v>378</v>
      </c>
      <c r="C165" s="115" t="s">
        <v>379</v>
      </c>
      <c r="D165" s="5" t="s">
        <v>380</v>
      </c>
      <c r="E165" s="1" t="s">
        <v>18</v>
      </c>
      <c r="F165" s="1" t="s">
        <v>1045</v>
      </c>
      <c r="G165" s="1" t="s">
        <v>903</v>
      </c>
      <c r="H165" s="1" t="s">
        <v>19</v>
      </c>
      <c r="I165" s="2">
        <v>34580.2</v>
      </c>
      <c r="J165" s="149" t="s">
        <v>1046</v>
      </c>
      <c r="K165" s="150">
        <v>1729.01</v>
      </c>
      <c r="L165" s="112" t="s">
        <v>17</v>
      </c>
      <c r="M165" s="5" t="s">
        <v>1047</v>
      </c>
      <c r="N165" s="5" t="s">
        <v>1048</v>
      </c>
    </row>
    <row r="166" spans="1:14" ht="109.5" customHeight="1">
      <c r="A166" s="4" t="s">
        <v>1049</v>
      </c>
      <c r="B166" s="148" t="s">
        <v>378</v>
      </c>
      <c r="C166" s="115" t="s">
        <v>379</v>
      </c>
      <c r="D166" s="5" t="s">
        <v>380</v>
      </c>
      <c r="E166" s="1" t="s">
        <v>18</v>
      </c>
      <c r="F166" s="1" t="s">
        <v>1050</v>
      </c>
      <c r="G166" s="1" t="s">
        <v>903</v>
      </c>
      <c r="H166" s="1" t="s">
        <v>19</v>
      </c>
      <c r="I166" s="2">
        <v>69160.3</v>
      </c>
      <c r="J166" s="149" t="s">
        <v>1046</v>
      </c>
      <c r="K166" s="150">
        <v>1729.01</v>
      </c>
      <c r="L166" s="112" t="s">
        <v>17</v>
      </c>
      <c r="M166" s="5" t="s">
        <v>1047</v>
      </c>
      <c r="N166" s="5" t="s">
        <v>1048</v>
      </c>
    </row>
    <row r="167" spans="1:14" ht="109.5" customHeight="1">
      <c r="A167" s="4" t="s">
        <v>1051</v>
      </c>
      <c r="B167" s="148" t="s">
        <v>378</v>
      </c>
      <c r="C167" s="115" t="s">
        <v>379</v>
      </c>
      <c r="D167" s="5" t="s">
        <v>380</v>
      </c>
      <c r="E167" s="1" t="s">
        <v>548</v>
      </c>
      <c r="F167" s="1" t="s">
        <v>1052</v>
      </c>
      <c r="G167" s="1" t="s">
        <v>903</v>
      </c>
      <c r="H167" s="1" t="s">
        <v>19</v>
      </c>
      <c r="I167" s="2">
        <v>34580.2</v>
      </c>
      <c r="J167" s="149" t="s">
        <v>1046</v>
      </c>
      <c r="K167" s="150">
        <v>1729.01</v>
      </c>
      <c r="L167" s="112" t="s">
        <v>17</v>
      </c>
      <c r="M167" s="5" t="s">
        <v>1047</v>
      </c>
      <c r="N167" s="5" t="s">
        <v>1048</v>
      </c>
    </row>
    <row r="168" spans="1:14" ht="109.5" customHeight="1">
      <c r="A168" s="4" t="s">
        <v>1053</v>
      </c>
      <c r="B168" s="148" t="s">
        <v>378</v>
      </c>
      <c r="C168" s="115" t="s">
        <v>379</v>
      </c>
      <c r="D168" s="5" t="s">
        <v>380</v>
      </c>
      <c r="E168" s="1" t="s">
        <v>548</v>
      </c>
      <c r="F168" s="1" t="s">
        <v>1054</v>
      </c>
      <c r="G168" s="1" t="s">
        <v>903</v>
      </c>
      <c r="H168" s="1" t="s">
        <v>19</v>
      </c>
      <c r="I168" s="2">
        <v>69160.3</v>
      </c>
      <c r="J168" s="149" t="s">
        <v>1046</v>
      </c>
      <c r="K168" s="150">
        <v>1729.01</v>
      </c>
      <c r="L168" s="112" t="s">
        <v>17</v>
      </c>
      <c r="M168" s="5" t="s">
        <v>1047</v>
      </c>
      <c r="N168" s="5" t="s">
        <v>1055</v>
      </c>
    </row>
    <row r="169" spans="1:14" ht="22.5">
      <c r="A169" s="66" t="s">
        <v>613</v>
      </c>
      <c r="B169" s="61" t="s">
        <v>614</v>
      </c>
      <c r="C169" s="61" t="s">
        <v>615</v>
      </c>
      <c r="D169" s="61" t="s">
        <v>616</v>
      </c>
      <c r="E169" s="67" t="s">
        <v>66</v>
      </c>
      <c r="F169" s="67" t="s">
        <v>617</v>
      </c>
      <c r="G169" s="67" t="s">
        <v>1056</v>
      </c>
      <c r="H169" s="67" t="s">
        <v>1057</v>
      </c>
      <c r="I169" s="71">
        <f>ROUND(638455.43,1)</f>
        <v>638455.4</v>
      </c>
      <c r="J169" s="70" t="s">
        <v>618</v>
      </c>
      <c r="K169" s="71">
        <f>(I169/12)*0.13</f>
        <v>6916.600166666667</v>
      </c>
      <c r="L169" s="70" t="s">
        <v>17</v>
      </c>
      <c r="M169" s="61" t="s">
        <v>438</v>
      </c>
      <c r="N169" s="61" t="s">
        <v>435</v>
      </c>
    </row>
    <row r="170" spans="1:14" ht="56.25">
      <c r="A170" s="66" t="s">
        <v>619</v>
      </c>
      <c r="B170" s="61" t="s">
        <v>620</v>
      </c>
      <c r="C170" s="61" t="s">
        <v>621</v>
      </c>
      <c r="D170" s="61" t="s">
        <v>622</v>
      </c>
      <c r="E170" s="67" t="s">
        <v>66</v>
      </c>
      <c r="F170" s="67" t="s">
        <v>623</v>
      </c>
      <c r="G170" s="67" t="s">
        <v>624</v>
      </c>
      <c r="H170" s="67" t="s">
        <v>29</v>
      </c>
      <c r="I170" s="21">
        <f>ROUND(547650.32,1)</f>
        <v>547650.3</v>
      </c>
      <c r="J170" s="59" t="s">
        <v>625</v>
      </c>
      <c r="K170" s="21">
        <f>(I170/300)*3.29</f>
        <v>6005.898290000001</v>
      </c>
      <c r="L170" s="70" t="s">
        <v>17</v>
      </c>
      <c r="M170" s="61" t="s">
        <v>438</v>
      </c>
      <c r="N170" s="61" t="s">
        <v>435</v>
      </c>
    </row>
    <row r="171" spans="1:14" ht="56.25">
      <c r="A171" s="13" t="s">
        <v>485</v>
      </c>
      <c r="B171" s="14" t="s">
        <v>486</v>
      </c>
      <c r="C171" s="15" t="s">
        <v>487</v>
      </c>
      <c r="D171" s="15" t="s">
        <v>488</v>
      </c>
      <c r="E171" s="16" t="s">
        <v>53</v>
      </c>
      <c r="F171" s="16" t="s">
        <v>489</v>
      </c>
      <c r="G171" s="16" t="s">
        <v>490</v>
      </c>
      <c r="H171" s="16" t="s">
        <v>491</v>
      </c>
      <c r="I171" s="21">
        <v>85551.5</v>
      </c>
      <c r="J171" s="40" t="s">
        <v>17</v>
      </c>
      <c r="K171" s="40" t="s">
        <v>17</v>
      </c>
      <c r="L171" s="40" t="s">
        <v>17</v>
      </c>
      <c r="M171" s="33" t="s">
        <v>484</v>
      </c>
      <c r="N171" s="65" t="s">
        <v>436</v>
      </c>
    </row>
    <row r="172" spans="1:14" ht="33.75">
      <c r="A172" s="66" t="s">
        <v>626</v>
      </c>
      <c r="B172" s="61" t="s">
        <v>627</v>
      </c>
      <c r="C172" s="61" t="s">
        <v>628</v>
      </c>
      <c r="D172" s="61" t="s">
        <v>629</v>
      </c>
      <c r="E172" s="67" t="s">
        <v>242</v>
      </c>
      <c r="F172" s="67" t="s">
        <v>630</v>
      </c>
      <c r="G172" s="67" t="s">
        <v>631</v>
      </c>
      <c r="H172" s="67" t="s">
        <v>632</v>
      </c>
      <c r="I172" s="71">
        <f>ROUND(176511.8,1)</f>
        <v>176511.8</v>
      </c>
      <c r="J172" s="70" t="s">
        <v>633</v>
      </c>
      <c r="K172" s="71">
        <f>(I172/10)*0.34</f>
        <v>6001.4012</v>
      </c>
      <c r="L172" s="70" t="s">
        <v>17</v>
      </c>
      <c r="M172" s="61" t="s">
        <v>438</v>
      </c>
      <c r="N172" s="61" t="s">
        <v>435</v>
      </c>
    </row>
    <row r="173" spans="1:14" ht="33.75">
      <c r="A173" s="4" t="s">
        <v>769</v>
      </c>
      <c r="B173" s="5" t="s">
        <v>770</v>
      </c>
      <c r="C173" s="5" t="s">
        <v>771</v>
      </c>
      <c r="D173" s="5" t="s">
        <v>772</v>
      </c>
      <c r="E173" s="1" t="s">
        <v>53</v>
      </c>
      <c r="F173" s="1" t="s">
        <v>773</v>
      </c>
      <c r="G173" s="1" t="s">
        <v>774</v>
      </c>
      <c r="H173" s="1" t="s">
        <v>491</v>
      </c>
      <c r="I173" s="21">
        <v>11230</v>
      </c>
      <c r="J173" s="59" t="s">
        <v>17</v>
      </c>
      <c r="K173" s="21" t="s">
        <v>17</v>
      </c>
      <c r="L173" s="59" t="s">
        <v>17</v>
      </c>
      <c r="M173" s="5" t="s">
        <v>812</v>
      </c>
      <c r="N173" s="111" t="s">
        <v>435</v>
      </c>
    </row>
    <row r="174" spans="1:14" ht="33.75">
      <c r="A174" s="4" t="s">
        <v>775</v>
      </c>
      <c r="B174" s="5" t="s">
        <v>770</v>
      </c>
      <c r="C174" s="5" t="s">
        <v>771</v>
      </c>
      <c r="D174" s="5" t="s">
        <v>772</v>
      </c>
      <c r="E174" s="1" t="s">
        <v>53</v>
      </c>
      <c r="F174" s="1" t="s">
        <v>776</v>
      </c>
      <c r="G174" s="1" t="s">
        <v>774</v>
      </c>
      <c r="H174" s="1" t="s">
        <v>491</v>
      </c>
      <c r="I174" s="21">
        <v>112299.9</v>
      </c>
      <c r="J174" s="59" t="s">
        <v>17</v>
      </c>
      <c r="K174" s="21" t="s">
        <v>17</v>
      </c>
      <c r="L174" s="59" t="s">
        <v>17</v>
      </c>
      <c r="M174" s="5" t="s">
        <v>812</v>
      </c>
      <c r="N174" s="111" t="s">
        <v>435</v>
      </c>
    </row>
    <row r="175" spans="1:14" ht="33.75">
      <c r="A175" s="4" t="s">
        <v>777</v>
      </c>
      <c r="B175" s="5" t="s">
        <v>770</v>
      </c>
      <c r="C175" s="5" t="s">
        <v>771</v>
      </c>
      <c r="D175" s="5" t="s">
        <v>772</v>
      </c>
      <c r="E175" s="1" t="s">
        <v>53</v>
      </c>
      <c r="F175" s="1" t="s">
        <v>778</v>
      </c>
      <c r="G175" s="1" t="s">
        <v>774</v>
      </c>
      <c r="H175" s="1" t="s">
        <v>491</v>
      </c>
      <c r="I175" s="21">
        <v>109491.5</v>
      </c>
      <c r="J175" s="59" t="s">
        <v>17</v>
      </c>
      <c r="K175" s="21" t="s">
        <v>17</v>
      </c>
      <c r="L175" s="59" t="s">
        <v>17</v>
      </c>
      <c r="M175" s="5" t="s">
        <v>812</v>
      </c>
      <c r="N175" s="111" t="s">
        <v>435</v>
      </c>
    </row>
    <row r="176" spans="1:14" ht="243.75" customHeight="1">
      <c r="A176" s="88">
        <v>1014018</v>
      </c>
      <c r="B176" s="89" t="s">
        <v>1058</v>
      </c>
      <c r="C176" s="89" t="s">
        <v>1059</v>
      </c>
      <c r="D176" s="89" t="s">
        <v>1060</v>
      </c>
      <c r="E176" s="94" t="s">
        <v>1061</v>
      </c>
      <c r="F176" s="94" t="s">
        <v>1062</v>
      </c>
      <c r="G176" s="94" t="s">
        <v>1063</v>
      </c>
      <c r="H176" s="94" t="s">
        <v>1064</v>
      </c>
      <c r="I176" s="151">
        <v>65718.6</v>
      </c>
      <c r="J176" s="94" t="s">
        <v>1065</v>
      </c>
      <c r="K176" s="2">
        <f>+(I176/28)/15*15</f>
        <v>2347.092857142857</v>
      </c>
      <c r="L176" s="94" t="s">
        <v>17</v>
      </c>
      <c r="M176" s="124" t="s">
        <v>1066</v>
      </c>
      <c r="N176" s="5" t="s">
        <v>435</v>
      </c>
    </row>
    <row r="177" spans="1:14" ht="67.5">
      <c r="A177" s="51">
        <v>1014211</v>
      </c>
      <c r="B177" s="51" t="s">
        <v>1067</v>
      </c>
      <c r="C177" s="55" t="s">
        <v>1068</v>
      </c>
      <c r="D177" s="56" t="s">
        <v>1069</v>
      </c>
      <c r="E177" s="1" t="s">
        <v>53</v>
      </c>
      <c r="F177" s="1" t="s">
        <v>1070</v>
      </c>
      <c r="G177" s="1" t="s">
        <v>1071</v>
      </c>
      <c r="H177" s="1" t="s">
        <v>56</v>
      </c>
      <c r="I177" s="2">
        <v>69507.2</v>
      </c>
      <c r="J177" s="2" t="s">
        <v>137</v>
      </c>
      <c r="K177" s="2">
        <f>I177/83*20</f>
        <v>16748.722891566264</v>
      </c>
      <c r="L177" s="54" t="s">
        <v>17</v>
      </c>
      <c r="M177" s="5" t="s">
        <v>437</v>
      </c>
      <c r="N177" s="5" t="s">
        <v>435</v>
      </c>
    </row>
    <row r="178" spans="1:14" ht="33.75">
      <c r="A178" s="51">
        <v>1014210</v>
      </c>
      <c r="B178" s="51" t="s">
        <v>1067</v>
      </c>
      <c r="C178" s="55" t="s">
        <v>1068</v>
      </c>
      <c r="D178" s="56" t="s">
        <v>1069</v>
      </c>
      <c r="E178" s="1" t="s">
        <v>53</v>
      </c>
      <c r="F178" s="1" t="s">
        <v>1118</v>
      </c>
      <c r="G178" s="1" t="s">
        <v>1071</v>
      </c>
      <c r="H178" s="1" t="s">
        <v>56</v>
      </c>
      <c r="I178" s="2">
        <v>127714.4</v>
      </c>
      <c r="J178" s="2" t="s">
        <v>137</v>
      </c>
      <c r="K178" s="2">
        <f>+(I178/28)/20*20</f>
        <v>4561.228571428571</v>
      </c>
      <c r="L178" s="54" t="s">
        <v>17</v>
      </c>
      <c r="M178" s="5" t="s">
        <v>437</v>
      </c>
      <c r="N178" s="5" t="s">
        <v>435</v>
      </c>
    </row>
    <row r="179" spans="1:14" ht="67.5">
      <c r="A179" s="152" t="s">
        <v>1072</v>
      </c>
      <c r="B179" s="152" t="s">
        <v>1073</v>
      </c>
      <c r="C179" s="152" t="s">
        <v>1074</v>
      </c>
      <c r="D179" s="153" t="s">
        <v>1075</v>
      </c>
      <c r="E179" s="154" t="s">
        <v>548</v>
      </c>
      <c r="F179" s="154" t="s">
        <v>1076</v>
      </c>
      <c r="G179" s="154" t="s">
        <v>1077</v>
      </c>
      <c r="H179" s="154" t="s">
        <v>15</v>
      </c>
      <c r="I179" s="21">
        <v>143194.5</v>
      </c>
      <c r="J179" s="130" t="s">
        <v>17</v>
      </c>
      <c r="K179" s="130" t="s">
        <v>17</v>
      </c>
      <c r="L179" s="130" t="s">
        <v>17</v>
      </c>
      <c r="M179" s="131" t="s">
        <v>437</v>
      </c>
      <c r="N179" s="131" t="s">
        <v>1078</v>
      </c>
    </row>
    <row r="180" spans="1:14" ht="409.5">
      <c r="A180" s="4" t="s">
        <v>227</v>
      </c>
      <c r="B180" s="5" t="s">
        <v>138</v>
      </c>
      <c r="C180" s="5" t="s">
        <v>139</v>
      </c>
      <c r="D180" s="5" t="s">
        <v>140</v>
      </c>
      <c r="E180" s="1" t="s">
        <v>124</v>
      </c>
      <c r="F180" s="1" t="s">
        <v>337</v>
      </c>
      <c r="G180" s="1" t="s">
        <v>922</v>
      </c>
      <c r="H180" s="1" t="s">
        <v>923</v>
      </c>
      <c r="I180" s="21">
        <v>27874.4</v>
      </c>
      <c r="J180" s="2" t="s">
        <v>141</v>
      </c>
      <c r="K180" s="2">
        <f>I180/4/25*7</f>
        <v>1951.208</v>
      </c>
      <c r="L180" s="38" t="s">
        <v>17</v>
      </c>
      <c r="M180" s="5" t="s">
        <v>440</v>
      </c>
      <c r="N180" s="5" t="s">
        <v>441</v>
      </c>
    </row>
    <row r="181" spans="1:14" ht="409.5">
      <c r="A181" s="4" t="s">
        <v>228</v>
      </c>
      <c r="B181" s="5" t="s">
        <v>138</v>
      </c>
      <c r="C181" s="5" t="s">
        <v>139</v>
      </c>
      <c r="D181" s="5" t="s">
        <v>140</v>
      </c>
      <c r="E181" s="3" t="s">
        <v>18</v>
      </c>
      <c r="F181" s="3" t="s">
        <v>142</v>
      </c>
      <c r="G181" s="1" t="s">
        <v>787</v>
      </c>
      <c r="H181" s="2" t="s">
        <v>788</v>
      </c>
      <c r="I181" s="2">
        <v>55624.1</v>
      </c>
      <c r="J181" s="2" t="s">
        <v>141</v>
      </c>
      <c r="K181" s="2">
        <f>I181/4/50*7</f>
        <v>1946.8435</v>
      </c>
      <c r="L181" s="38" t="s">
        <v>17</v>
      </c>
      <c r="M181" s="5" t="s">
        <v>440</v>
      </c>
      <c r="N181" s="5" t="s">
        <v>441</v>
      </c>
    </row>
    <row r="182" spans="1:14" ht="409.5">
      <c r="A182" s="4" t="s">
        <v>229</v>
      </c>
      <c r="B182" s="5" t="s">
        <v>138</v>
      </c>
      <c r="C182" s="5" t="s">
        <v>139</v>
      </c>
      <c r="D182" s="5" t="s">
        <v>140</v>
      </c>
      <c r="E182" s="1" t="s">
        <v>133</v>
      </c>
      <c r="F182" s="1" t="s">
        <v>143</v>
      </c>
      <c r="G182" s="1" t="s">
        <v>922</v>
      </c>
      <c r="H182" s="1" t="s">
        <v>923</v>
      </c>
      <c r="I182" s="2">
        <v>55624.1</v>
      </c>
      <c r="J182" s="2" t="s">
        <v>141</v>
      </c>
      <c r="K182" s="2">
        <f>I182/4/50*7</f>
        <v>1946.8435</v>
      </c>
      <c r="L182" s="38" t="s">
        <v>17</v>
      </c>
      <c r="M182" s="5" t="s">
        <v>440</v>
      </c>
      <c r="N182" s="5" t="s">
        <v>441</v>
      </c>
    </row>
    <row r="183" spans="1:14" ht="409.5">
      <c r="A183" s="114" t="s">
        <v>924</v>
      </c>
      <c r="B183" s="5" t="s">
        <v>138</v>
      </c>
      <c r="C183" s="115" t="s">
        <v>139</v>
      </c>
      <c r="D183" s="5" t="s">
        <v>925</v>
      </c>
      <c r="E183" s="1" t="s">
        <v>18</v>
      </c>
      <c r="F183" s="1" t="s">
        <v>926</v>
      </c>
      <c r="G183" s="1" t="s">
        <v>927</v>
      </c>
      <c r="H183" s="1" t="s">
        <v>19</v>
      </c>
      <c r="I183" s="2">
        <v>22893.3</v>
      </c>
      <c r="J183" s="121" t="s">
        <v>141</v>
      </c>
      <c r="K183" s="2">
        <f>(I183/4)/25*7</f>
        <v>1602.531</v>
      </c>
      <c r="L183" s="38" t="s">
        <v>17</v>
      </c>
      <c r="M183" s="5" t="s">
        <v>440</v>
      </c>
      <c r="N183" s="5" t="s">
        <v>441</v>
      </c>
    </row>
    <row r="184" spans="1:14" ht="409.5">
      <c r="A184" s="114" t="s">
        <v>928</v>
      </c>
      <c r="B184" s="5" t="s">
        <v>138</v>
      </c>
      <c r="C184" s="115" t="s">
        <v>139</v>
      </c>
      <c r="D184" s="5" t="s">
        <v>925</v>
      </c>
      <c r="E184" s="1" t="s">
        <v>548</v>
      </c>
      <c r="F184" s="1" t="s">
        <v>929</v>
      </c>
      <c r="G184" s="1" t="s">
        <v>927</v>
      </c>
      <c r="H184" s="1" t="s">
        <v>19</v>
      </c>
      <c r="I184" s="2">
        <v>45745.4</v>
      </c>
      <c r="J184" s="121" t="s">
        <v>141</v>
      </c>
      <c r="K184" s="2">
        <f>(I184/4)/50*7</f>
        <v>1601.089</v>
      </c>
      <c r="L184" s="38" t="s">
        <v>17</v>
      </c>
      <c r="M184" s="5" t="s">
        <v>440</v>
      </c>
      <c r="N184" s="5" t="s">
        <v>441</v>
      </c>
    </row>
    <row r="185" spans="1:14" ht="303.75">
      <c r="A185" s="4" t="s">
        <v>230</v>
      </c>
      <c r="B185" s="5" t="s">
        <v>144</v>
      </c>
      <c r="C185" s="5" t="s">
        <v>145</v>
      </c>
      <c r="D185" s="5" t="s">
        <v>146</v>
      </c>
      <c r="E185" s="1" t="s">
        <v>59</v>
      </c>
      <c r="F185" s="1" t="s">
        <v>147</v>
      </c>
      <c r="G185" s="1" t="s">
        <v>148</v>
      </c>
      <c r="H185" s="1" t="s">
        <v>40</v>
      </c>
      <c r="I185" s="21">
        <v>40117.3</v>
      </c>
      <c r="J185" s="2" t="s">
        <v>149</v>
      </c>
      <c r="K185" s="2">
        <f>I185/1/100*3.75</f>
        <v>1504.39875</v>
      </c>
      <c r="L185" s="38" t="s">
        <v>17</v>
      </c>
      <c r="M185" s="5" t="s">
        <v>442</v>
      </c>
      <c r="N185" s="5" t="s">
        <v>443</v>
      </c>
    </row>
    <row r="186" spans="1:14" ht="303.75">
      <c r="A186" s="4" t="s">
        <v>245</v>
      </c>
      <c r="B186" s="5" t="s">
        <v>144</v>
      </c>
      <c r="C186" s="5" t="s">
        <v>145</v>
      </c>
      <c r="D186" s="5" t="s">
        <v>246</v>
      </c>
      <c r="E186" s="1" t="s">
        <v>59</v>
      </c>
      <c r="F186" s="1" t="s">
        <v>243</v>
      </c>
      <c r="G186" s="1" t="s">
        <v>247</v>
      </c>
      <c r="H186" s="1" t="s">
        <v>86</v>
      </c>
      <c r="I186" s="21">
        <v>17893.9</v>
      </c>
      <c r="J186" s="2" t="s">
        <v>149</v>
      </c>
      <c r="K186" s="2">
        <f>I186/1/100*3.75</f>
        <v>671.0212500000001</v>
      </c>
      <c r="L186" s="38" t="s">
        <v>17</v>
      </c>
      <c r="M186" s="5" t="s">
        <v>459</v>
      </c>
      <c r="N186" s="5" t="s">
        <v>443</v>
      </c>
    </row>
    <row r="187" spans="1:14" ht="303.75">
      <c r="A187" s="4" t="s">
        <v>248</v>
      </c>
      <c r="B187" s="5" t="s">
        <v>144</v>
      </c>
      <c r="C187" s="5" t="s">
        <v>145</v>
      </c>
      <c r="D187" s="5" t="s">
        <v>249</v>
      </c>
      <c r="E187" s="1" t="s">
        <v>59</v>
      </c>
      <c r="F187" s="1" t="s">
        <v>243</v>
      </c>
      <c r="G187" s="1" t="s">
        <v>704</v>
      </c>
      <c r="H187" s="1" t="s">
        <v>705</v>
      </c>
      <c r="I187" s="21">
        <v>17893.9</v>
      </c>
      <c r="J187" s="2" t="s">
        <v>149</v>
      </c>
      <c r="K187" s="2">
        <f>I187/1/100*3.75</f>
        <v>671.0212500000001</v>
      </c>
      <c r="L187" s="38" t="s">
        <v>17</v>
      </c>
      <c r="M187" s="5" t="s">
        <v>460</v>
      </c>
      <c r="N187" s="5" t="s">
        <v>443</v>
      </c>
    </row>
    <row r="188" spans="1:14" s="25" customFormat="1" ht="405">
      <c r="A188" s="81" t="s">
        <v>547</v>
      </c>
      <c r="B188" s="82" t="s">
        <v>150</v>
      </c>
      <c r="C188" s="82" t="s">
        <v>151</v>
      </c>
      <c r="D188" s="82" t="s">
        <v>152</v>
      </c>
      <c r="E188" s="83" t="s">
        <v>548</v>
      </c>
      <c r="F188" s="76" t="s">
        <v>549</v>
      </c>
      <c r="G188" s="83" t="s">
        <v>550</v>
      </c>
      <c r="H188" s="83" t="s">
        <v>24</v>
      </c>
      <c r="I188" s="98">
        <v>42853.3</v>
      </c>
      <c r="J188" s="99" t="s">
        <v>153</v>
      </c>
      <c r="K188" s="2">
        <f>I188/2/40*2.9</f>
        <v>1553.4321249999998</v>
      </c>
      <c r="L188" s="84" t="s">
        <v>17</v>
      </c>
      <c r="M188" s="61" t="s">
        <v>528</v>
      </c>
      <c r="N188" s="61" t="s">
        <v>444</v>
      </c>
    </row>
    <row r="189" spans="1:14" s="28" customFormat="1" ht="123.75">
      <c r="A189" s="4" t="s">
        <v>930</v>
      </c>
      <c r="B189" s="51" t="s">
        <v>150</v>
      </c>
      <c r="C189" s="92" t="s">
        <v>151</v>
      </c>
      <c r="D189" s="92" t="s">
        <v>152</v>
      </c>
      <c r="E189" s="93" t="s">
        <v>18</v>
      </c>
      <c r="F189" s="93" t="s">
        <v>674</v>
      </c>
      <c r="G189" s="93" t="s">
        <v>550</v>
      </c>
      <c r="H189" s="93" t="s">
        <v>24</v>
      </c>
      <c r="I189" s="21">
        <v>21459</v>
      </c>
      <c r="J189" s="2" t="s">
        <v>153</v>
      </c>
      <c r="K189" s="21">
        <f>I189/2/20*2.9</f>
        <v>1555.7775</v>
      </c>
      <c r="L189" s="59" t="s">
        <v>17</v>
      </c>
      <c r="M189" s="5" t="s">
        <v>675</v>
      </c>
      <c r="N189" s="5" t="s">
        <v>444</v>
      </c>
    </row>
    <row r="190" spans="1:17" s="28" customFormat="1" ht="146.25">
      <c r="A190" s="50" t="s">
        <v>676</v>
      </c>
      <c r="B190" s="51" t="s">
        <v>150</v>
      </c>
      <c r="C190" s="92" t="s">
        <v>151</v>
      </c>
      <c r="D190" s="92" t="s">
        <v>152</v>
      </c>
      <c r="E190" s="93" t="s">
        <v>548</v>
      </c>
      <c r="F190" s="93" t="s">
        <v>677</v>
      </c>
      <c r="G190" s="93" t="s">
        <v>550</v>
      </c>
      <c r="H190" s="93" t="s">
        <v>24</v>
      </c>
      <c r="I190" s="21">
        <v>58039.3</v>
      </c>
      <c r="J190" s="2" t="s">
        <v>153</v>
      </c>
      <c r="K190" s="21">
        <f>I190/80*2.9</f>
        <v>2103.924625</v>
      </c>
      <c r="L190" s="59" t="s">
        <v>17</v>
      </c>
      <c r="M190" s="5" t="s">
        <v>678</v>
      </c>
      <c r="N190" s="5" t="s">
        <v>444</v>
      </c>
      <c r="O190" s="90"/>
      <c r="P190" s="90"/>
      <c r="Q190" s="90"/>
    </row>
    <row r="191" spans="1:17" s="90" customFormat="1" ht="382.5">
      <c r="A191" s="50" t="s">
        <v>679</v>
      </c>
      <c r="B191" s="51" t="s">
        <v>150</v>
      </c>
      <c r="C191" s="5" t="s">
        <v>151</v>
      </c>
      <c r="D191" s="5" t="s">
        <v>680</v>
      </c>
      <c r="E191" s="1" t="s">
        <v>18</v>
      </c>
      <c r="F191" s="93" t="s">
        <v>681</v>
      </c>
      <c r="G191" s="93" t="s">
        <v>682</v>
      </c>
      <c r="H191" s="93" t="s">
        <v>40</v>
      </c>
      <c r="I191" s="21">
        <v>10081.6</v>
      </c>
      <c r="J191" s="59" t="s">
        <v>153</v>
      </c>
      <c r="K191" s="21">
        <f>I191/20*2.9</f>
        <v>1461.832</v>
      </c>
      <c r="L191" s="21" t="s">
        <v>17</v>
      </c>
      <c r="M191" s="5" t="s">
        <v>529</v>
      </c>
      <c r="N191" s="5" t="s">
        <v>444</v>
      </c>
      <c r="O191" s="28"/>
      <c r="P191" s="28"/>
      <c r="Q191" s="28"/>
    </row>
    <row r="192" spans="1:14" s="28" customFormat="1" ht="382.5">
      <c r="A192" s="50" t="s">
        <v>683</v>
      </c>
      <c r="B192" s="51" t="s">
        <v>150</v>
      </c>
      <c r="C192" s="5" t="s">
        <v>151</v>
      </c>
      <c r="D192" s="5" t="s">
        <v>680</v>
      </c>
      <c r="E192" s="1" t="s">
        <v>18</v>
      </c>
      <c r="F192" s="93" t="s">
        <v>239</v>
      </c>
      <c r="G192" s="93" t="s">
        <v>682</v>
      </c>
      <c r="H192" s="93" t="s">
        <v>40</v>
      </c>
      <c r="I192" s="21">
        <v>39419.7</v>
      </c>
      <c r="J192" s="59" t="s">
        <v>153</v>
      </c>
      <c r="K192" s="21">
        <f aca="true" t="shared" si="1" ref="K192:K197">I192/2/40*2.9</f>
        <v>1428.964125</v>
      </c>
      <c r="L192" s="21" t="s">
        <v>17</v>
      </c>
      <c r="M192" s="5" t="s">
        <v>529</v>
      </c>
      <c r="N192" s="5" t="s">
        <v>444</v>
      </c>
    </row>
    <row r="193" spans="1:14" s="28" customFormat="1" ht="382.5">
      <c r="A193" s="50" t="s">
        <v>684</v>
      </c>
      <c r="B193" s="51" t="s">
        <v>150</v>
      </c>
      <c r="C193" s="5" t="s">
        <v>151</v>
      </c>
      <c r="D193" s="5" t="s">
        <v>680</v>
      </c>
      <c r="E193" s="1" t="s">
        <v>548</v>
      </c>
      <c r="F193" s="93" t="s">
        <v>685</v>
      </c>
      <c r="G193" s="93" t="s">
        <v>682</v>
      </c>
      <c r="H193" s="93" t="s">
        <v>40</v>
      </c>
      <c r="I193" s="21">
        <v>39419.7</v>
      </c>
      <c r="J193" s="59" t="s">
        <v>153</v>
      </c>
      <c r="K193" s="21">
        <f t="shared" si="1"/>
        <v>1428.964125</v>
      </c>
      <c r="L193" s="21" t="s">
        <v>17</v>
      </c>
      <c r="M193" s="5" t="s">
        <v>529</v>
      </c>
      <c r="N193" s="5" t="s">
        <v>444</v>
      </c>
    </row>
    <row r="194" spans="1:14" s="28" customFormat="1" ht="382.5">
      <c r="A194" s="88" t="s">
        <v>686</v>
      </c>
      <c r="B194" s="89" t="s">
        <v>150</v>
      </c>
      <c r="C194" s="89" t="s">
        <v>151</v>
      </c>
      <c r="D194" s="5" t="s">
        <v>687</v>
      </c>
      <c r="E194" s="1" t="s">
        <v>18</v>
      </c>
      <c r="F194" s="1" t="s">
        <v>688</v>
      </c>
      <c r="G194" s="1" t="s">
        <v>689</v>
      </c>
      <c r="H194" s="1" t="s">
        <v>19</v>
      </c>
      <c r="I194" s="21">
        <v>39419.7</v>
      </c>
      <c r="J194" s="59" t="s">
        <v>153</v>
      </c>
      <c r="K194" s="21">
        <f t="shared" si="1"/>
        <v>1428.964125</v>
      </c>
      <c r="L194" s="59" t="s">
        <v>17</v>
      </c>
      <c r="M194" s="5" t="s">
        <v>529</v>
      </c>
      <c r="N194" s="5" t="s">
        <v>444</v>
      </c>
    </row>
    <row r="195" spans="1:14" s="28" customFormat="1" ht="382.5">
      <c r="A195" s="88" t="s">
        <v>690</v>
      </c>
      <c r="B195" s="89" t="s">
        <v>150</v>
      </c>
      <c r="C195" s="89" t="s">
        <v>151</v>
      </c>
      <c r="D195" s="5" t="s">
        <v>687</v>
      </c>
      <c r="E195" s="1" t="s">
        <v>548</v>
      </c>
      <c r="F195" s="1" t="s">
        <v>691</v>
      </c>
      <c r="G195" s="1" t="s">
        <v>689</v>
      </c>
      <c r="H195" s="1" t="s">
        <v>19</v>
      </c>
      <c r="I195" s="21">
        <v>39419.7</v>
      </c>
      <c r="J195" s="59" t="s">
        <v>153</v>
      </c>
      <c r="K195" s="21">
        <f t="shared" si="1"/>
        <v>1428.964125</v>
      </c>
      <c r="L195" s="59" t="s">
        <v>17</v>
      </c>
      <c r="M195" s="5" t="s">
        <v>529</v>
      </c>
      <c r="N195" s="5" t="s">
        <v>444</v>
      </c>
    </row>
    <row r="196" spans="1:14" s="28" customFormat="1" ht="382.5">
      <c r="A196" s="88" t="s">
        <v>692</v>
      </c>
      <c r="B196" s="89" t="s">
        <v>150</v>
      </c>
      <c r="C196" s="5" t="s">
        <v>151</v>
      </c>
      <c r="D196" s="5" t="s">
        <v>693</v>
      </c>
      <c r="E196" s="94" t="s">
        <v>548</v>
      </c>
      <c r="F196" s="1" t="s">
        <v>694</v>
      </c>
      <c r="G196" s="1" t="s">
        <v>185</v>
      </c>
      <c r="H196" s="1" t="s">
        <v>19</v>
      </c>
      <c r="I196" s="21">
        <v>39419.7</v>
      </c>
      <c r="J196" s="53" t="s">
        <v>153</v>
      </c>
      <c r="K196" s="21">
        <f t="shared" si="1"/>
        <v>1428.964125</v>
      </c>
      <c r="L196" s="100" t="s">
        <v>17</v>
      </c>
      <c r="M196" s="5" t="s">
        <v>529</v>
      </c>
      <c r="N196" s="5" t="s">
        <v>444</v>
      </c>
    </row>
    <row r="197" spans="1:14" s="28" customFormat="1" ht="382.5">
      <c r="A197" s="88" t="s">
        <v>695</v>
      </c>
      <c r="B197" s="89" t="s">
        <v>150</v>
      </c>
      <c r="C197" s="5" t="s">
        <v>151</v>
      </c>
      <c r="D197" s="5" t="s">
        <v>693</v>
      </c>
      <c r="E197" s="94" t="s">
        <v>18</v>
      </c>
      <c r="F197" s="1" t="s">
        <v>239</v>
      </c>
      <c r="G197" s="1" t="s">
        <v>185</v>
      </c>
      <c r="H197" s="1" t="s">
        <v>19</v>
      </c>
      <c r="I197" s="21">
        <v>39419.7</v>
      </c>
      <c r="J197" s="2" t="s">
        <v>153</v>
      </c>
      <c r="K197" s="21">
        <f t="shared" si="1"/>
        <v>1428.964125</v>
      </c>
      <c r="L197" s="100" t="s">
        <v>17</v>
      </c>
      <c r="M197" s="5" t="s">
        <v>529</v>
      </c>
      <c r="N197" s="5" t="s">
        <v>444</v>
      </c>
    </row>
    <row r="198" spans="1:14" ht="303.75">
      <c r="A198" s="4" t="s">
        <v>231</v>
      </c>
      <c r="B198" s="5" t="s">
        <v>154</v>
      </c>
      <c r="C198" s="5" t="s">
        <v>155</v>
      </c>
      <c r="D198" s="5" t="s">
        <v>156</v>
      </c>
      <c r="E198" s="1" t="s">
        <v>18</v>
      </c>
      <c r="F198" s="1" t="s">
        <v>789</v>
      </c>
      <c r="G198" s="1" t="s">
        <v>148</v>
      </c>
      <c r="H198" s="1" t="s">
        <v>40</v>
      </c>
      <c r="I198" s="95">
        <v>79309.7</v>
      </c>
      <c r="J198" s="96" t="s">
        <v>157</v>
      </c>
      <c r="K198" s="95">
        <f>I198/1/50*1.66</f>
        <v>2633.08204</v>
      </c>
      <c r="L198" s="1" t="s">
        <v>17</v>
      </c>
      <c r="M198" s="97" t="s">
        <v>696</v>
      </c>
      <c r="N198" s="5" t="s">
        <v>435</v>
      </c>
    </row>
    <row r="199" spans="1:14" ht="45">
      <c r="A199" s="50" t="s">
        <v>362</v>
      </c>
      <c r="B199" s="51" t="s">
        <v>154</v>
      </c>
      <c r="C199" s="56" t="s">
        <v>155</v>
      </c>
      <c r="D199" s="56" t="s">
        <v>156</v>
      </c>
      <c r="E199" s="1" t="s">
        <v>18</v>
      </c>
      <c r="F199" s="1" t="s">
        <v>371</v>
      </c>
      <c r="G199" s="1" t="s">
        <v>363</v>
      </c>
      <c r="H199" s="59" t="s">
        <v>40</v>
      </c>
      <c r="I199" s="21">
        <v>128267.5</v>
      </c>
      <c r="J199" s="59" t="s">
        <v>157</v>
      </c>
      <c r="K199" s="21">
        <f>I199/1/100*1.66</f>
        <v>2129.2405</v>
      </c>
      <c r="L199" s="38" t="s">
        <v>17</v>
      </c>
      <c r="M199" s="5" t="s">
        <v>458</v>
      </c>
      <c r="N199" s="5" t="s">
        <v>435</v>
      </c>
    </row>
    <row r="200" spans="1:14" ht="183" customHeight="1">
      <c r="A200" s="4" t="s">
        <v>497</v>
      </c>
      <c r="B200" s="5" t="s">
        <v>498</v>
      </c>
      <c r="C200" s="5" t="s">
        <v>499</v>
      </c>
      <c r="D200" s="5" t="s">
        <v>500</v>
      </c>
      <c r="E200" s="1" t="s">
        <v>18</v>
      </c>
      <c r="F200" s="1" t="s">
        <v>501</v>
      </c>
      <c r="G200" s="1" t="s">
        <v>502</v>
      </c>
      <c r="H200" s="1" t="s">
        <v>503</v>
      </c>
      <c r="I200" s="21">
        <v>237822.2</v>
      </c>
      <c r="J200" s="2" t="s">
        <v>504</v>
      </c>
      <c r="K200" s="2">
        <f>+(I200/1)/45*0.54</f>
        <v>2853.8664000000003</v>
      </c>
      <c r="L200" s="1" t="s">
        <v>17</v>
      </c>
      <c r="M200" s="5" t="s">
        <v>1079</v>
      </c>
      <c r="N200" s="5" t="s">
        <v>435</v>
      </c>
    </row>
    <row r="201" spans="1:14" ht="271.5" customHeight="1">
      <c r="A201" s="4" t="s">
        <v>505</v>
      </c>
      <c r="B201" s="5" t="s">
        <v>498</v>
      </c>
      <c r="C201" s="5" t="s">
        <v>499</v>
      </c>
      <c r="D201" s="5" t="s">
        <v>500</v>
      </c>
      <c r="E201" s="1" t="s">
        <v>18</v>
      </c>
      <c r="F201" s="1" t="s">
        <v>506</v>
      </c>
      <c r="G201" s="1" t="s">
        <v>502</v>
      </c>
      <c r="H201" s="1" t="s">
        <v>503</v>
      </c>
      <c r="I201" s="21">
        <v>237822.2</v>
      </c>
      <c r="J201" s="2" t="s">
        <v>504</v>
      </c>
      <c r="K201" s="2">
        <f>+(I201/1)/90*0.54</f>
        <v>1426.9332000000002</v>
      </c>
      <c r="L201" s="1" t="s">
        <v>17</v>
      </c>
      <c r="M201" s="5" t="s">
        <v>1080</v>
      </c>
      <c r="N201" s="5" t="s">
        <v>435</v>
      </c>
    </row>
    <row r="202" spans="1:14" ht="271.5" customHeight="1">
      <c r="A202" s="4" t="s">
        <v>1081</v>
      </c>
      <c r="B202" s="148" t="s">
        <v>498</v>
      </c>
      <c r="C202" s="115" t="s">
        <v>499</v>
      </c>
      <c r="D202" s="5" t="s">
        <v>500</v>
      </c>
      <c r="E202" s="1" t="s">
        <v>66</v>
      </c>
      <c r="F202" s="1" t="s">
        <v>1082</v>
      </c>
      <c r="G202" s="1" t="s">
        <v>1083</v>
      </c>
      <c r="H202" s="1" t="s">
        <v>503</v>
      </c>
      <c r="I202" s="2">
        <v>115228.5</v>
      </c>
      <c r="J202" s="149" t="s">
        <v>1084</v>
      </c>
      <c r="K202" s="150">
        <f>+I202/130*0.54</f>
        <v>478.6414615384616</v>
      </c>
      <c r="L202" s="59" t="s">
        <v>17</v>
      </c>
      <c r="M202" s="89" t="s">
        <v>1085</v>
      </c>
      <c r="N202" s="55" t="s">
        <v>1086</v>
      </c>
    </row>
    <row r="203" spans="1:14" ht="168.75">
      <c r="A203" s="4" t="s">
        <v>232</v>
      </c>
      <c r="B203" s="5" t="s">
        <v>158</v>
      </c>
      <c r="C203" s="5" t="s">
        <v>159</v>
      </c>
      <c r="D203" s="5" t="s">
        <v>160</v>
      </c>
      <c r="E203" s="1" t="s">
        <v>66</v>
      </c>
      <c r="F203" s="1" t="s">
        <v>161</v>
      </c>
      <c r="G203" s="1" t="s">
        <v>162</v>
      </c>
      <c r="H203" s="1" t="s">
        <v>24</v>
      </c>
      <c r="I203" s="21">
        <v>12577.8</v>
      </c>
      <c r="J203" s="2" t="s">
        <v>274</v>
      </c>
      <c r="K203" s="2">
        <f>I203/1/80*20</f>
        <v>3144.45</v>
      </c>
      <c r="L203" s="38" t="s">
        <v>17</v>
      </c>
      <c r="M203" s="5" t="s">
        <v>445</v>
      </c>
      <c r="N203" s="5" t="s">
        <v>446</v>
      </c>
    </row>
    <row r="204" spans="1:14" ht="168.75">
      <c r="A204" s="4" t="s">
        <v>233</v>
      </c>
      <c r="B204" s="5" t="s">
        <v>158</v>
      </c>
      <c r="C204" s="5" t="s">
        <v>159</v>
      </c>
      <c r="D204" s="5" t="s">
        <v>160</v>
      </c>
      <c r="E204" s="1" t="s">
        <v>66</v>
      </c>
      <c r="F204" s="1" t="s">
        <v>163</v>
      </c>
      <c r="G204" s="1" t="s">
        <v>162</v>
      </c>
      <c r="H204" s="1" t="s">
        <v>24</v>
      </c>
      <c r="I204" s="21">
        <v>31355.9</v>
      </c>
      <c r="J204" s="2" t="s">
        <v>274</v>
      </c>
      <c r="K204" s="2">
        <f>I204/1/200*20</f>
        <v>3135.59</v>
      </c>
      <c r="L204" s="38" t="s">
        <v>17</v>
      </c>
      <c r="M204" s="5" t="s">
        <v>445</v>
      </c>
      <c r="N204" s="5" t="s">
        <v>446</v>
      </c>
    </row>
    <row r="205" spans="1:14" ht="168.75">
      <c r="A205" s="4" t="s">
        <v>234</v>
      </c>
      <c r="B205" s="5" t="s">
        <v>158</v>
      </c>
      <c r="C205" s="5" t="s">
        <v>159</v>
      </c>
      <c r="D205" s="5" t="s">
        <v>160</v>
      </c>
      <c r="E205" s="1" t="s">
        <v>66</v>
      </c>
      <c r="F205" s="1" t="s">
        <v>164</v>
      </c>
      <c r="G205" s="1" t="s">
        <v>162</v>
      </c>
      <c r="H205" s="1" t="s">
        <v>24</v>
      </c>
      <c r="I205" s="21">
        <v>62651.7</v>
      </c>
      <c r="J205" s="2" t="s">
        <v>274</v>
      </c>
      <c r="K205" s="2">
        <f>I205/1/400*20</f>
        <v>3132.5849999999996</v>
      </c>
      <c r="L205" s="38" t="s">
        <v>17</v>
      </c>
      <c r="M205" s="5" t="s">
        <v>445</v>
      </c>
      <c r="N205" s="5" t="s">
        <v>446</v>
      </c>
    </row>
    <row r="206" spans="1:14" ht="135">
      <c r="A206" s="5" t="s">
        <v>364</v>
      </c>
      <c r="B206" s="5" t="s">
        <v>158</v>
      </c>
      <c r="C206" s="5" t="s">
        <v>159</v>
      </c>
      <c r="D206" s="5" t="s">
        <v>160</v>
      </c>
      <c r="E206" s="1" t="s">
        <v>18</v>
      </c>
      <c r="F206" s="1" t="s">
        <v>365</v>
      </c>
      <c r="G206" s="1" t="s">
        <v>50</v>
      </c>
      <c r="H206" s="1" t="s">
        <v>15</v>
      </c>
      <c r="I206" s="95">
        <v>87688.7</v>
      </c>
      <c r="J206" s="96" t="s">
        <v>274</v>
      </c>
      <c r="K206" s="95">
        <f>I206/4/162*20</f>
        <v>2706.441358024691</v>
      </c>
      <c r="L206" s="2" t="s">
        <v>17</v>
      </c>
      <c r="M206" s="97" t="s">
        <v>697</v>
      </c>
      <c r="N206" s="55" t="s">
        <v>436</v>
      </c>
    </row>
    <row r="207" spans="1:14" ht="338.25" customHeight="1">
      <c r="A207" s="5" t="s">
        <v>492</v>
      </c>
      <c r="B207" s="5" t="s">
        <v>493</v>
      </c>
      <c r="C207" s="5" t="s">
        <v>494</v>
      </c>
      <c r="D207" s="5" t="s">
        <v>495</v>
      </c>
      <c r="E207" s="1" t="s">
        <v>18</v>
      </c>
      <c r="F207" s="1" t="s">
        <v>496</v>
      </c>
      <c r="G207" s="1" t="s">
        <v>1087</v>
      </c>
      <c r="H207" s="1" t="s">
        <v>1088</v>
      </c>
      <c r="I207" s="21">
        <v>101324.1</v>
      </c>
      <c r="J207" s="2" t="s">
        <v>483</v>
      </c>
      <c r="K207" s="2">
        <f>I207/2/150*10</f>
        <v>3377.4700000000003</v>
      </c>
      <c r="L207" s="40" t="s">
        <v>17</v>
      </c>
      <c r="M207" s="5" t="s">
        <v>1090</v>
      </c>
      <c r="N207" s="55" t="s">
        <v>436</v>
      </c>
    </row>
    <row r="208" spans="1:14" ht="334.5" customHeight="1">
      <c r="A208" s="4" t="s">
        <v>931</v>
      </c>
      <c r="B208" s="5" t="s">
        <v>493</v>
      </c>
      <c r="C208" s="5" t="s">
        <v>494</v>
      </c>
      <c r="D208" s="5" t="s">
        <v>495</v>
      </c>
      <c r="E208" s="1" t="s">
        <v>548</v>
      </c>
      <c r="F208" s="1" t="s">
        <v>932</v>
      </c>
      <c r="G208" s="1" t="s">
        <v>1089</v>
      </c>
      <c r="H208" s="1" t="s">
        <v>1088</v>
      </c>
      <c r="I208" s="117">
        <v>101324.1</v>
      </c>
      <c r="J208" s="2" t="s">
        <v>483</v>
      </c>
      <c r="K208" s="2">
        <f>I208/2/150*10</f>
        <v>3377.4700000000003</v>
      </c>
      <c r="L208" s="40" t="s">
        <v>17</v>
      </c>
      <c r="M208" s="5" t="s">
        <v>1090</v>
      </c>
      <c r="N208" s="55" t="s">
        <v>436</v>
      </c>
    </row>
    <row r="209" spans="1:14" ht="268.5" customHeight="1">
      <c r="A209" s="155" t="s">
        <v>1091</v>
      </c>
      <c r="B209" s="156" t="s">
        <v>1092</v>
      </c>
      <c r="C209" s="156" t="s">
        <v>1093</v>
      </c>
      <c r="D209" s="157" t="s">
        <v>1094</v>
      </c>
      <c r="E209" s="158" t="s">
        <v>548</v>
      </c>
      <c r="F209" s="159" t="s">
        <v>1095</v>
      </c>
      <c r="G209" s="158" t="s">
        <v>1096</v>
      </c>
      <c r="H209" s="158" t="s">
        <v>1097</v>
      </c>
      <c r="I209" s="160">
        <v>67979.7</v>
      </c>
      <c r="J209" s="160" t="s">
        <v>1098</v>
      </c>
      <c r="K209" s="160">
        <f>+(I209/1)/80*2.9</f>
        <v>2464.2641249999997</v>
      </c>
      <c r="L209" s="130" t="s">
        <v>17</v>
      </c>
      <c r="M209" s="124" t="s">
        <v>1099</v>
      </c>
      <c r="N209" s="124" t="s">
        <v>436</v>
      </c>
    </row>
    <row r="210" spans="1:14" ht="156.75" customHeight="1">
      <c r="A210" s="155" t="s">
        <v>1100</v>
      </c>
      <c r="B210" s="156" t="s">
        <v>1101</v>
      </c>
      <c r="C210" s="156" t="s">
        <v>1102</v>
      </c>
      <c r="D210" s="157" t="s">
        <v>1103</v>
      </c>
      <c r="E210" s="158" t="s">
        <v>18</v>
      </c>
      <c r="F210" s="159" t="s">
        <v>1104</v>
      </c>
      <c r="G210" s="161" t="s">
        <v>1105</v>
      </c>
      <c r="H210" s="161" t="s">
        <v>1106</v>
      </c>
      <c r="I210" s="160">
        <v>191635.399608</v>
      </c>
      <c r="J210" s="160" t="s">
        <v>1107</v>
      </c>
      <c r="K210" s="160">
        <f>I210/1/100*1.79</f>
        <v>3430.2736529832005</v>
      </c>
      <c r="L210" s="130" t="s">
        <v>17</v>
      </c>
      <c r="M210" s="124" t="s">
        <v>1108</v>
      </c>
      <c r="N210" s="124" t="s">
        <v>436</v>
      </c>
    </row>
    <row r="211" spans="1:14" ht="98.25" customHeight="1">
      <c r="A211" s="155" t="s">
        <v>1109</v>
      </c>
      <c r="B211" s="156" t="s">
        <v>1110</v>
      </c>
      <c r="C211" s="156" t="s">
        <v>1111</v>
      </c>
      <c r="D211" s="157" t="s">
        <v>1112</v>
      </c>
      <c r="E211" s="158" t="s">
        <v>18</v>
      </c>
      <c r="F211" s="159" t="s">
        <v>1113</v>
      </c>
      <c r="G211" s="130" t="s">
        <v>1114</v>
      </c>
      <c r="H211" s="130" t="s">
        <v>54</v>
      </c>
      <c r="I211" s="160">
        <v>298157.9</v>
      </c>
      <c r="J211" s="160" t="s">
        <v>1115</v>
      </c>
      <c r="K211" s="160">
        <f>+(I211/2)/75*1.67</f>
        <v>3319.491286666667</v>
      </c>
      <c r="L211" s="130" t="s">
        <v>17</v>
      </c>
      <c r="M211" s="124" t="s">
        <v>1116</v>
      </c>
      <c r="N211" s="124" t="s">
        <v>436</v>
      </c>
    </row>
    <row r="212" spans="1:14" ht="146.25">
      <c r="A212" s="5" t="s">
        <v>341</v>
      </c>
      <c r="B212" s="5" t="s">
        <v>342</v>
      </c>
      <c r="C212" s="5" t="s">
        <v>343</v>
      </c>
      <c r="D212" s="5" t="s">
        <v>346</v>
      </c>
      <c r="E212" s="1" t="s">
        <v>55</v>
      </c>
      <c r="F212" s="1" t="s">
        <v>344</v>
      </c>
      <c r="G212" s="1" t="s">
        <v>551</v>
      </c>
      <c r="H212" s="1" t="s">
        <v>526</v>
      </c>
      <c r="I212" s="2">
        <v>381525.9</v>
      </c>
      <c r="J212" s="2" t="s">
        <v>345</v>
      </c>
      <c r="K212" s="2">
        <f>I212/10/21*10</f>
        <v>18167.9</v>
      </c>
      <c r="L212" s="40" t="s">
        <v>17</v>
      </c>
      <c r="M212" s="5" t="s">
        <v>933</v>
      </c>
      <c r="N212" s="5" t="s">
        <v>934</v>
      </c>
    </row>
    <row r="213" spans="1:14" ht="146.25">
      <c r="A213" s="5">
        <v>1014024</v>
      </c>
      <c r="B213" s="5" t="s">
        <v>342</v>
      </c>
      <c r="C213" s="5" t="s">
        <v>343</v>
      </c>
      <c r="D213" s="5" t="s">
        <v>346</v>
      </c>
      <c r="E213" s="1" t="s">
        <v>55</v>
      </c>
      <c r="F213" s="1" t="s">
        <v>514</v>
      </c>
      <c r="G213" s="1" t="s">
        <v>551</v>
      </c>
      <c r="H213" s="1" t="s">
        <v>526</v>
      </c>
      <c r="I213" s="2">
        <v>441938</v>
      </c>
      <c r="J213" s="2" t="s">
        <v>345</v>
      </c>
      <c r="K213" s="2">
        <f>I213/21/25*10</f>
        <v>8417.866666666667</v>
      </c>
      <c r="L213" s="40" t="s">
        <v>17</v>
      </c>
      <c r="M213" s="5" t="s">
        <v>933</v>
      </c>
      <c r="N213" s="5" t="s">
        <v>934</v>
      </c>
    </row>
    <row r="214" spans="1:14" ht="146.25">
      <c r="A214" s="66" t="s">
        <v>552</v>
      </c>
      <c r="B214" s="61" t="s">
        <v>342</v>
      </c>
      <c r="C214" s="61" t="s">
        <v>343</v>
      </c>
      <c r="D214" s="61" t="s">
        <v>702</v>
      </c>
      <c r="E214" s="67" t="s">
        <v>55</v>
      </c>
      <c r="F214" s="76" t="s">
        <v>553</v>
      </c>
      <c r="G214" s="67" t="s">
        <v>554</v>
      </c>
      <c r="H214" s="67" t="s">
        <v>555</v>
      </c>
      <c r="I214" s="21">
        <v>35132.399999999994</v>
      </c>
      <c r="J214" s="53" t="s">
        <v>483</v>
      </c>
      <c r="K214" s="21">
        <f>I214/7/5*10</f>
        <v>10037.82857142857</v>
      </c>
      <c r="L214" s="70" t="s">
        <v>17</v>
      </c>
      <c r="M214" s="5" t="s">
        <v>933</v>
      </c>
      <c r="N214" s="5" t="s">
        <v>934</v>
      </c>
    </row>
    <row r="215" spans="1:14" ht="146.25">
      <c r="A215" s="66" t="s">
        <v>556</v>
      </c>
      <c r="B215" s="61" t="s">
        <v>342</v>
      </c>
      <c r="C215" s="61" t="s">
        <v>343</v>
      </c>
      <c r="D215" s="61" t="s">
        <v>702</v>
      </c>
      <c r="E215" s="67" t="s">
        <v>55</v>
      </c>
      <c r="F215" s="76" t="s">
        <v>344</v>
      </c>
      <c r="G215" s="67" t="s">
        <v>554</v>
      </c>
      <c r="H215" s="67" t="s">
        <v>555</v>
      </c>
      <c r="I215" s="2">
        <v>109917.1</v>
      </c>
      <c r="J215" s="53" t="s">
        <v>483</v>
      </c>
      <c r="K215" s="21">
        <f>I215/21/10*10</f>
        <v>5234.147619047619</v>
      </c>
      <c r="L215" s="70" t="s">
        <v>17</v>
      </c>
      <c r="M215" s="5" t="s">
        <v>933</v>
      </c>
      <c r="N215" s="5" t="s">
        <v>934</v>
      </c>
    </row>
    <row r="216" spans="1:14" ht="146.25">
      <c r="A216" s="66" t="s">
        <v>557</v>
      </c>
      <c r="B216" s="61" t="s">
        <v>342</v>
      </c>
      <c r="C216" s="61" t="s">
        <v>343</v>
      </c>
      <c r="D216" s="61" t="s">
        <v>702</v>
      </c>
      <c r="E216" s="67" t="s">
        <v>55</v>
      </c>
      <c r="F216" s="76" t="s">
        <v>558</v>
      </c>
      <c r="G216" s="67" t="s">
        <v>554</v>
      </c>
      <c r="H216" s="67" t="s">
        <v>555</v>
      </c>
      <c r="I216" s="21">
        <v>115014.4</v>
      </c>
      <c r="J216" s="53" t="s">
        <v>483</v>
      </c>
      <c r="K216" s="21">
        <f>I216/21/15*10</f>
        <v>3651.2507936507936</v>
      </c>
      <c r="L216" s="70" t="s">
        <v>17</v>
      </c>
      <c r="M216" s="5" t="s">
        <v>933</v>
      </c>
      <c r="N216" s="5" t="s">
        <v>934</v>
      </c>
    </row>
    <row r="217" spans="1:14" ht="146.25">
      <c r="A217" s="66" t="s">
        <v>559</v>
      </c>
      <c r="B217" s="61" t="s">
        <v>342</v>
      </c>
      <c r="C217" s="61" t="s">
        <v>343</v>
      </c>
      <c r="D217" s="61" t="s">
        <v>702</v>
      </c>
      <c r="E217" s="67" t="s">
        <v>55</v>
      </c>
      <c r="F217" s="76" t="s">
        <v>514</v>
      </c>
      <c r="G217" s="67" t="s">
        <v>554</v>
      </c>
      <c r="H217" s="67" t="s">
        <v>555</v>
      </c>
      <c r="I217" s="2">
        <v>124415.2</v>
      </c>
      <c r="J217" s="53" t="s">
        <v>483</v>
      </c>
      <c r="K217" s="21">
        <f>I217/21/25*10</f>
        <v>2369.813333333333</v>
      </c>
      <c r="L217" s="70" t="s">
        <v>17</v>
      </c>
      <c r="M217" s="5" t="s">
        <v>933</v>
      </c>
      <c r="N217" s="5" t="s">
        <v>934</v>
      </c>
    </row>
    <row r="218" spans="1:14" ht="146.25">
      <c r="A218" s="50" t="s">
        <v>935</v>
      </c>
      <c r="B218" s="50" t="s">
        <v>342</v>
      </c>
      <c r="C218" s="89" t="s">
        <v>343</v>
      </c>
      <c r="D218" s="89" t="s">
        <v>936</v>
      </c>
      <c r="E218" s="94" t="s">
        <v>55</v>
      </c>
      <c r="F218" s="94" t="s">
        <v>698</v>
      </c>
      <c r="G218" s="1" t="s">
        <v>937</v>
      </c>
      <c r="H218" s="1" t="s">
        <v>938</v>
      </c>
      <c r="I218" s="2">
        <v>105397.2</v>
      </c>
      <c r="J218" s="53" t="s">
        <v>483</v>
      </c>
      <c r="K218" s="40">
        <f>+(I218/21)/5*10</f>
        <v>10037.82857142857</v>
      </c>
      <c r="L218" s="59" t="s">
        <v>17</v>
      </c>
      <c r="M218" s="5" t="s">
        <v>933</v>
      </c>
      <c r="N218" s="5" t="s">
        <v>934</v>
      </c>
    </row>
    <row r="219" spans="1:14" ht="146.25">
      <c r="A219" s="50" t="s">
        <v>939</v>
      </c>
      <c r="B219" s="50" t="s">
        <v>342</v>
      </c>
      <c r="C219" s="89" t="s">
        <v>343</v>
      </c>
      <c r="D219" s="89" t="s">
        <v>936</v>
      </c>
      <c r="E219" s="94" t="s">
        <v>55</v>
      </c>
      <c r="F219" s="94" t="s">
        <v>344</v>
      </c>
      <c r="G219" s="1" t="s">
        <v>937</v>
      </c>
      <c r="H219" s="1" t="s">
        <v>938</v>
      </c>
      <c r="I219" s="2">
        <v>109917.1</v>
      </c>
      <c r="J219" s="53" t="s">
        <v>483</v>
      </c>
      <c r="K219" s="40">
        <f>+(I219/21)/10*10</f>
        <v>5234.147619047619</v>
      </c>
      <c r="L219" s="59" t="s">
        <v>17</v>
      </c>
      <c r="M219" s="5" t="s">
        <v>933</v>
      </c>
      <c r="N219" s="5" t="s">
        <v>934</v>
      </c>
    </row>
    <row r="220" spans="1:14" ht="146.25">
      <c r="A220" s="50" t="s">
        <v>940</v>
      </c>
      <c r="B220" s="50" t="s">
        <v>342</v>
      </c>
      <c r="C220" s="89" t="s">
        <v>343</v>
      </c>
      <c r="D220" s="89" t="s">
        <v>936</v>
      </c>
      <c r="E220" s="94" t="s">
        <v>55</v>
      </c>
      <c r="F220" s="94" t="s">
        <v>558</v>
      </c>
      <c r="G220" s="1" t="s">
        <v>937</v>
      </c>
      <c r="H220" s="1" t="s">
        <v>938</v>
      </c>
      <c r="I220" s="2">
        <v>115014.4</v>
      </c>
      <c r="J220" s="53" t="s">
        <v>483</v>
      </c>
      <c r="K220" s="40">
        <f>+(I220/21)/15*10</f>
        <v>3651.2507936507936</v>
      </c>
      <c r="L220" s="59" t="s">
        <v>17</v>
      </c>
      <c r="M220" s="5" t="s">
        <v>933</v>
      </c>
      <c r="N220" s="5" t="s">
        <v>934</v>
      </c>
    </row>
    <row r="221" spans="1:14" ht="146.25">
      <c r="A221" s="50" t="s">
        <v>941</v>
      </c>
      <c r="B221" s="50" t="s">
        <v>342</v>
      </c>
      <c r="C221" s="89" t="s">
        <v>343</v>
      </c>
      <c r="D221" s="89" t="s">
        <v>936</v>
      </c>
      <c r="E221" s="94" t="s">
        <v>55</v>
      </c>
      <c r="F221" s="94" t="s">
        <v>514</v>
      </c>
      <c r="G221" s="1" t="s">
        <v>937</v>
      </c>
      <c r="H221" s="1" t="s">
        <v>938</v>
      </c>
      <c r="I221" s="2">
        <v>124415.2</v>
      </c>
      <c r="J221" s="53" t="s">
        <v>483</v>
      </c>
      <c r="K221" s="40">
        <f>+(I221/21)/25*10</f>
        <v>2369.813333333333</v>
      </c>
      <c r="L221" s="59" t="s">
        <v>17</v>
      </c>
      <c r="M221" s="5" t="s">
        <v>933</v>
      </c>
      <c r="N221" s="5" t="s">
        <v>934</v>
      </c>
    </row>
    <row r="222" spans="1:14" ht="146.25">
      <c r="A222" s="5">
        <v>1014061</v>
      </c>
      <c r="B222" s="5" t="s">
        <v>342</v>
      </c>
      <c r="C222" s="5" t="s">
        <v>343</v>
      </c>
      <c r="D222" s="5" t="s">
        <v>942</v>
      </c>
      <c r="E222" s="1" t="s">
        <v>55</v>
      </c>
      <c r="F222" s="1" t="s">
        <v>344</v>
      </c>
      <c r="G222" s="1" t="s">
        <v>943</v>
      </c>
      <c r="H222" s="1" t="s">
        <v>944</v>
      </c>
      <c r="I222" s="2">
        <v>109917.1</v>
      </c>
      <c r="J222" s="53" t="s">
        <v>483</v>
      </c>
      <c r="K222" s="40">
        <f>+(I222/21)/10*10</f>
        <v>5234.147619047619</v>
      </c>
      <c r="L222" s="59" t="s">
        <v>17</v>
      </c>
      <c r="M222" s="5" t="s">
        <v>933</v>
      </c>
      <c r="N222" s="5" t="s">
        <v>934</v>
      </c>
    </row>
    <row r="223" spans="1:14" ht="146.25">
      <c r="A223" s="5">
        <v>1014060</v>
      </c>
      <c r="B223" s="5" t="s">
        <v>342</v>
      </c>
      <c r="C223" s="5" t="s">
        <v>343</v>
      </c>
      <c r="D223" s="5" t="s">
        <v>942</v>
      </c>
      <c r="E223" s="1" t="s">
        <v>55</v>
      </c>
      <c r="F223" s="1" t="s">
        <v>514</v>
      </c>
      <c r="G223" s="1" t="s">
        <v>943</v>
      </c>
      <c r="H223" s="1" t="s">
        <v>944</v>
      </c>
      <c r="I223" s="2">
        <v>124415.2</v>
      </c>
      <c r="J223" s="53" t="s">
        <v>483</v>
      </c>
      <c r="K223" s="40">
        <f>+(I223/21)/25*10</f>
        <v>2369.813333333333</v>
      </c>
      <c r="L223" s="122" t="s">
        <v>17</v>
      </c>
      <c r="M223" s="5" t="s">
        <v>933</v>
      </c>
      <c r="N223" s="5" t="s">
        <v>934</v>
      </c>
    </row>
    <row r="224" spans="1:14" ht="146.25">
      <c r="A224" s="5">
        <v>1014062</v>
      </c>
      <c r="B224" s="5" t="s">
        <v>342</v>
      </c>
      <c r="C224" s="5" t="s">
        <v>343</v>
      </c>
      <c r="D224" s="5" t="s">
        <v>945</v>
      </c>
      <c r="E224" s="1" t="s">
        <v>55</v>
      </c>
      <c r="F224" s="1" t="s">
        <v>344</v>
      </c>
      <c r="G224" s="1" t="s">
        <v>946</v>
      </c>
      <c r="H224" s="1" t="s">
        <v>947</v>
      </c>
      <c r="I224" s="2">
        <v>109917.1</v>
      </c>
      <c r="J224" s="53" t="s">
        <v>483</v>
      </c>
      <c r="K224" s="40">
        <f>+(I224/21)/10*10</f>
        <v>5234.147619047619</v>
      </c>
      <c r="L224" s="122" t="s">
        <v>17</v>
      </c>
      <c r="M224" s="5" t="s">
        <v>933</v>
      </c>
      <c r="N224" s="5" t="s">
        <v>934</v>
      </c>
    </row>
    <row r="225" spans="1:14" ht="146.25">
      <c r="A225" s="5">
        <v>1014063</v>
      </c>
      <c r="B225" s="55" t="s">
        <v>342</v>
      </c>
      <c r="C225" s="55" t="s">
        <v>343</v>
      </c>
      <c r="D225" s="55" t="s">
        <v>945</v>
      </c>
      <c r="E225" s="1" t="s">
        <v>55</v>
      </c>
      <c r="F225" s="1" t="s">
        <v>514</v>
      </c>
      <c r="G225" s="1" t="s">
        <v>946</v>
      </c>
      <c r="H225" s="1" t="s">
        <v>947</v>
      </c>
      <c r="I225" s="2">
        <v>124415.2</v>
      </c>
      <c r="J225" s="53" t="s">
        <v>483</v>
      </c>
      <c r="K225" s="40">
        <f>+(I225/21)/25*10</f>
        <v>2369.813333333333</v>
      </c>
      <c r="L225" s="122" t="s">
        <v>17</v>
      </c>
      <c r="M225" s="5" t="s">
        <v>933</v>
      </c>
      <c r="N225" s="5" t="s">
        <v>934</v>
      </c>
    </row>
    <row r="226" spans="1:14" ht="45">
      <c r="A226" s="4" t="s">
        <v>235</v>
      </c>
      <c r="B226" s="5" t="s">
        <v>165</v>
      </c>
      <c r="C226" s="4" t="s">
        <v>166</v>
      </c>
      <c r="D226" s="5" t="s">
        <v>167</v>
      </c>
      <c r="E226" s="1" t="s">
        <v>66</v>
      </c>
      <c r="F226" s="1" t="s">
        <v>383</v>
      </c>
      <c r="G226" s="1" t="s">
        <v>948</v>
      </c>
      <c r="H226" s="1" t="s">
        <v>949</v>
      </c>
      <c r="I226" s="21">
        <v>5209.9</v>
      </c>
      <c r="J226" s="2" t="s">
        <v>168</v>
      </c>
      <c r="K226" s="2">
        <f>I226/1/4*4</f>
        <v>5209.9</v>
      </c>
      <c r="L226" s="38" t="s">
        <v>17</v>
      </c>
      <c r="M226" s="32" t="s">
        <v>448</v>
      </c>
      <c r="N226" s="5" t="s">
        <v>447</v>
      </c>
    </row>
    <row r="227" spans="1:14" ht="45">
      <c r="A227" s="4" t="s">
        <v>236</v>
      </c>
      <c r="B227" s="5" t="s">
        <v>165</v>
      </c>
      <c r="C227" s="5" t="s">
        <v>166</v>
      </c>
      <c r="D227" s="5" t="s">
        <v>169</v>
      </c>
      <c r="E227" s="1" t="s">
        <v>66</v>
      </c>
      <c r="F227" s="1" t="s">
        <v>170</v>
      </c>
      <c r="G227" s="1" t="s">
        <v>42</v>
      </c>
      <c r="H227" s="1" t="s">
        <v>29</v>
      </c>
      <c r="I227" s="21">
        <v>5209.9</v>
      </c>
      <c r="J227" s="2" t="s">
        <v>168</v>
      </c>
      <c r="K227" s="2">
        <f>I227/4*4</f>
        <v>5209.9</v>
      </c>
      <c r="L227" s="38" t="s">
        <v>17</v>
      </c>
      <c r="M227" s="32" t="s">
        <v>448</v>
      </c>
      <c r="N227" s="5" t="s">
        <v>447</v>
      </c>
    </row>
    <row r="228" spans="1:14" s="41" customFormat="1" ht="45">
      <c r="A228" s="17" t="s">
        <v>237</v>
      </c>
      <c r="B228" s="17" t="s">
        <v>165</v>
      </c>
      <c r="C228" s="17" t="s">
        <v>166</v>
      </c>
      <c r="D228" s="17" t="s">
        <v>187</v>
      </c>
      <c r="E228" s="18" t="s">
        <v>66</v>
      </c>
      <c r="F228" s="18" t="s">
        <v>188</v>
      </c>
      <c r="G228" s="18" t="s">
        <v>189</v>
      </c>
      <c r="H228" s="18" t="s">
        <v>54</v>
      </c>
      <c r="I228" s="21">
        <v>5209.9</v>
      </c>
      <c r="J228" s="19" t="s">
        <v>186</v>
      </c>
      <c r="K228" s="20">
        <f>I228/4*4</f>
        <v>5209.9</v>
      </c>
      <c r="L228" s="38" t="s">
        <v>17</v>
      </c>
      <c r="M228" s="34" t="s">
        <v>448</v>
      </c>
      <c r="N228" s="5" t="s">
        <v>447</v>
      </c>
    </row>
    <row r="229" spans="1:14" s="41" customFormat="1" ht="56.25">
      <c r="A229" s="17" t="s">
        <v>250</v>
      </c>
      <c r="B229" s="17" t="s">
        <v>165</v>
      </c>
      <c r="C229" s="17" t="s">
        <v>166</v>
      </c>
      <c r="D229" s="17" t="s">
        <v>251</v>
      </c>
      <c r="E229" s="18" t="s">
        <v>66</v>
      </c>
      <c r="F229" s="18" t="s">
        <v>252</v>
      </c>
      <c r="G229" s="18" t="s">
        <v>253</v>
      </c>
      <c r="H229" s="18" t="s">
        <v>254</v>
      </c>
      <c r="I229" s="21">
        <v>5209.9</v>
      </c>
      <c r="J229" s="19" t="s">
        <v>168</v>
      </c>
      <c r="K229" s="20">
        <f>I229/1/4*4</f>
        <v>5209.9</v>
      </c>
      <c r="L229" s="38" t="s">
        <v>17</v>
      </c>
      <c r="M229" s="34" t="s">
        <v>448</v>
      </c>
      <c r="N229" s="5" t="s">
        <v>447</v>
      </c>
    </row>
    <row r="230" spans="1:14" ht="33.75">
      <c r="A230" s="4" t="s">
        <v>238</v>
      </c>
      <c r="B230" s="5" t="s">
        <v>171</v>
      </c>
      <c r="C230" s="5" t="s">
        <v>172</v>
      </c>
      <c r="D230" s="5" t="s">
        <v>173</v>
      </c>
      <c r="E230" s="1" t="s">
        <v>53</v>
      </c>
      <c r="F230" s="1" t="s">
        <v>174</v>
      </c>
      <c r="G230" s="1" t="s">
        <v>175</v>
      </c>
      <c r="H230" s="1" t="s">
        <v>60</v>
      </c>
      <c r="I230" s="21">
        <v>12329.8</v>
      </c>
      <c r="J230" s="1" t="s">
        <v>176</v>
      </c>
      <c r="K230" s="2">
        <f>I230/56/50*100</f>
        <v>440.3499999999999</v>
      </c>
      <c r="L230" s="38" t="s">
        <v>17</v>
      </c>
      <c r="M230" s="35" t="s">
        <v>449</v>
      </c>
      <c r="N230" s="5" t="s">
        <v>797</v>
      </c>
    </row>
    <row r="231" spans="1:14" ht="67.5">
      <c r="A231" s="66">
        <v>1079020</v>
      </c>
      <c r="B231" s="5" t="s">
        <v>950</v>
      </c>
      <c r="C231" s="61" t="s">
        <v>634</v>
      </c>
      <c r="D231" s="61" t="s">
        <v>635</v>
      </c>
      <c r="E231" s="67" t="s">
        <v>636</v>
      </c>
      <c r="F231" s="67" t="s">
        <v>637</v>
      </c>
      <c r="G231" s="1" t="s">
        <v>910</v>
      </c>
      <c r="H231" s="1" t="s">
        <v>911</v>
      </c>
      <c r="I231" s="21">
        <f>ROUND(10530.78,1)</f>
        <v>10530.8</v>
      </c>
      <c r="J231" s="59" t="s">
        <v>638</v>
      </c>
      <c r="K231" s="21">
        <f>(I231/1.68)*0.48</f>
        <v>3008.7999999999997</v>
      </c>
      <c r="L231" s="70" t="s">
        <v>17</v>
      </c>
      <c r="M231" s="61" t="s">
        <v>438</v>
      </c>
      <c r="N231" s="61" t="s">
        <v>435</v>
      </c>
    </row>
    <row r="232" spans="1:14" ht="67.5">
      <c r="A232" s="66">
        <v>1079021</v>
      </c>
      <c r="B232" s="5" t="s">
        <v>950</v>
      </c>
      <c r="C232" s="61" t="s">
        <v>634</v>
      </c>
      <c r="D232" s="61" t="s">
        <v>635</v>
      </c>
      <c r="E232" s="67" t="s">
        <v>636</v>
      </c>
      <c r="F232" s="67" t="s">
        <v>369</v>
      </c>
      <c r="G232" s="1" t="s">
        <v>910</v>
      </c>
      <c r="H232" s="1" t="s">
        <v>911</v>
      </c>
      <c r="I232" s="21">
        <f>ROUND(76347.03,1)</f>
        <v>76347</v>
      </c>
      <c r="J232" s="59" t="s">
        <v>638</v>
      </c>
      <c r="K232" s="21">
        <f>(I232/13.44)*0.48</f>
        <v>2726.6785714285716</v>
      </c>
      <c r="L232" s="70" t="s">
        <v>17</v>
      </c>
      <c r="M232" s="61" t="s">
        <v>438</v>
      </c>
      <c r="N232" s="61" t="s">
        <v>435</v>
      </c>
    </row>
    <row r="233" spans="1:14" ht="90">
      <c r="A233" s="4" t="s">
        <v>518</v>
      </c>
      <c r="B233" s="5" t="s">
        <v>519</v>
      </c>
      <c r="C233" s="5" t="s">
        <v>520</v>
      </c>
      <c r="D233" s="5" t="s">
        <v>530</v>
      </c>
      <c r="E233" s="1" t="s">
        <v>27</v>
      </c>
      <c r="F233" s="1" t="s">
        <v>521</v>
      </c>
      <c r="G233" s="1" t="s">
        <v>522</v>
      </c>
      <c r="H233" s="1" t="s">
        <v>523</v>
      </c>
      <c r="I233" s="2">
        <v>67224.9</v>
      </c>
      <c r="J233" s="1" t="s">
        <v>17</v>
      </c>
      <c r="K233" s="2" t="s">
        <v>17</v>
      </c>
      <c r="L233" s="38" t="s">
        <v>17</v>
      </c>
      <c r="M233" s="35" t="s">
        <v>524</v>
      </c>
      <c r="N233" s="5" t="s">
        <v>525</v>
      </c>
    </row>
  </sheetData>
  <sheetProtection/>
  <autoFilter ref="A1:Q233"/>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1" r:id="rId1"/>
  <headerFooter alignWithMargins="0">
    <oddHeader>&amp;L&amp;"Arial,Bold"Lista C.&amp;"Arial,Regular" Lekovi sa posebnim režimom izdavanja</oddHeader>
    <oddFooter xml:space="preserve">&amp;R&amp;11Strana &amp;P </oddFooter>
  </headerFooter>
  <rowBreaks count="1" manualBreakCount="1">
    <brk id="9" max="13" man="1"/>
  </rowBreaks>
  <ignoredErrors>
    <ignoredError sqref="K154 K7:K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2024-02-06T09:05:20Z</cp:lastPrinted>
  <dcterms:created xsi:type="dcterms:W3CDTF">2014-07-09T13:43:48Z</dcterms:created>
  <dcterms:modified xsi:type="dcterms:W3CDTF">2024-03-14T09:03:40Z</dcterms:modified>
  <cp:category/>
  <cp:version/>
  <cp:contentType/>
  <cp:contentStatus/>
</cp:coreProperties>
</file>