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10.0.3.14\Lekovi\Lista lekova\LISTA LEKOVA 2026\Lista za sajt\obezbojeno\"/>
    </mc:Choice>
  </mc:AlternateContent>
  <xr:revisionPtr revIDLastSave="0" documentId="13_ncr:1_{171E4CE6-D4C8-4C54-BACA-9E6F81BBFF15}" xr6:coauthVersionLast="36" xr6:coauthVersionMax="36" xr10:uidLastSave="{00000000-0000-0000-0000-000000000000}"/>
  <bookViews>
    <workbookView xWindow="0" yWindow="0" windowWidth="28800" windowHeight="11265" xr2:uid="{79E952DB-C5CA-4BDB-AB73-E89766344E49}"/>
  </bookViews>
  <sheets>
    <sheet name="Sheet1" sheetId="1" r:id="rId1"/>
  </sheets>
  <definedNames>
    <definedName name="_xlnm._FilterDatabase" localSheetId="0" hidden="1">Sheet1!$A$1:$P$724</definedName>
    <definedName name="_xlnm.Print_Area" localSheetId="0">Sheet1!$A$1:$N$724</definedName>
    <definedName name="_xlnm.Print_Titles" localSheetId="0">Sheet1!$1:$1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593" i="1" l="1"/>
  <c r="K592" i="1"/>
  <c r="K382" i="1"/>
  <c r="K723" i="1" l="1"/>
  <c r="K722" i="1"/>
  <c r="K721" i="1"/>
  <c r="K720" i="1"/>
  <c r="K719" i="1"/>
  <c r="K718" i="1"/>
  <c r="K717" i="1"/>
  <c r="K716" i="1"/>
  <c r="K715" i="1"/>
  <c r="K714" i="1"/>
  <c r="K713" i="1"/>
  <c r="K712" i="1"/>
  <c r="K711" i="1"/>
  <c r="K710" i="1"/>
  <c r="K709" i="1"/>
  <c r="K708" i="1"/>
  <c r="K707" i="1"/>
  <c r="K706" i="1"/>
  <c r="K702" i="1"/>
  <c r="K701" i="1"/>
  <c r="K700" i="1"/>
  <c r="K699" i="1"/>
  <c r="K698" i="1"/>
  <c r="K697" i="1"/>
  <c r="K696" i="1"/>
  <c r="K695" i="1"/>
  <c r="K694" i="1"/>
  <c r="K693" i="1"/>
  <c r="K692" i="1"/>
  <c r="K691" i="1"/>
  <c r="K690" i="1"/>
  <c r="K689" i="1"/>
  <c r="K688" i="1"/>
  <c r="K687" i="1"/>
  <c r="K686" i="1"/>
  <c r="K685" i="1"/>
  <c r="K684" i="1"/>
  <c r="K683" i="1"/>
  <c r="K682" i="1"/>
  <c r="K681" i="1"/>
  <c r="K680" i="1"/>
  <c r="K679" i="1"/>
  <c r="K678" i="1"/>
  <c r="K677" i="1"/>
  <c r="K676" i="1"/>
  <c r="K675" i="1"/>
  <c r="K674" i="1"/>
  <c r="K673" i="1"/>
  <c r="K672" i="1"/>
  <c r="K671" i="1"/>
  <c r="K670" i="1"/>
  <c r="K669" i="1"/>
  <c r="K668" i="1"/>
  <c r="K667" i="1"/>
  <c r="K666" i="1"/>
  <c r="K665" i="1"/>
  <c r="K664" i="1"/>
  <c r="K663" i="1"/>
  <c r="K662" i="1"/>
  <c r="K661" i="1"/>
  <c r="K660" i="1"/>
  <c r="K659" i="1"/>
  <c r="K658" i="1"/>
  <c r="K657" i="1"/>
  <c r="K656" i="1"/>
  <c r="K655" i="1"/>
  <c r="K654" i="1"/>
  <c r="K653" i="1"/>
  <c r="K652" i="1"/>
  <c r="K651" i="1"/>
  <c r="K650" i="1"/>
  <c r="K649" i="1"/>
  <c r="K648" i="1"/>
  <c r="K647" i="1"/>
  <c r="K646" i="1"/>
  <c r="K645" i="1"/>
  <c r="K644" i="1"/>
  <c r="K643" i="1"/>
  <c r="K642" i="1"/>
  <c r="K641" i="1"/>
  <c r="K640" i="1"/>
  <c r="K639" i="1"/>
  <c r="K638" i="1"/>
  <c r="K637" i="1"/>
  <c r="K636" i="1"/>
  <c r="K635" i="1"/>
  <c r="K634" i="1"/>
  <c r="K633" i="1"/>
  <c r="K632" i="1"/>
  <c r="K631" i="1"/>
  <c r="K630" i="1"/>
  <c r="K629" i="1"/>
  <c r="K628" i="1"/>
  <c r="K627" i="1"/>
  <c r="K626" i="1"/>
  <c r="K625" i="1"/>
  <c r="K624" i="1"/>
  <c r="K623" i="1"/>
  <c r="K622" i="1"/>
  <c r="K621" i="1"/>
  <c r="K620" i="1"/>
  <c r="K619" i="1"/>
  <c r="K618" i="1"/>
  <c r="K617" i="1"/>
  <c r="K616" i="1"/>
  <c r="K615" i="1"/>
  <c r="K614" i="1"/>
  <c r="K613" i="1"/>
  <c r="K612" i="1"/>
  <c r="K611" i="1"/>
  <c r="K610" i="1"/>
  <c r="K609" i="1"/>
  <c r="K608" i="1"/>
  <c r="K607" i="1"/>
  <c r="K606" i="1"/>
  <c r="K605" i="1"/>
  <c r="K604" i="1"/>
  <c r="K603" i="1"/>
  <c r="K602" i="1"/>
  <c r="K601" i="1"/>
  <c r="K600" i="1"/>
  <c r="K599" i="1"/>
  <c r="K598" i="1"/>
  <c r="K597" i="1"/>
  <c r="K596" i="1"/>
  <c r="K595" i="1"/>
  <c r="K594" i="1"/>
  <c r="K591" i="1"/>
  <c r="K590" i="1"/>
  <c r="K589" i="1"/>
  <c r="K588" i="1"/>
  <c r="K587" i="1"/>
  <c r="K586" i="1"/>
  <c r="K585" i="1"/>
  <c r="K584" i="1"/>
  <c r="K583" i="1"/>
  <c r="K582" i="1"/>
  <c r="K581" i="1"/>
  <c r="K580" i="1"/>
  <c r="K579" i="1"/>
  <c r="K578" i="1"/>
  <c r="K577" i="1"/>
  <c r="K576" i="1"/>
  <c r="K575" i="1"/>
  <c r="K574" i="1"/>
  <c r="K573" i="1"/>
  <c r="K572" i="1"/>
  <c r="K571" i="1"/>
  <c r="K570" i="1"/>
  <c r="K569" i="1"/>
  <c r="K568" i="1"/>
  <c r="K567" i="1"/>
  <c r="K566" i="1"/>
  <c r="K565" i="1"/>
  <c r="K564" i="1"/>
  <c r="K563" i="1"/>
  <c r="K562" i="1"/>
  <c r="K561" i="1"/>
  <c r="K560" i="1"/>
  <c r="K559" i="1"/>
  <c r="K558" i="1"/>
  <c r="K557" i="1"/>
  <c r="K556" i="1"/>
  <c r="K555" i="1"/>
  <c r="K554" i="1"/>
  <c r="K553" i="1"/>
  <c r="K552" i="1"/>
  <c r="K551" i="1"/>
  <c r="K550" i="1"/>
  <c r="K549" i="1"/>
  <c r="K548" i="1"/>
  <c r="K547" i="1"/>
  <c r="K546" i="1"/>
  <c r="K545" i="1"/>
  <c r="K544" i="1"/>
  <c r="K543" i="1"/>
  <c r="K542" i="1"/>
  <c r="K541" i="1"/>
  <c r="K540" i="1"/>
  <c r="K539" i="1"/>
  <c r="K538" i="1"/>
  <c r="K537" i="1"/>
  <c r="K536" i="1"/>
  <c r="K535" i="1"/>
  <c r="K534" i="1"/>
  <c r="K533" i="1"/>
  <c r="K532" i="1"/>
  <c r="K531" i="1"/>
  <c r="K530" i="1"/>
  <c r="K529" i="1"/>
  <c r="K528" i="1"/>
  <c r="K527" i="1"/>
  <c r="K526" i="1"/>
  <c r="K525" i="1"/>
  <c r="K524" i="1"/>
  <c r="K523" i="1"/>
  <c r="K522" i="1"/>
  <c r="K521" i="1"/>
  <c r="K520" i="1"/>
  <c r="K519" i="1"/>
  <c r="K518" i="1"/>
  <c r="K517" i="1"/>
  <c r="K516" i="1"/>
  <c r="K515" i="1"/>
  <c r="K514" i="1"/>
  <c r="K513" i="1"/>
  <c r="K512" i="1"/>
  <c r="K511" i="1"/>
  <c r="K510" i="1"/>
  <c r="K509" i="1"/>
  <c r="K508" i="1"/>
  <c r="K507" i="1"/>
  <c r="K506" i="1"/>
  <c r="K505" i="1"/>
  <c r="K504" i="1"/>
  <c r="K503" i="1"/>
  <c r="K502" i="1"/>
  <c r="K501" i="1"/>
  <c r="K500" i="1"/>
  <c r="K499" i="1"/>
  <c r="K498" i="1"/>
  <c r="K497" i="1"/>
  <c r="K496" i="1"/>
  <c r="K495" i="1"/>
  <c r="K494" i="1"/>
  <c r="K493" i="1"/>
  <c r="K492" i="1"/>
  <c r="K491" i="1"/>
  <c r="K490" i="1"/>
  <c r="K489" i="1"/>
  <c r="K488" i="1"/>
  <c r="K487" i="1"/>
  <c r="K486" i="1"/>
  <c r="K485" i="1"/>
  <c r="K484" i="1"/>
  <c r="K483" i="1"/>
  <c r="K482" i="1"/>
  <c r="K481" i="1"/>
  <c r="K480" i="1"/>
  <c r="K479" i="1"/>
  <c r="K478" i="1"/>
  <c r="K477" i="1"/>
  <c r="K476" i="1"/>
  <c r="K475" i="1"/>
  <c r="K474" i="1"/>
  <c r="K473" i="1"/>
  <c r="K472" i="1"/>
  <c r="K471" i="1"/>
  <c r="K470" i="1"/>
  <c r="K469" i="1"/>
  <c r="K468" i="1"/>
  <c r="K467" i="1"/>
  <c r="K466" i="1"/>
  <c r="K465" i="1"/>
  <c r="K464" i="1"/>
  <c r="K463" i="1"/>
  <c r="K462" i="1"/>
  <c r="K461" i="1"/>
  <c r="K460" i="1"/>
  <c r="K459" i="1"/>
  <c r="K458" i="1"/>
  <c r="K457" i="1"/>
  <c r="K456" i="1"/>
  <c r="K455" i="1"/>
  <c r="K454" i="1"/>
  <c r="K453" i="1"/>
  <c r="K452" i="1"/>
  <c r="K451" i="1"/>
  <c r="K450" i="1"/>
  <c r="K449" i="1"/>
  <c r="K448" i="1"/>
  <c r="K447" i="1"/>
  <c r="K446" i="1"/>
  <c r="K445" i="1"/>
  <c r="K444" i="1"/>
  <c r="K443" i="1"/>
  <c r="K442" i="1"/>
  <c r="K441" i="1"/>
  <c r="K440" i="1"/>
  <c r="K439" i="1"/>
  <c r="K438" i="1"/>
  <c r="K437" i="1"/>
  <c r="K436" i="1"/>
  <c r="K435" i="1"/>
  <c r="K434" i="1"/>
  <c r="K433" i="1"/>
  <c r="K432" i="1"/>
  <c r="K431" i="1"/>
  <c r="K430" i="1"/>
  <c r="K429" i="1"/>
  <c r="K428" i="1"/>
  <c r="K427" i="1"/>
  <c r="K426" i="1"/>
  <c r="K425" i="1"/>
  <c r="K424" i="1"/>
  <c r="K423" i="1"/>
  <c r="K422" i="1"/>
  <c r="K421" i="1"/>
  <c r="K420" i="1"/>
  <c r="K419" i="1"/>
  <c r="K418" i="1"/>
  <c r="K417" i="1"/>
  <c r="K416" i="1"/>
  <c r="K415" i="1"/>
  <c r="K414" i="1"/>
  <c r="K413" i="1"/>
  <c r="K412" i="1"/>
  <c r="K411" i="1"/>
  <c r="K410" i="1"/>
  <c r="K409" i="1"/>
  <c r="K408" i="1"/>
  <c r="K407" i="1"/>
  <c r="K406" i="1"/>
  <c r="K405" i="1"/>
  <c r="K404" i="1"/>
  <c r="K403" i="1"/>
  <c r="K402" i="1"/>
  <c r="K401" i="1"/>
  <c r="K400" i="1"/>
  <c r="K399" i="1"/>
  <c r="K398" i="1"/>
  <c r="K397" i="1"/>
  <c r="K396" i="1"/>
  <c r="K395" i="1"/>
  <c r="K394" i="1"/>
  <c r="K393" i="1"/>
  <c r="K392" i="1"/>
  <c r="K391" i="1"/>
  <c r="K390" i="1"/>
  <c r="K389" i="1"/>
  <c r="K388" i="1"/>
  <c r="K387" i="1"/>
  <c r="K386" i="1"/>
  <c r="K385" i="1"/>
  <c r="K384" i="1"/>
  <c r="K383" i="1"/>
  <c r="K381" i="1"/>
  <c r="K380" i="1"/>
  <c r="K379" i="1"/>
  <c r="K378" i="1"/>
  <c r="K377" i="1"/>
  <c r="K376" i="1"/>
  <c r="K375" i="1"/>
  <c r="K374" i="1"/>
  <c r="K373" i="1"/>
  <c r="K372" i="1"/>
  <c r="K371" i="1"/>
  <c r="K370" i="1"/>
  <c r="K369" i="1"/>
  <c r="K368" i="1"/>
  <c r="K367" i="1"/>
  <c r="K366" i="1"/>
  <c r="K365" i="1"/>
  <c r="K364" i="1"/>
  <c r="K363" i="1"/>
  <c r="K362" i="1"/>
  <c r="K361" i="1"/>
  <c r="K360" i="1"/>
  <c r="K359" i="1"/>
  <c r="K358" i="1"/>
  <c r="K357" i="1"/>
  <c r="K356" i="1"/>
  <c r="K355" i="1"/>
  <c r="K354" i="1"/>
  <c r="K353" i="1"/>
  <c r="K352" i="1"/>
  <c r="K351" i="1"/>
  <c r="K350" i="1"/>
  <c r="K349" i="1"/>
  <c r="K348" i="1"/>
  <c r="K347" i="1"/>
  <c r="K346" i="1"/>
  <c r="K345" i="1"/>
  <c r="K344" i="1"/>
  <c r="K343" i="1"/>
  <c r="K342" i="1"/>
  <c r="K341" i="1"/>
  <c r="K340" i="1"/>
  <c r="K339" i="1"/>
  <c r="K338" i="1"/>
  <c r="K337" i="1"/>
  <c r="K335" i="1"/>
  <c r="K334" i="1"/>
  <c r="K327" i="1"/>
  <c r="K326" i="1"/>
  <c r="K325" i="1"/>
  <c r="K324" i="1"/>
  <c r="K323" i="1"/>
  <c r="K322" i="1"/>
  <c r="K321" i="1"/>
  <c r="K320" i="1"/>
  <c r="K319" i="1"/>
  <c r="K318" i="1"/>
  <c r="K317" i="1"/>
  <c r="K316" i="1"/>
  <c r="K315" i="1"/>
  <c r="K314" i="1"/>
  <c r="K313" i="1"/>
  <c r="K312" i="1"/>
  <c r="K311" i="1"/>
  <c r="K310" i="1"/>
  <c r="K309" i="1"/>
  <c r="K308" i="1"/>
  <c r="K307" i="1"/>
  <c r="K306" i="1"/>
  <c r="K305" i="1"/>
  <c r="K304" i="1"/>
  <c r="K303" i="1"/>
  <c r="K302" i="1"/>
  <c r="K301" i="1"/>
  <c r="K300" i="1"/>
  <c r="K299" i="1"/>
  <c r="K298" i="1"/>
  <c r="K297" i="1"/>
  <c r="K296" i="1"/>
  <c r="K295" i="1"/>
  <c r="K294" i="1"/>
  <c r="K293" i="1"/>
  <c r="K292" i="1"/>
  <c r="K291" i="1"/>
  <c r="K290" i="1"/>
  <c r="K289" i="1"/>
  <c r="K288" i="1"/>
  <c r="K287" i="1"/>
  <c r="K286" i="1"/>
  <c r="K285" i="1"/>
  <c r="K284" i="1"/>
  <c r="K283" i="1"/>
  <c r="K282" i="1"/>
  <c r="K281" i="1"/>
  <c r="K280" i="1"/>
  <c r="K279" i="1"/>
  <c r="K278" i="1"/>
  <c r="K277" i="1"/>
  <c r="K276" i="1"/>
  <c r="K275" i="1"/>
  <c r="K274" i="1"/>
  <c r="K273" i="1"/>
  <c r="K272" i="1"/>
  <c r="K271" i="1"/>
  <c r="K270" i="1"/>
  <c r="K269" i="1"/>
  <c r="K268" i="1"/>
  <c r="K267" i="1"/>
  <c r="K266" i="1"/>
  <c r="K265" i="1"/>
  <c r="K264" i="1"/>
  <c r="K263" i="1"/>
  <c r="K262" i="1"/>
  <c r="K261" i="1"/>
  <c r="K260" i="1"/>
  <c r="K259" i="1"/>
  <c r="K258" i="1"/>
  <c r="K257" i="1"/>
  <c r="K256" i="1"/>
  <c r="K255" i="1"/>
  <c r="K254" i="1"/>
  <c r="K253" i="1"/>
  <c r="K252" i="1"/>
  <c r="K251" i="1"/>
  <c r="K250" i="1"/>
  <c r="K249" i="1"/>
  <c r="K248" i="1"/>
  <c r="K247" i="1"/>
  <c r="K246" i="1"/>
  <c r="K245" i="1"/>
  <c r="K244" i="1"/>
  <c r="K243" i="1"/>
  <c r="K242" i="1"/>
  <c r="K241" i="1"/>
  <c r="K240" i="1"/>
  <c r="K239" i="1"/>
  <c r="K238" i="1"/>
  <c r="K237" i="1"/>
  <c r="K236" i="1"/>
  <c r="K235" i="1"/>
  <c r="K234" i="1"/>
  <c r="K233" i="1"/>
  <c r="K232" i="1"/>
  <c r="K231" i="1"/>
  <c r="K230" i="1"/>
  <c r="K229" i="1"/>
  <c r="K228" i="1"/>
  <c r="K227" i="1"/>
  <c r="K226" i="1"/>
  <c r="K225" i="1"/>
  <c r="K224" i="1"/>
  <c r="K223" i="1"/>
  <c r="K222" i="1"/>
  <c r="K221" i="1"/>
  <c r="K220" i="1"/>
  <c r="K219" i="1"/>
  <c r="K218" i="1"/>
  <c r="K217" i="1"/>
  <c r="K216" i="1"/>
  <c r="K215" i="1"/>
  <c r="K214" i="1"/>
  <c r="K213" i="1"/>
  <c r="K212" i="1"/>
  <c r="K211" i="1"/>
  <c r="K210" i="1"/>
  <c r="K209" i="1"/>
  <c r="K208" i="1"/>
  <c r="K207" i="1"/>
  <c r="K206" i="1"/>
  <c r="K205" i="1"/>
  <c r="K204" i="1"/>
  <c r="K203" i="1"/>
  <c r="K202" i="1"/>
  <c r="K201" i="1"/>
  <c r="K200" i="1"/>
  <c r="K199" i="1"/>
  <c r="K198" i="1"/>
  <c r="K197" i="1"/>
  <c r="K196" i="1"/>
  <c r="K195" i="1"/>
  <c r="K194" i="1"/>
  <c r="K193" i="1"/>
  <c r="K192" i="1"/>
  <c r="K191" i="1"/>
  <c r="K190" i="1"/>
  <c r="K189" i="1"/>
  <c r="K188" i="1"/>
  <c r="K187" i="1"/>
  <c r="K186" i="1"/>
  <c r="K185" i="1"/>
  <c r="K184" i="1"/>
  <c r="K183" i="1"/>
  <c r="K182" i="1"/>
  <c r="K181" i="1"/>
  <c r="K180" i="1"/>
  <c r="K179" i="1"/>
  <c r="K178" i="1"/>
  <c r="K177" i="1"/>
  <c r="K176" i="1"/>
  <c r="K175" i="1"/>
  <c r="K174" i="1"/>
  <c r="K173" i="1"/>
  <c r="K172" i="1"/>
  <c r="K171" i="1"/>
  <c r="K170" i="1"/>
  <c r="K169" i="1"/>
  <c r="K168" i="1"/>
  <c r="K167" i="1"/>
  <c r="K166" i="1"/>
  <c r="K165" i="1"/>
  <c r="K164" i="1"/>
  <c r="K163" i="1"/>
  <c r="K162" i="1"/>
  <c r="K161" i="1"/>
  <c r="K160" i="1"/>
  <c r="K159" i="1"/>
  <c r="K158" i="1"/>
  <c r="K157" i="1"/>
  <c r="K156" i="1"/>
  <c r="K155" i="1"/>
  <c r="K154" i="1"/>
  <c r="K153" i="1"/>
  <c r="K152" i="1"/>
  <c r="K151" i="1"/>
  <c r="K150" i="1"/>
  <c r="K149" i="1"/>
  <c r="K148" i="1"/>
  <c r="K147" i="1"/>
  <c r="K146" i="1"/>
  <c r="K145" i="1"/>
  <c r="K144" i="1"/>
  <c r="K143" i="1"/>
  <c r="K142" i="1"/>
  <c r="K141" i="1"/>
  <c r="K140" i="1"/>
  <c r="K139" i="1"/>
  <c r="K138" i="1"/>
  <c r="K137" i="1"/>
  <c r="K136" i="1"/>
  <c r="K135" i="1"/>
  <c r="K134" i="1"/>
  <c r="K133" i="1"/>
  <c r="K132" i="1"/>
  <c r="K131" i="1"/>
  <c r="K130" i="1"/>
  <c r="K129" i="1"/>
  <c r="K128" i="1"/>
  <c r="K127" i="1"/>
  <c r="K126" i="1"/>
  <c r="K125" i="1"/>
  <c r="K124" i="1"/>
  <c r="K123" i="1"/>
  <c r="K122" i="1"/>
  <c r="K121" i="1"/>
  <c r="K120" i="1"/>
  <c r="K119" i="1"/>
  <c r="K118" i="1"/>
  <c r="K117" i="1"/>
  <c r="K116" i="1"/>
  <c r="K115" i="1"/>
  <c r="K114" i="1"/>
  <c r="K113" i="1"/>
  <c r="K112" i="1"/>
  <c r="K111" i="1"/>
  <c r="K110" i="1"/>
  <c r="K109" i="1"/>
  <c r="K108" i="1"/>
  <c r="K107" i="1"/>
  <c r="K106" i="1"/>
  <c r="K105" i="1"/>
  <c r="K104" i="1"/>
  <c r="K103" i="1"/>
  <c r="K102" i="1"/>
  <c r="K101" i="1"/>
  <c r="K100" i="1"/>
  <c r="K99" i="1"/>
  <c r="K98" i="1"/>
  <c r="K97" i="1"/>
  <c r="K96" i="1"/>
  <c r="K95" i="1"/>
  <c r="K94" i="1"/>
  <c r="K93" i="1"/>
  <c r="K92" i="1"/>
  <c r="K91" i="1"/>
  <c r="K90" i="1"/>
  <c r="K89" i="1"/>
  <c r="K88" i="1"/>
  <c r="K87" i="1"/>
  <c r="K86" i="1"/>
  <c r="K85" i="1"/>
  <c r="K84" i="1"/>
  <c r="K83" i="1"/>
  <c r="K82" i="1"/>
  <c r="K81" i="1"/>
  <c r="K80" i="1"/>
  <c r="K79" i="1"/>
  <c r="K78" i="1"/>
  <c r="K77" i="1"/>
  <c r="K76" i="1"/>
  <c r="K75" i="1"/>
  <c r="K74" i="1"/>
  <c r="K73" i="1"/>
  <c r="K72" i="1"/>
  <c r="K71" i="1"/>
  <c r="K70" i="1"/>
  <c r="K69" i="1"/>
  <c r="K68" i="1"/>
  <c r="K67" i="1"/>
  <c r="K66" i="1"/>
  <c r="K65" i="1"/>
  <c r="K64" i="1"/>
  <c r="K63" i="1"/>
  <c r="K62" i="1"/>
  <c r="K61" i="1"/>
  <c r="K60" i="1"/>
  <c r="K59" i="1"/>
  <c r="K58" i="1"/>
  <c r="K57" i="1"/>
  <c r="K56" i="1"/>
  <c r="K55" i="1"/>
  <c r="K54" i="1"/>
  <c r="K53" i="1"/>
  <c r="K52" i="1"/>
  <c r="K51" i="1"/>
  <c r="K50" i="1"/>
  <c r="K49" i="1"/>
  <c r="K48" i="1"/>
  <c r="K47" i="1"/>
  <c r="K46" i="1"/>
  <c r="K45" i="1"/>
  <c r="K44" i="1"/>
  <c r="K43" i="1"/>
  <c r="K42" i="1"/>
  <c r="K41" i="1"/>
  <c r="K40" i="1"/>
  <c r="K39" i="1"/>
  <c r="K38" i="1"/>
  <c r="K37" i="1"/>
  <c r="K36" i="1"/>
  <c r="K35" i="1"/>
  <c r="K34" i="1"/>
  <c r="K33" i="1"/>
  <c r="K32" i="1"/>
  <c r="K31" i="1"/>
  <c r="K30" i="1"/>
  <c r="K29" i="1"/>
  <c r="K28" i="1"/>
  <c r="K27" i="1"/>
  <c r="K26" i="1"/>
  <c r="K25" i="1"/>
  <c r="K24" i="1"/>
  <c r="K23" i="1"/>
  <c r="K22" i="1"/>
  <c r="K21" i="1"/>
  <c r="K20" i="1"/>
  <c r="K18" i="1"/>
  <c r="K17" i="1"/>
  <c r="K16" i="1"/>
  <c r="K15" i="1"/>
  <c r="K14" i="1"/>
  <c r="K13" i="1"/>
  <c r="K12" i="1"/>
  <c r="K11" i="1"/>
  <c r="K10" i="1"/>
  <c r="K9" i="1"/>
  <c r="K8" i="1"/>
  <c r="K7" i="1"/>
  <c r="K6" i="1"/>
  <c r="K5" i="1"/>
  <c r="K4" i="1"/>
  <c r="K3" i="1"/>
  <c r="K2" i="1"/>
</calcChain>
</file>

<file path=xl/sharedStrings.xml><?xml version="1.0" encoding="utf-8"?>
<sst xmlns="http://schemas.openxmlformats.org/spreadsheetml/2006/main" count="7546" uniqueCount="2570">
  <si>
    <t>JKL</t>
  </si>
  <si>
    <t xml:space="preserve">ATC </t>
  </si>
  <si>
    <t>INN</t>
  </si>
  <si>
    <t>Zaštićeno ime leka</t>
  </si>
  <si>
    <t>FO</t>
  </si>
  <si>
    <t>Pakovanje i jačina  leka</t>
  </si>
  <si>
    <t>Naziv proizvođača leka</t>
  </si>
  <si>
    <t>Država proizvodnje leka</t>
  </si>
  <si>
    <t>Cena leka na veliko za pakovanje</t>
  </si>
  <si>
    <t>DDD</t>
  </si>
  <si>
    <t>Cena leka na veliko po DDD</t>
  </si>
  <si>
    <t>Participacija osiguranog lica</t>
  </si>
  <si>
    <t>Indikacija</t>
  </si>
  <si>
    <t>Napomena</t>
  </si>
  <si>
    <t>1122460</t>
  </si>
  <si>
    <t>A02BC01</t>
  </si>
  <si>
    <t>omeprazol</t>
  </si>
  <si>
    <t>OMEPROL</t>
  </si>
  <si>
    <t>gastrorezistentna kapsula, tvrda</t>
  </si>
  <si>
    <t>blister, 15 po 20 mg</t>
  </si>
  <si>
    <t>Zdravlje a.d.</t>
  </si>
  <si>
    <t>Republika Srbija</t>
  </si>
  <si>
    <t>20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</si>
  <si>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</si>
  <si>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</si>
  <si>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Slovenija</t>
  </si>
  <si>
    <t>OMEPROL T</t>
  </si>
  <si>
    <t>1122866</t>
  </si>
  <si>
    <t>A02BC02</t>
  </si>
  <si>
    <t>pantoprazol</t>
  </si>
  <si>
    <t>PANRAZOL</t>
  </si>
  <si>
    <t>gastrorezistentna tableta</t>
  </si>
  <si>
    <t>blister, 14 po 20 mg</t>
  </si>
  <si>
    <t>40 mg</t>
  </si>
  <si>
    <t xml:space="preserve"> 1. Za eradikaciju Helicobacter pylori infekcije do 14 dana dokazanu validnim testom (K22.1; K25; K26; K28),
 2. Nakon krvarenja iz peptičkog ulkusa do 2 meseca (K25; K26; K28), 
 3. Gastroezofagealna refluksna bolest  do 2 nedelje terapije  (K21).</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</si>
  <si>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</si>
  <si>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t>
  </si>
  <si>
    <t>1122867</t>
  </si>
  <si>
    <t>blister, 14 po 40 mg</t>
  </si>
  <si>
    <t>1122915</t>
  </si>
  <si>
    <t>NOLPAZA</t>
  </si>
  <si>
    <t>Krka, Tovarna Zdravil, d.d.;
Tad Pharma GMBH</t>
  </si>
  <si>
    <t>Slovenija;
Nemačka</t>
  </si>
  <si>
    <t>1122916</t>
  </si>
  <si>
    <t>blister, 28 po 20 mg</t>
  </si>
  <si>
    <t>1122920</t>
  </si>
  <si>
    <t>Krka, Tovarna Zdravil, d.d.</t>
  </si>
  <si>
    <t>1122921</t>
  </si>
  <si>
    <t>blister, 28 po 40 mg</t>
  </si>
  <si>
    <t xml:space="preserve">Krka, Tovarna Zdravil, d.d. </t>
  </si>
  <si>
    <t>1122500</t>
  </si>
  <si>
    <t>ACIPAN</t>
  </si>
  <si>
    <t>Lek farmacevtska družba d.d.</t>
  </si>
  <si>
    <t>1122502</t>
  </si>
  <si>
    <t>1122764</t>
  </si>
  <si>
    <t>A02BC04</t>
  </si>
  <si>
    <t>rabeprazol</t>
  </si>
  <si>
    <t>GASTROPRAZOL</t>
  </si>
  <si>
    <t>Balkanpharma-Dupnitsa AD; Adoc d.o.o. Beograd</t>
  </si>
  <si>
    <t>Bugarska; Republika Srbija</t>
  </si>
  <si>
    <t xml:space="preserve"> 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</si>
  <si>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1122765</t>
  </si>
  <si>
    <t>Grčka</t>
  </si>
  <si>
    <t>1122894</t>
  </si>
  <si>
    <t>RABEZOL</t>
  </si>
  <si>
    <t>Laboratorios Liconsa, S.A.</t>
  </si>
  <si>
    <t>Španija</t>
  </si>
  <si>
    <t>1122882</t>
  </si>
  <si>
    <t>A02BC05</t>
  </si>
  <si>
    <t>esomeprazol</t>
  </si>
  <si>
    <t>EMANERA</t>
  </si>
  <si>
    <t>30 mg</t>
  </si>
  <si>
    <t xml:space="preserve">Za indikaciju pod tačkom 2. lek se u terapiju uvodi na osnovu mišljenja gastroenterologa.
  Za indikaciju pod tačkom 3. nakon gore navedenog perioda lečenja  (2 nedelje) nastavak terapije do 8 nedelja u toku 12 meseci  na osnovu mišljenja: 
    a)   gastroenterologa ili
    b)   mišljenja specijaliste abdominalnog hirurga uz nalaz gornje endoskopije. </t>
  </si>
  <si>
    <t>1122881</t>
  </si>
  <si>
    <t>1122864</t>
  </si>
  <si>
    <t>1122865</t>
  </si>
  <si>
    <t>2127451</t>
  </si>
  <si>
    <t>A05BA..</t>
  </si>
  <si>
    <t>ornitinaspartat</t>
  </si>
  <si>
    <t>HEPA-MERZ</t>
  </si>
  <si>
    <t>granule za oralni rastvor</t>
  </si>
  <si>
    <t>Merz Pharma GmbH&amp;Co. KGaA</t>
  </si>
  <si>
    <t>Nemačka</t>
  </si>
  <si>
    <t>Portosistemske encefalopatije (K72).</t>
  </si>
  <si>
    <t>Lek se u uvodi u terapiju na osnovu mišljenja gastroenterologa ili infektologa/hepatologa.</t>
  </si>
  <si>
    <t>Holandija</t>
  </si>
  <si>
    <t>5129472</t>
  </si>
  <si>
    <t>A07EC02</t>
  </si>
  <si>
    <t>mesalazin</t>
  </si>
  <si>
    <t>SALOFALK</t>
  </si>
  <si>
    <t>supozitorija</t>
  </si>
  <si>
    <t>strip, 10 po 500 mg</t>
  </si>
  <si>
    <t>Dr Falk Pharma GmbH</t>
  </si>
  <si>
    <t>1,5 g</t>
  </si>
  <si>
    <t xml:space="preserve">1. Crohnova bolest (K50),
  2. Ulcerozni kolitis (K51). </t>
  </si>
  <si>
    <t>Za  indikacije pod tačkom 1. i 2.  lek se u terapiju uvodi na osnovu mišljenja gastroenterologa.</t>
  </si>
  <si>
    <t>5129476</t>
  </si>
  <si>
    <t>Dr. Falk Pharma GmbH</t>
  </si>
  <si>
    <t>3129476</t>
  </si>
  <si>
    <t>granule sa produženim oslobađanjem</t>
  </si>
  <si>
    <t>kesica, 50 po 500 mg</t>
  </si>
  <si>
    <t>Ulcerozni kolitis (K51)</t>
  </si>
  <si>
    <t>Lek se u terapiju uvodi na osnovu mišljenja gastroenterologa.</t>
  </si>
  <si>
    <t>3129478</t>
  </si>
  <si>
    <t>kesica, 50 po 1000 mg</t>
  </si>
  <si>
    <t>3129479</t>
  </si>
  <si>
    <t>kesica, 100 po 1000 mg</t>
  </si>
  <si>
    <t>1129474</t>
  </si>
  <si>
    <t>SALOFALK 500</t>
  </si>
  <si>
    <t>blister, 50 po 500 mg</t>
  </si>
  <si>
    <t xml:space="preserve">1. Crohnova bolest (K50),
2. Ulcerozni kolitis (K51). </t>
  </si>
  <si>
    <t>1129475</t>
  </si>
  <si>
    <t>blister, 100 po 500 mg</t>
  </si>
  <si>
    <t>1129110</t>
  </si>
  <si>
    <t>ASACOL</t>
  </si>
  <si>
    <t>blister, 100 po 400 mg</t>
  </si>
  <si>
    <t>1129130</t>
  </si>
  <si>
    <t>PENTASA</t>
  </si>
  <si>
    <t>tableta sa produženim oslobađanjem</t>
  </si>
  <si>
    <t>Ferring International Center SA</t>
  </si>
  <si>
    <t>Švajcarska</t>
  </si>
  <si>
    <t>5129131</t>
  </si>
  <si>
    <t>blister, 28 po 1 g</t>
  </si>
  <si>
    <t>3129501</t>
  </si>
  <si>
    <t>kesica, 60 po 2 g</t>
  </si>
  <si>
    <t>Ferring GmbH</t>
  </si>
  <si>
    <t xml:space="preserve">Ulcerozni kolitis (K51). </t>
  </si>
  <si>
    <t>3129500</t>
  </si>
  <si>
    <t>kesica, 30 po 4 g</t>
  </si>
  <si>
    <t>1043005</t>
  </si>
  <si>
    <t>A10BA02</t>
  </si>
  <si>
    <t>metformin</t>
  </si>
  <si>
    <t>GLUCOPHAGE</t>
  </si>
  <si>
    <t>film tableta</t>
  </si>
  <si>
    <t>blister, 60 po 500 mg</t>
  </si>
  <si>
    <t>Famar Lyon; Merck S.L.; Merck KGaA &amp; Co. WerK Spittal; Merck Sante S.A.S.; Merck KGaA</t>
  </si>
  <si>
    <t>Francuska; Španija; Austrija; Francuska; Nemačka</t>
  </si>
  <si>
    <t>2 g</t>
  </si>
  <si>
    <t>1043003</t>
  </si>
  <si>
    <t>blister, 30 po 500 mg</t>
  </si>
  <si>
    <t>2g</t>
  </si>
  <si>
    <t>1043001</t>
  </si>
  <si>
    <t>GLUCOPHAGE XR</t>
  </si>
  <si>
    <t>blister, 30 po 750 mg</t>
  </si>
  <si>
    <t>Merck S.L; Merck Sante S.A.S; Merck KGaA; Famar  Lyon</t>
  </si>
  <si>
    <t>Španija; Francuska; Nemačka; Francuska</t>
  </si>
  <si>
    <t>1043000</t>
  </si>
  <si>
    <t>blister, 30 po 1000 mg</t>
  </si>
  <si>
    <t>Merck Sante S.A.S; Merck KGaA;  Famar  Lyon</t>
  </si>
  <si>
    <t>Francuska; Nemačka; Francuska</t>
  </si>
  <si>
    <t>1042063</t>
  </si>
  <si>
    <t>A10BB09</t>
  </si>
  <si>
    <t>gliklazid</t>
  </si>
  <si>
    <t>DIAPREL MR</t>
  </si>
  <si>
    <t>tableta sa modifikovanim oslobađanjem</t>
  </si>
  <si>
    <t>blister, 30 po 60 mg</t>
  </si>
  <si>
    <t>Servier (Ireland) Industries Ltd.; Les Laboratoires Servier Industrie; Anpharm Przedsiebiorstwo Farmacetyzne S.A.</t>
  </si>
  <si>
    <t>Irska; Francuska; Poljska</t>
  </si>
  <si>
    <t>60 mg</t>
  </si>
  <si>
    <t>1042030</t>
  </si>
  <si>
    <t>GLICLADA SR</t>
  </si>
  <si>
    <t xml:space="preserve">blister, 30 po 60 mg </t>
  </si>
  <si>
    <t>Krka tovarna Zdravil d.d.</t>
  </si>
  <si>
    <t>1042028</t>
  </si>
  <si>
    <t>blister deljiv na pojedinačne doze, 30 po 90 mg</t>
  </si>
  <si>
    <t>Krka d.d., Novo Mesto; Tad Pharma GmbH</t>
  </si>
  <si>
    <t>Slovenija; Nemačka</t>
  </si>
  <si>
    <t>DIACLIDE MR</t>
  </si>
  <si>
    <t>Mcdermott Laboratories Limited, T/a Mylan Dublin; Mylan Hungary KFT</t>
  </si>
  <si>
    <t>Irska; Mađarska</t>
  </si>
  <si>
    <t>1341824</t>
  </si>
  <si>
    <t>A10BG03</t>
  </si>
  <si>
    <t>pioglitazon</t>
  </si>
  <si>
    <t>OGLITION</t>
  </si>
  <si>
    <t>tableta</t>
  </si>
  <si>
    <t>blister, 30 po 15 mg</t>
  </si>
  <si>
    <t xml:space="preserve"> Actavis Ltd.</t>
  </si>
  <si>
    <t xml:space="preserve"> Malta</t>
  </si>
  <si>
    <t>Monoterapija (uz promenu životnog stila, dijeta  i fizička aktivnost), ali samo u slučaju da postoji preosetljivost ili nepodnošenje metformina (E11.0; E11.2-E11.9)</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</si>
  <si>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dva oralna antidijabetika (trojna terapija)
 -metformin i sulfonilureja, kod odraslih pacijenata (naročito gojaznih), kod kojih nije moguće postići kontrolu glikemije upotrebom dva oralna antidijabetika.(E11.0; E11.2-E11.9)
3. U kombinaciji sa insulinom kod odraslih pacijenata obolelih od diabetes mellitus tip 2, kod kojih se kontrola glikemije nije mogla postići upotrebom samo insulina, a upotreba metformina je kontraindikovana ili postoji njegova netolerancija (E11.0; E11.2-E11.9)</t>
  </si>
  <si>
    <t>Lek se uvodi u terapiju na osnovu mišljenja endokrinologa</t>
  </si>
  <si>
    <t>1341826</t>
  </si>
  <si>
    <t>tablete</t>
  </si>
  <si>
    <t>blister, 30 po 30 mg</t>
  </si>
  <si>
    <t>A10BH01</t>
  </si>
  <si>
    <t>sitagliptin</t>
  </si>
  <si>
    <t>MAYSIGLU</t>
  </si>
  <si>
    <t>blister, 28 po 50 mg</t>
  </si>
  <si>
    <t>Krka d.d., Novo Mesto</t>
  </si>
  <si>
    <t>0.1 g</t>
  </si>
  <si>
    <t xml:space="preserve"> Lek se uvodi u terapiju na osnovu mišljenja endokrinologa</t>
  </si>
  <si>
    <t>blister, 28 po 100 mg</t>
  </si>
  <si>
    <t>1341072</t>
  </si>
  <si>
    <t>DOLISTA</t>
  </si>
  <si>
    <t>blister, 30 po 25 mg</t>
  </si>
  <si>
    <t>Hemofarm AD Vršac</t>
  </si>
  <si>
    <t>1341073</t>
  </si>
  <si>
    <t>blister, 30 po 50 mg</t>
  </si>
  <si>
    <t>1341074</t>
  </si>
  <si>
    <t>blister, 30 po 100 mg</t>
  </si>
  <si>
    <t>1050100</t>
  </si>
  <si>
    <t>A11CC03</t>
  </si>
  <si>
    <t>alfakalcidol</t>
  </si>
  <si>
    <t>ALPHA D3</t>
  </si>
  <si>
    <t>kapsula, meka</t>
  </si>
  <si>
    <t>1 mcg</t>
  </si>
  <si>
    <t>1. Hipokalcemija bilo koje etiologije ( E58 ),
  2. Renalna osteodistrofija ( N25.0 ),
  3. Osteomalacija kod vitamin D rezistentnog rahitisa ( E83.3),
  4. Glukokortikoidima indukovana osteoporoza ( M81.4).</t>
  </si>
  <si>
    <t>Lek se uvodi u terapiju za indikaciju pod tačkom 1.  na osnovu mišljenja endokrinologa, a pod tačkom 2. na osnovu mišljenja nefrologa ili endokrinologa, a pod tačkom 3. i 4. na osnovu mišljenja reumatologa.</t>
  </si>
  <si>
    <t>1050102</t>
  </si>
  <si>
    <t>1050101</t>
  </si>
  <si>
    <t>1050121</t>
  </si>
  <si>
    <t>A11CC04</t>
  </si>
  <si>
    <t>kalcitriol</t>
  </si>
  <si>
    <t xml:space="preserve">ROCALTROL </t>
  </si>
  <si>
    <t>blister, 100 po 0,25 mcg</t>
  </si>
  <si>
    <t>F. Hoffmann-La Roche Ltd.</t>
  </si>
  <si>
    <t xml:space="preserve">
  Renalna osteodistrofija ( N25.0 ).</t>
  </si>
  <si>
    <t>Lek se u terapiju uvodi na osnovu mišljenja nefrologa ili endokrinologa.</t>
  </si>
  <si>
    <t>2050087</t>
  </si>
  <si>
    <t>A11CC05</t>
  </si>
  <si>
    <t>holekalciferol</t>
  </si>
  <si>
    <t>oralne kapi, rastvor</t>
  </si>
  <si>
    <t>bočica sa kapaljkom, 1 po 10 ml (20000 i.j./ml)</t>
  </si>
  <si>
    <t>Lusomedicamenta Sociedade Tecnica Farmaceutica S.A.</t>
  </si>
  <si>
    <t>Portugalija</t>
  </si>
  <si>
    <t>20 mcg</t>
  </si>
  <si>
    <t>1063221</t>
  </si>
  <si>
    <t>B01AA07</t>
  </si>
  <si>
    <t>acenokumarol</t>
  </si>
  <si>
    <t>ACENOKUMAROL UNION</t>
  </si>
  <si>
    <t>blister, 30 po 4 mg</t>
  </si>
  <si>
    <t>Union-Medic d.o.o. Novi Sad</t>
  </si>
  <si>
    <t>5 mg</t>
  </si>
  <si>
    <t>1068220</t>
  </si>
  <si>
    <t>B01AC04</t>
  </si>
  <si>
    <t>klopidogrel</t>
  </si>
  <si>
    <t>PLAVIX</t>
  </si>
  <si>
    <t>28 po 75 mg</t>
  </si>
  <si>
    <t>Sanofi Winthrop Industrie</t>
  </si>
  <si>
    <t>Francuska</t>
  </si>
  <si>
    <t>75 mg</t>
  </si>
  <si>
    <t>1. Lek se uvodi u terapiju na osnovu mišljenja lekara zdravstvene ustanove koja vrši ugradnju stenta i/ili grafta, a obavlja zdravstvenu delatnost na sekundarnom ili tercijarnom nivou zdravstvene zaštite,  za period  do 12 meseci neposredno posle ugradnje stenta i/ili grafta. 
 2. Kod pacijenata u sekundarnoj prevenciji infarkta miokarda i mozga kod osoba koje su rezistentne na acetilsalicilnu kiselinu ( koji su imali jedan ili više vaskularnih događaja ), a na osnovu mišljenja kardiologa ili interniste ili neurologa/neuropsihijatra.</t>
  </si>
  <si>
    <t>1068502</t>
  </si>
  <si>
    <t>ZYLLT</t>
  </si>
  <si>
    <t>blister, 28 po 75 mg</t>
  </si>
  <si>
    <t>Hrvatska; Slovenija</t>
  </si>
  <si>
    <t>1068221</t>
  </si>
  <si>
    <t>ANTIAGREX</t>
  </si>
  <si>
    <t xml:space="preserve">Actavis LTD   </t>
  </si>
  <si>
    <t xml:space="preserve"> Malta       </t>
  </si>
  <si>
    <t>1068239</t>
  </si>
  <si>
    <t>CLOPIGAL</t>
  </si>
  <si>
    <t>Galenika a.d.</t>
  </si>
  <si>
    <t>Galenika A.D. Beograd</t>
  </si>
  <si>
    <t>1068551</t>
  </si>
  <si>
    <t>CLOPIDIX</t>
  </si>
  <si>
    <t>Hemofarm a.d.</t>
  </si>
  <si>
    <t>1068030</t>
  </si>
  <si>
    <t>CLOPICOR</t>
  </si>
  <si>
    <t>Actavis LTD</t>
  </si>
  <si>
    <t>Malta</t>
  </si>
  <si>
    <t>75mg</t>
  </si>
  <si>
    <t>1068520</t>
  </si>
  <si>
    <t>B01AC30</t>
  </si>
  <si>
    <t>klopidogrel, acetilsalicilna kiselina</t>
  </si>
  <si>
    <t>DUOPLAVIN</t>
  </si>
  <si>
    <t>blister, 28 po (75 mg + 100 mg)</t>
  </si>
  <si>
    <t>1 tableta</t>
  </si>
  <si>
    <t>60%</t>
  </si>
  <si>
    <t>1. Prevencija aterotrombotičkih dogadjaja na osnovu mišljenja interniste za period od 12 meseci nakon preležanog akutnog infarkta miokarda. 
2. Kod bolesnika sa anginom pektoris i za prevenciju tromboze stenta 12 meseci nakon ugradnje stenta sa oslobadjanjem leka i mesec dana nakon ugradnje stenta bez leka, na osnovu mišljenja lekara zdravstvene ustanove koja vrši ugradnju stenta.</t>
  </si>
  <si>
    <t>1060140</t>
  </si>
  <si>
    <t>B03AA02</t>
  </si>
  <si>
    <t>gvožđe II fumarat</t>
  </si>
  <si>
    <t>HEFEROL</t>
  </si>
  <si>
    <t>kapsula, tvrda</t>
  </si>
  <si>
    <t>blister, 30 po 350 mg</t>
  </si>
  <si>
    <t xml:space="preserve">Alkaloid a.d. </t>
  </si>
  <si>
    <t>Republika Severna Makedonija</t>
  </si>
  <si>
    <t>0,2 g</t>
  </si>
  <si>
    <t>1060075</t>
  </si>
  <si>
    <t>B03AB05</t>
  </si>
  <si>
    <t>gvožđe (III) hidroksid polimaltozni kompleks</t>
  </si>
  <si>
    <t>REFERUM</t>
  </si>
  <si>
    <t>tableta za žvakanje</t>
  </si>
  <si>
    <t>Slaviamed d.o.o.</t>
  </si>
  <si>
    <t>90 mg</t>
  </si>
  <si>
    <t>1101422</t>
  </si>
  <si>
    <t>C01BC04</t>
  </si>
  <si>
    <t>flekainid</t>
  </si>
  <si>
    <t>FLEKANID</t>
  </si>
  <si>
    <t>kapsula sa produženim oslobađanjem, tvrda</t>
  </si>
  <si>
    <t>blister, 60 po 50 mg</t>
  </si>
  <si>
    <t xml:space="preserve">Laboratorios Liconsa S.A. </t>
  </si>
  <si>
    <t>1. Paroksizmalne atrijalne aritmije (atrijalna fibrilacija, atrijalni flater i atrijalna tahikardija) kod pacijenata sa onesposobljavajućim simptomima nakon konverzije kod kojih postoji potreba za primenom leka na osnovu težine kliničkih simptoma i kada se drugi terapijski pristupi nisu pokazali efikasnim (I48).
2. AV-nodalne recipročne tahikardije; aritmije udružene sa Wolf-Parkinson-White sindromom i slična stanja koja karakteriše prisustvo dodatnih (akcesornih) puteva za sprovođenje impulsa iz pretkomora u komore, kada se drugi pristupi lečenju nisu pokazali kao efikasni (I45.6).</t>
  </si>
  <si>
    <t>Lek se u terapiju uvodi na osnovu mišljenja kardiologa ili interniste.</t>
  </si>
  <si>
    <t>1101423</t>
  </si>
  <si>
    <t>blister, 60 po 100 mg</t>
  </si>
  <si>
    <t>1101425</t>
  </si>
  <si>
    <t>blister, 60 po 200 mg</t>
  </si>
  <si>
    <t>7102621</t>
  </si>
  <si>
    <t>C01DA02</t>
  </si>
  <si>
    <t>gliceriltrinitrat (nitroglicerin)</t>
  </si>
  <si>
    <t>NITROLINGUAL</t>
  </si>
  <si>
    <t>sublingvalni sprej</t>
  </si>
  <si>
    <t>boca sa pumpom za doziranje, 14,4 ml/ 200 doza (0,4 mg/doza)</t>
  </si>
  <si>
    <t>G. Pohl-Boskamp GmbH &amp; Co. KG</t>
  </si>
  <si>
    <t>2,5 mg</t>
  </si>
  <si>
    <t>Velika Britanija</t>
  </si>
  <si>
    <t>1109100</t>
  </si>
  <si>
    <t>C01EB15</t>
  </si>
  <si>
    <t>trimetazidin</t>
  </si>
  <si>
    <t>TRIMETAZIDIN PHARMAS</t>
  </si>
  <si>
    <t>blister, 60 po 35 mg</t>
  </si>
  <si>
    <t xml:space="preserve">PharmaS d.o.o.; PharmaS d.o.o. </t>
  </si>
  <si>
    <t>Republika Srbija; Republika Hrvatska</t>
  </si>
  <si>
    <t xml:space="preserve">  Аnginа pektoris (I20) .</t>
  </si>
  <si>
    <t xml:space="preserve"> Lek se u terapiju uvodi na osnovu mišljenja interniste ili kardiologa.</t>
  </si>
  <si>
    <t>PharmaS d.o.o.</t>
  </si>
  <si>
    <t>1109142</t>
  </si>
  <si>
    <t>MODUXIN MR</t>
  </si>
  <si>
    <t>Gedeon Richter Polska SP, Z.Z.O; Gedeon Richter PLC</t>
  </si>
  <si>
    <t>Poljska; Madjarska</t>
  </si>
  <si>
    <t>1109138</t>
  </si>
  <si>
    <t>TRIMETACOR MR</t>
  </si>
  <si>
    <t>Rumunija</t>
  </si>
  <si>
    <t>1109140</t>
  </si>
  <si>
    <t>PREDUCTAL</t>
  </si>
  <si>
    <t>kapsula sa produženim oslobađanjem</t>
  </si>
  <si>
    <t>blister, 30 po 80 mg</t>
  </si>
  <si>
    <t>Egis Pharmaceuticals PLC</t>
  </si>
  <si>
    <t>Mađarska</t>
  </si>
  <si>
    <t>10 mg</t>
  </si>
  <si>
    <t>1103432</t>
  </si>
  <si>
    <t>C02AB02</t>
  </si>
  <si>
    <t>metildopa (racemat)</t>
  </si>
  <si>
    <t xml:space="preserve">METHYLDOPA </t>
  </si>
  <si>
    <t xml:space="preserve"> 20 po 250 mg</t>
  </si>
  <si>
    <t xml:space="preserve">  Lek se u terapiju uvodi na osnovu mišljenja interniste ili kardiologa.</t>
  </si>
  <si>
    <t>1103481</t>
  </si>
  <si>
    <t>C02AC05</t>
  </si>
  <si>
    <t>moksonidin</t>
  </si>
  <si>
    <t>PHYSIOTENS</t>
  </si>
  <si>
    <t>blister, 28 po 0,2 mg</t>
  </si>
  <si>
    <t>Mylan Laboratories SAS</t>
  </si>
  <si>
    <t>0,3 mg</t>
  </si>
  <si>
    <t>Esencijalna arterijska hipertenzija (I10).</t>
  </si>
  <si>
    <t>1103482</t>
  </si>
  <si>
    <t>blister, 28 po 0,4 mg</t>
  </si>
  <si>
    <t>1103090</t>
  </si>
  <si>
    <t>MOXOGAMMA 0.2</t>
  </si>
  <si>
    <t>blister, 30 po 0,2 mg</t>
  </si>
  <si>
    <t>Worwag Pharma GmbH &amp; Co. KG</t>
  </si>
  <si>
    <t>1103092</t>
  </si>
  <si>
    <t>MOXOGAMMA 0.3</t>
  </si>
  <si>
    <t>blister, 30 po 0,3 mg</t>
  </si>
  <si>
    <t>1103093</t>
  </si>
  <si>
    <t>MOXOGAMMA 0.4</t>
  </si>
  <si>
    <t>blister, 30 po 0,4 mg</t>
  </si>
  <si>
    <t>blister, 30 po 1 mg</t>
  </si>
  <si>
    <t>1 mg</t>
  </si>
  <si>
    <t>1103038</t>
  </si>
  <si>
    <t>C02CA04</t>
  </si>
  <si>
    <t>doksazosin</t>
  </si>
  <si>
    <t>DOXAZIN</t>
  </si>
  <si>
    <t>blister, 30 po 2 mg</t>
  </si>
  <si>
    <t>Jadran galenski laboratorij d.d</t>
  </si>
  <si>
    <t>Hrvatska</t>
  </si>
  <si>
    <t>4 mg</t>
  </si>
  <si>
    <t xml:space="preserve">  Lek se u terapiju uvodi na osnovu mišljenja interniste ili urologa.</t>
  </si>
  <si>
    <t>1103039</t>
  </si>
  <si>
    <t>1103046</t>
  </si>
  <si>
    <t>C03BA11</t>
  </si>
  <si>
    <t>indapamid</t>
  </si>
  <si>
    <t>INDAPRES SR</t>
  </si>
  <si>
    <t>blister, 30 po 1,5 mg</t>
  </si>
  <si>
    <t>1103051</t>
  </si>
  <si>
    <t>RAWEL SR</t>
  </si>
  <si>
    <t>Krka Tovarna Zdravil d.d.</t>
  </si>
  <si>
    <t>1103180</t>
  </si>
  <si>
    <t>VAZOPAMID</t>
  </si>
  <si>
    <t>Labormed - Pharma S.A.</t>
  </si>
  <si>
    <t xml:space="preserve"> Rumunija</t>
  </si>
  <si>
    <t>1103054</t>
  </si>
  <si>
    <t>SOPHTENSIF</t>
  </si>
  <si>
    <t>Sopharma AD</t>
  </si>
  <si>
    <t>Bugarska</t>
  </si>
  <si>
    <t>1400474</t>
  </si>
  <si>
    <t>C03CA04</t>
  </si>
  <si>
    <t>torasemid</t>
  </si>
  <si>
    <t>DIUVER</t>
  </si>
  <si>
    <t>blister, 30 po 5 mg</t>
  </si>
  <si>
    <t>Pliva Hrvatska d.o.o.</t>
  </si>
  <si>
    <t>15mg</t>
  </si>
  <si>
    <t>1400477</t>
  </si>
  <si>
    <t>blister, 30 po 10 mg</t>
  </si>
  <si>
    <t>1400480</t>
  </si>
  <si>
    <t>C03DA04</t>
  </si>
  <si>
    <t>eplerenon</t>
  </si>
  <si>
    <t>INSPRA</t>
  </si>
  <si>
    <t>Fareva Amboise</t>
  </si>
  <si>
    <t>50 mg</t>
  </si>
  <si>
    <t>Dodatak standardnoj terapiji koja uključuje ACE inhibitor (ili sartan), beta blokator i diuretik Henleove petlje, da bi se smanjio rizik od kardiovaskularnog oboljevanja i smrtnosti kod stabilnih bolesnika sa disfunkcijom leve komore (ejekciona frakcija leve komore - LVEF ≤40%) i klinički manifestnom srčanom insuficijencijom nakon skorašnjeg infarkta miokarda (I50).</t>
  </si>
  <si>
    <t>1400481</t>
  </si>
  <si>
    <t>1400484</t>
  </si>
  <si>
    <t>DIUPOT</t>
  </si>
  <si>
    <t>PharmaSwiss d.o.o Beograd</t>
  </si>
  <si>
    <t>1400485</t>
  </si>
  <si>
    <t>Hemofarm a.d. Vršac</t>
  </si>
  <si>
    <t>EPLESTAR</t>
  </si>
  <si>
    <t>1107018</t>
  </si>
  <si>
    <t>C07AA07</t>
  </si>
  <si>
    <t>sotalol</t>
  </si>
  <si>
    <t>DAROB MITE</t>
  </si>
  <si>
    <t>blister, 50 po 80 mg</t>
  </si>
  <si>
    <t xml:space="preserve">Abbvie Deutschland GMBH &amp; Co. KG </t>
  </si>
  <si>
    <t>0,16 g</t>
  </si>
  <si>
    <t xml:space="preserve"> Poremećaj ritma srca (I47; I48; I49).</t>
  </si>
  <si>
    <t>1107810</t>
  </si>
  <si>
    <t>C07AB02</t>
  </si>
  <si>
    <t>metoprolol sukcinat</t>
  </si>
  <si>
    <t>METOPROLOL XL SANDOZ</t>
  </si>
  <si>
    <t>film tableta sa modifikovanim oslobađanjem</t>
  </si>
  <si>
    <t>blister, 30 po 47,5 mg</t>
  </si>
  <si>
    <t>Salutas Pharma GmbH</t>
  </si>
  <si>
    <t>0,15 g</t>
  </si>
  <si>
    <t xml:space="preserve">1. Srčana insuficijencija ( I50 ).    </t>
  </si>
  <si>
    <t xml:space="preserve"> Lek se uvodi u terapiju na osnovu mišljenja kardiologa.</t>
  </si>
  <si>
    <t>1107814</t>
  </si>
  <si>
    <t>blister, 30 po 95 mg</t>
  </si>
  <si>
    <t>1107633</t>
  </si>
  <si>
    <t>C07AB12</t>
  </si>
  <si>
    <t>nebivolol</t>
  </si>
  <si>
    <t>BINEVOL</t>
  </si>
  <si>
    <t>PharmaSwiss d.o.o.</t>
  </si>
  <si>
    <t>1107634</t>
  </si>
  <si>
    <t>NEVOTENS</t>
  </si>
  <si>
    <t>1107666</t>
  </si>
  <si>
    <t>NEBIGAL</t>
  </si>
  <si>
    <t>Galenika AD. U restruktuiranju</t>
  </si>
  <si>
    <t>1107632</t>
  </si>
  <si>
    <t xml:space="preserve">NEBILET </t>
  </si>
  <si>
    <t>blister, 28 po 5 mg</t>
  </si>
  <si>
    <t xml:space="preserve"> Menarini-Von Heyden GmbH; Berlin - Chemie AG (Menarini Group)</t>
  </si>
  <si>
    <t>Nemačka; Nemačka</t>
  </si>
  <si>
    <t>1107629</t>
  </si>
  <si>
    <t>BARIOS</t>
  </si>
  <si>
    <t xml:space="preserve">Hemofarm AD </t>
  </si>
  <si>
    <t>1107610</t>
  </si>
  <si>
    <t>MASSIDO</t>
  </si>
  <si>
    <t>Alkaloid AD Skopje</t>
  </si>
  <si>
    <t>NEBITOL</t>
  </si>
  <si>
    <t>Actavis Ltd; Balkanpharma-Dupnista AD</t>
  </si>
  <si>
    <t>Malta; Bugarska</t>
  </si>
  <si>
    <t>NEVOLOL</t>
  </si>
  <si>
    <t>S.C. Antibiotice S.A.</t>
  </si>
  <si>
    <t>1107625</t>
  </si>
  <si>
    <t>C07AG02</t>
  </si>
  <si>
    <t>karvedilol</t>
  </si>
  <si>
    <t>KARVILEKS</t>
  </si>
  <si>
    <t>blister, 30 po 12,5 mg</t>
  </si>
  <si>
    <t>37,5 mg</t>
  </si>
  <si>
    <t>Arterijska hipertenzija (I10; I12; I13; I15)</t>
  </si>
  <si>
    <t xml:space="preserve"> Lek se uvodi u terapiju  na osnovu mišljenja interniste ili kardiologa.</t>
  </si>
  <si>
    <t>1107659</t>
  </si>
  <si>
    <t>MILENOL</t>
  </si>
  <si>
    <t>Hemofarm A.D</t>
  </si>
  <si>
    <t>37.5 mg</t>
  </si>
  <si>
    <t>1107658</t>
  </si>
  <si>
    <t>1107676</t>
  </si>
  <si>
    <t>CORYOL</t>
  </si>
  <si>
    <t>1107833</t>
  </si>
  <si>
    <t>KARVOL</t>
  </si>
  <si>
    <t>Ave Pharmaceutical d.o.o.</t>
  </si>
  <si>
    <t>1107834</t>
  </si>
  <si>
    <t>1107682</t>
  </si>
  <si>
    <t>KARVILEKS T</t>
  </si>
  <si>
    <t>Teva Pharmaceutical Works Private Limited Company</t>
  </si>
  <si>
    <t>1107215</t>
  </si>
  <si>
    <t>C07BB12</t>
  </si>
  <si>
    <t>nebivolol, hidrohlortiazid</t>
  </si>
  <si>
    <t>NEBILET PLUS 5/12.5</t>
  </si>
  <si>
    <t xml:space="preserve">Menarini - Von Heyden GmbH; Berlin - Chemie AG </t>
  </si>
  <si>
    <t>Za lečenje esencijalne arterijske hipertenzije (I10) ukoliko se tromesečno lečenje pojedinačnim lekovima koji se koriste za lečenje hipertenzije, uključujući lečenje sa više pojedinačnih lekova istovremeno, pokazalo nedovoljno efikasno</t>
  </si>
  <si>
    <t>1107701</t>
  </si>
  <si>
    <t>BINEVOL PLUS</t>
  </si>
  <si>
    <t>Pharmaswiss d.o.o., Beograd</t>
  </si>
  <si>
    <t>Za lečenje esencijalne arterijske hipertenzije (I10) ukoliko se tromesečno lečenje pojedinačnim lekovima koji se koriste za lečenje hipertenzije, uključujući lečenje sa više pojedinačnih lekova istovremeno, pokazalo nedovoljno efikasno.</t>
  </si>
  <si>
    <t>Pharmaswiss d.o.o. Beograd</t>
  </si>
  <si>
    <t>1107702</t>
  </si>
  <si>
    <t>1402821</t>
  </si>
  <si>
    <t>C08CA02</t>
  </si>
  <si>
    <t>felodipin</t>
  </si>
  <si>
    <t>PLENDIL</t>
  </si>
  <si>
    <t>bočica plastična, 30 po 5 mg</t>
  </si>
  <si>
    <t>AstraZeneca AB</t>
  </si>
  <si>
    <t>Švedska</t>
  </si>
  <si>
    <t xml:space="preserve"> 1. Angina pektoris (I20),
  2. Arterijska hipertenzija ( I10; I11; I12; I13; I15).</t>
  </si>
  <si>
    <t>1402843</t>
  </si>
  <si>
    <t>C08CA13</t>
  </si>
  <si>
    <t>lerkanidipin</t>
  </si>
  <si>
    <t>CORNELIN</t>
  </si>
  <si>
    <t>blister, 28 po 10 mg</t>
  </si>
  <si>
    <t>Hemofarm AD</t>
  </si>
  <si>
    <t>Blage do umerene esencijalne hipertenzije (I10)</t>
  </si>
  <si>
    <t>1402844</t>
  </si>
  <si>
    <t>1402784</t>
  </si>
  <si>
    <t>blister, 60 po 10 mg</t>
  </si>
  <si>
    <t>1402785</t>
  </si>
  <si>
    <t>blister, 60 po 20 mg</t>
  </si>
  <si>
    <t>1103916</t>
  </si>
  <si>
    <t>C09AA04</t>
  </si>
  <si>
    <t>perindopril</t>
  </si>
  <si>
    <t>PREXANIL</t>
  </si>
  <si>
    <t xml:space="preserve"> kontejner za tablete, 30 po 5 mg</t>
  </si>
  <si>
    <t>Les Laboratoires Servier Industrie; Servier (Ireland) Industries LTD; Anpharm Przedsiebiorstwo Farmaceutyczne SA</t>
  </si>
  <si>
    <t>Francuska; Irska; Poljska</t>
  </si>
  <si>
    <t>1103915</t>
  </si>
  <si>
    <t xml:space="preserve"> kontejner za tablete, 30 po 10 mg</t>
  </si>
  <si>
    <t>1103955</t>
  </si>
  <si>
    <t>RANBAPRIL</t>
  </si>
  <si>
    <t>Medico Uno d.o.o.</t>
  </si>
  <si>
    <t>1103956</t>
  </si>
  <si>
    <t>blister, 30 po 8 mg</t>
  </si>
  <si>
    <t>1103856</t>
  </si>
  <si>
    <t>PERIGARD</t>
  </si>
  <si>
    <t>1103857</t>
  </si>
  <si>
    <t>1103901</t>
  </si>
  <si>
    <t>PRENESSA</t>
  </si>
  <si>
    <t xml:space="preserve">
Krka, tovarna zdravil, d.d.</t>
  </si>
  <si>
    <t xml:space="preserve">
Slovenija</t>
  </si>
  <si>
    <t xml:space="preserve">4 mg </t>
  </si>
  <si>
    <t>1103906</t>
  </si>
  <si>
    <t>oralna disperzibilna tableta</t>
  </si>
  <si>
    <t>Krka, Tovarna Zdravil d.d</t>
  </si>
  <si>
    <t>blister, 20 po 10 mg</t>
  </si>
  <si>
    <t>15 mg</t>
  </si>
  <si>
    <t>1103702</t>
  </si>
  <si>
    <t>C09AA08</t>
  </si>
  <si>
    <t>cilazapril</t>
  </si>
  <si>
    <t xml:space="preserve">PRILAZID </t>
  </si>
  <si>
    <t>blister, 30 po 2,5 mg</t>
  </si>
  <si>
    <t>Galenika a.d. u saradnji sa F. Hoffmann-La Roche Ltd, Švajcarska</t>
  </si>
  <si>
    <t>1103704</t>
  </si>
  <si>
    <t xml:space="preserve"> blister, 30 po 5 mg</t>
  </si>
  <si>
    <t>1103810</t>
  </si>
  <si>
    <t>C09AA09</t>
  </si>
  <si>
    <t>fosinopril</t>
  </si>
  <si>
    <t>MONOPRIL</t>
  </si>
  <si>
    <t xml:space="preserve"> blister, 28 po 10 mg</t>
  </si>
  <si>
    <t>1103811</t>
  </si>
  <si>
    <t>1103467</t>
  </si>
  <si>
    <t>C09AA15</t>
  </si>
  <si>
    <t>zofenopril</t>
  </si>
  <si>
    <t>ZOFECARD</t>
  </si>
  <si>
    <t>blister, 28 po 30 mg</t>
  </si>
  <si>
    <t xml:space="preserve"> A. Menarini Manufacturing Logistics and Services  S.R.L.; Menarini - Von Heyden GmbH</t>
  </si>
  <si>
    <t>Italija; Nemačka</t>
  </si>
  <si>
    <t xml:space="preserve"> Esencijalna arterijska hipertenzija (I10).</t>
  </si>
  <si>
    <t xml:space="preserve"> </t>
  </si>
  <si>
    <t>Za lečenje arterijske hipertenzije (I10 i I11) ukoliko se tromesečno lečenje pojedinačnim lekovima koji se koriste za lečenje hipertenzije, uključujući lečenje sa više pojedinačnih lekova istovremeno, pokazalo nedovoljno efikasno.</t>
  </si>
  <si>
    <t>1401251</t>
  </si>
  <si>
    <t>C09BA04</t>
  </si>
  <si>
    <t>perindopril, indapamid</t>
  </si>
  <si>
    <t>CO-PRENESSA</t>
  </si>
  <si>
    <t>blister, 30 po (2 mg + 0,625 mg)</t>
  </si>
  <si>
    <t xml:space="preserve">Krka Tovarna Zdravil d.d. </t>
  </si>
  <si>
    <t xml:space="preserve"> Za lečenje esencijalne arterijske hipertenzije (I10) ukoliko se tromesečno lečenje pojedinačnim lekovima koji se koriste za lečenje hipertenzije, uključujući lečenje sa više pojedinačnih lekova istovremeno, pokazalo nedovoljno efikasno.</t>
  </si>
  <si>
    <t>1401252</t>
  </si>
  <si>
    <t>blister, 30 po (4 mg + 1,25 mg)</t>
  </si>
  <si>
    <t>1401255</t>
  </si>
  <si>
    <t>blister, 30 po (8 mg + 2,5 mg)</t>
  </si>
  <si>
    <t>1401606</t>
  </si>
  <si>
    <t>PREXANIL COMBI</t>
  </si>
  <si>
    <t>kontejner za tablete, 30 po (5 mg + 1,25 mg)</t>
  </si>
  <si>
    <t>1401607</t>
  </si>
  <si>
    <t>PREXANIL COMBI HD</t>
  </si>
  <si>
    <t>kontejner za tablete, 30 po (10 mg + 2,5 mg)</t>
  </si>
  <si>
    <t>Anpharm Przedsiebiorstwo Farmaceutyczne S.A.; Servier (Ireland) Industries Ltd; Les Laboratoires Servier Industrie</t>
  </si>
  <si>
    <t xml:space="preserve"> Poljska; Irska; Francuska</t>
  </si>
  <si>
    <t>1401190</t>
  </si>
  <si>
    <t>PERIGARD PLUS</t>
  </si>
  <si>
    <t>1401670</t>
  </si>
  <si>
    <t>PERCARNIL COMBO</t>
  </si>
  <si>
    <t>kontejner za tablete, 30 po (2,5 mg + 0,625 mg)</t>
  </si>
  <si>
    <t>Teva Gyogyszergyar ZRT.</t>
  </si>
  <si>
    <t>1401671</t>
  </si>
  <si>
    <t>1401672</t>
  </si>
  <si>
    <t>HYPRESSIN PLUS</t>
  </si>
  <si>
    <t>Bosnalijek d.d.</t>
  </si>
  <si>
    <t>Bosna i Hercegovina</t>
  </si>
  <si>
    <t>1401256</t>
  </si>
  <si>
    <t>COARPRENESSA</t>
  </si>
  <si>
    <t>blister, 30 po (5 mg + 1,25 mg)</t>
  </si>
  <si>
    <t>Krka D.D., Novo Mesto</t>
  </si>
  <si>
    <t>1401257</t>
  </si>
  <si>
    <t>blister, 30 po (10 mg + 2,5 mg)</t>
  </si>
  <si>
    <t>1401400</t>
  </si>
  <si>
    <t>C09BA08</t>
  </si>
  <si>
    <t>cilazapril, hidrohlortiazid</t>
  </si>
  <si>
    <t>PRILAZID PLUS</t>
  </si>
  <si>
    <t>blister, 30 po (5 mg + 12,5 mg)</t>
  </si>
  <si>
    <t>Galenika a.d. Beograd</t>
  </si>
  <si>
    <t>1401236</t>
  </si>
  <si>
    <t>C09BA09</t>
  </si>
  <si>
    <t>fosinopril, hidrohlortiazid</t>
  </si>
  <si>
    <t>MONOPRIL PLUS</t>
  </si>
  <si>
    <t>blister, 28 po (20 mg + 12,5 mg)</t>
  </si>
  <si>
    <t>1103884</t>
  </si>
  <si>
    <t>C09BB03</t>
  </si>
  <si>
    <t>lizinopril, amlodipin</t>
  </si>
  <si>
    <t>LISONORM</t>
  </si>
  <si>
    <t>blister, 30 po (10 mg + 5 mg)</t>
  </si>
  <si>
    <t>Gedeon Richter PLC</t>
  </si>
  <si>
    <t>1103455</t>
  </si>
  <si>
    <t>LISONORM FORTE</t>
  </si>
  <si>
    <t>blister, 30 po (20 mg + 10 mg)</t>
  </si>
  <si>
    <t>1103785</t>
  </si>
  <si>
    <t>blister, 30 po (20 mg + 5 mg)</t>
  </si>
  <si>
    <t>1103837</t>
  </si>
  <si>
    <t>SKOPRYL COMBO</t>
  </si>
  <si>
    <t>Alkaoid AD Skopje</t>
  </si>
  <si>
    <t>1103887</t>
  </si>
  <si>
    <t>1103888</t>
  </si>
  <si>
    <t>1103112</t>
  </si>
  <si>
    <t>C09BB04</t>
  </si>
  <si>
    <t>perindopril, amlodipin</t>
  </si>
  <si>
    <t>PREXANOR</t>
  </si>
  <si>
    <t>kontejner za tablete, 30 po (5 mg + 5 mg)</t>
  </si>
  <si>
    <t>Servier (Ireland) Industries Ltd.; Les Laboratoires Servier Industrie</t>
  </si>
  <si>
    <t>Irska; Francuska</t>
  </si>
  <si>
    <t>1103114</t>
  </si>
  <si>
    <t>kontejner za tablete, 30 po (5 mg + 10 mg)</t>
  </si>
  <si>
    <t>1103115</t>
  </si>
  <si>
    <t>kontejner za tablete, 30 po (10 mg + 5 mg)</t>
  </si>
  <si>
    <t>1103116</t>
  </si>
  <si>
    <t>kontejner za tablete, 30 po (10 mg + 10 mg)</t>
  </si>
  <si>
    <t>AMLESSA</t>
  </si>
  <si>
    <t>blister, 30 po (4 mg + 5 mg)</t>
  </si>
  <si>
    <t>blister, 30 po (4 mg + 10 mg)</t>
  </si>
  <si>
    <t>blister, 30 po (8 mg + 5 mg)</t>
  </si>
  <si>
    <t>blister, 30 po (8 mg + 10 mg)</t>
  </si>
  <si>
    <t>AMLESSINI</t>
  </si>
  <si>
    <t>blister, 30 po (2,85 mg + 2,5 mg)</t>
  </si>
  <si>
    <t>blister, 30 po (5,7 mg + 5 mg)</t>
  </si>
  <si>
    <t>1103957</t>
  </si>
  <si>
    <t>PERINDOPRIL/AMLODIPIN TEVA</t>
  </si>
  <si>
    <t>1103958</t>
  </si>
  <si>
    <t>1103959</t>
  </si>
  <si>
    <t>1103975</t>
  </si>
  <si>
    <t>VAZOTAL DUO</t>
  </si>
  <si>
    <t xml:space="preserve">Hemofarm a.d. </t>
  </si>
  <si>
    <t>PRIAMLO</t>
  </si>
  <si>
    <t>Zentiva K.S.</t>
  </si>
  <si>
    <t>Češka</t>
  </si>
  <si>
    <t>1103980</t>
  </si>
  <si>
    <t>ARAMLESSA</t>
  </si>
  <si>
    <t>blister, 30 po (5 mg + 5 mg)</t>
  </si>
  <si>
    <t>1103981</t>
  </si>
  <si>
    <t>blister, 30 po (5 mg + 10 mg)</t>
  </si>
  <si>
    <t>1103982</t>
  </si>
  <si>
    <t>1103983</t>
  </si>
  <si>
    <t>1403021</t>
  </si>
  <si>
    <t>C09BB05</t>
  </si>
  <si>
    <t>ramipril, felodipin</t>
  </si>
  <si>
    <t>TRIAPIN MITE</t>
  </si>
  <si>
    <t>blister, 28 po (2,5 mg + 2,5 mg)</t>
  </si>
  <si>
    <t>1403020</t>
  </si>
  <si>
    <t>TRIAPIN</t>
  </si>
  <si>
    <t>blister, 28 po (5 mg+ 5 mg)</t>
  </si>
  <si>
    <t>C09BB07</t>
  </si>
  <si>
    <t>ramipril, amlodipin</t>
  </si>
  <si>
    <t>AMLORAM</t>
  </si>
  <si>
    <t>blister, 30 po (2,5 mg + 5 mg)</t>
  </si>
  <si>
    <t>1103310</t>
  </si>
  <si>
    <t>AMLOPIN COMBO</t>
  </si>
  <si>
    <t>Lek Farmacevtska Družba D.D.</t>
  </si>
  <si>
    <t>1103311</t>
  </si>
  <si>
    <t>1103312</t>
  </si>
  <si>
    <t>1103313</t>
  </si>
  <si>
    <t>1103302</t>
  </si>
  <si>
    <t>AMORA</t>
  </si>
  <si>
    <t>Belupo D.D.</t>
  </si>
  <si>
    <t>Republika Hrvatska</t>
  </si>
  <si>
    <t>1103303</t>
  </si>
  <si>
    <t>1103304</t>
  </si>
  <si>
    <t>1103305</t>
  </si>
  <si>
    <t>PRILINDA DUO</t>
  </si>
  <si>
    <t>1103306</t>
  </si>
  <si>
    <t>1103307</t>
  </si>
  <si>
    <t>blister, 30 po (10mg + 5mg)</t>
  </si>
  <si>
    <t>1103308</t>
  </si>
  <si>
    <t>1103605</t>
  </si>
  <si>
    <t>C09BX01</t>
  </si>
  <si>
    <t>perindopril, amlodipin, indapamid</t>
  </si>
  <si>
    <t>CO-AMLESSA</t>
  </si>
  <si>
    <t>blister, 30 po (2 mg + 5 mg + 0,625 mg)</t>
  </si>
  <si>
    <t>Tad Pharma GmbH; Krka Polska
Spolka Z.O.O.; Krka, Tovarna
zdravil, D.D.</t>
  </si>
  <si>
    <t>Nemačka; Poljska; Slovenija</t>
  </si>
  <si>
    <t>1103608</t>
  </si>
  <si>
    <t>blister, 30 po (4mg+5mg+1.25mg)</t>
  </si>
  <si>
    <t>1103611</t>
  </si>
  <si>
    <t>blister, 30 po (4mg+10mg+1.25mg)</t>
  </si>
  <si>
    <t>1103614</t>
  </si>
  <si>
    <t>blister, 30 po (8mg+5mg+2.5mg)</t>
  </si>
  <si>
    <t>1103617</t>
  </si>
  <si>
    <t>blister, 30 po (8mg+10mg+2.5mg)</t>
  </si>
  <si>
    <t>1103600</t>
  </si>
  <si>
    <t>TRIPLIXAM</t>
  </si>
  <si>
    <t>kontejner za tablete, 30 po (5mg+5mg+1,25mg)</t>
  </si>
  <si>
    <t>Egis Pharmaceuticals PLC; Egis Pharmaceuticals PLC; Anpharm Przedsiebiorstwo Farmaceutyczne SA; Servier (Ireland) Industries LTD; Les Laboratoires Servier Industrie</t>
  </si>
  <si>
    <t>Mađarska; Mađarska; Poljska; Irska; Francuska</t>
  </si>
  <si>
    <t>1103602</t>
  </si>
  <si>
    <t>kontejner za tablete, 30 po (5mg+10mg+1,25mg)</t>
  </si>
  <si>
    <t>1103603</t>
  </si>
  <si>
    <t>kontejner za tablete, 30 po (10mg+5mg+2,5mg)</t>
  </si>
  <si>
    <t>1103604</t>
  </si>
  <si>
    <t>kontejner za tablete, 30 po (10mg+10mg+2,5mg)</t>
  </si>
  <si>
    <t>TRIPAMLO</t>
  </si>
  <si>
    <t>1103351</t>
  </si>
  <si>
    <t>C09CA01</t>
  </si>
  <si>
    <t>losartan</t>
  </si>
  <si>
    <t>ERYNORM</t>
  </si>
  <si>
    <t>1. Arterijska hipertenzija (I10; I11; I12; I13; I15);
2. Srčana insuficijencija sa EF manjom od 40 % kod bolesnika koji ne tolerišu ACE inhibitore (najčešće zbog upornog suvog kašlja) (I50).</t>
  </si>
  <si>
    <t>1103350</t>
  </si>
  <si>
    <t>1103594</t>
  </si>
  <si>
    <t>LOSAR</t>
  </si>
  <si>
    <t>1103000</t>
  </si>
  <si>
    <t>LOTAR</t>
  </si>
  <si>
    <t>Alkaloid d.o.o. Beograd; Alkaloid a.d. Skopje</t>
  </si>
  <si>
    <t>Republika Srbija; Republika Severna Makedonija</t>
  </si>
  <si>
    <t>1103001</t>
  </si>
  <si>
    <t>1103792</t>
  </si>
  <si>
    <t>LORISTA</t>
  </si>
  <si>
    <t>1103003</t>
  </si>
  <si>
    <t>AVELOSARTAN</t>
  </si>
  <si>
    <t>1103446</t>
  </si>
  <si>
    <t>C09CA03</t>
  </si>
  <si>
    <t>valsartan</t>
  </si>
  <si>
    <t>VALSACOR</t>
  </si>
  <si>
    <t>blister, 28 po 80 mg</t>
  </si>
  <si>
    <t>80 mg</t>
  </si>
  <si>
    <t>1. Esencijalna arterijska hipertenzija (I10);
2. Srčana insuficijencija sa EF manjom od 40 % kod bolesnika koji ne tolerišu ACE inhibitore (najčešće zbog upornog suvog kašlja) ( I50 ).</t>
  </si>
  <si>
    <t>1103445</t>
  </si>
  <si>
    <t>blister, 28 po 160 mg</t>
  </si>
  <si>
    <t>1103449</t>
  </si>
  <si>
    <t>blister, 28 po 320 mg</t>
  </si>
  <si>
    <t>1103782</t>
  </si>
  <si>
    <t>YANIDA</t>
  </si>
  <si>
    <t>1103784</t>
  </si>
  <si>
    <t>1103717</t>
  </si>
  <si>
    <t>BRAZART</t>
  </si>
  <si>
    <t>EMS, S.A.</t>
  </si>
  <si>
    <t>Brazil</t>
  </si>
  <si>
    <t>1103718</t>
  </si>
  <si>
    <t>blister, 30 po 160 mg</t>
  </si>
  <si>
    <t>1103719</t>
  </si>
  <si>
    <t>blister, 30 po 320 mg</t>
  </si>
  <si>
    <t>1103960</t>
  </si>
  <si>
    <t>1103965</t>
  </si>
  <si>
    <t>1103401</t>
  </si>
  <si>
    <t>C09CA04</t>
  </si>
  <si>
    <t>irbesartan</t>
  </si>
  <si>
    <t>IRBENIDA</t>
  </si>
  <si>
    <t>blister, 30 po 150 mg</t>
  </si>
  <si>
    <t xml:space="preserve"> Hipertenzija kod pacijenata sa diabetes mellitusom tip 2 kod dijabetične nefropatije (I10).</t>
  </si>
  <si>
    <t>1103403</t>
  </si>
  <si>
    <t>blister, 30 po 300 mg</t>
  </si>
  <si>
    <t>1103890</t>
  </si>
  <si>
    <t>C09CA07</t>
  </si>
  <si>
    <t>telmisartan</t>
  </si>
  <si>
    <t>MICARDIS</t>
  </si>
  <si>
    <t xml:space="preserve">Boehringer Ingelheim Pharma GmbH &amp; Co. KG; Delpharm Reims </t>
  </si>
  <si>
    <t>Nemačka; Francuska</t>
  </si>
  <si>
    <t>1. Esencijalna arterijska hipertenzija ( I10 );
2. Srčana insuficijencija sa EF manjom od 40 % kod bolesnika koji ne tolerišu ACE inhibitore (najčešće zbog upornog suvog kašlja) (I50).</t>
  </si>
  <si>
    <t>1103891</t>
  </si>
  <si>
    <t>28 po 80 mg</t>
  </si>
  <si>
    <t>1103509</t>
  </si>
  <si>
    <t>TELMIKOR</t>
  </si>
  <si>
    <t>1103510</t>
  </si>
  <si>
    <t>1103930</t>
  </si>
  <si>
    <t>TOLURA</t>
  </si>
  <si>
    <t>Krka D.D. Novo Mesto                    Krka Polska SP. Z.O.O.</t>
  </si>
  <si>
    <t>Slovenija;                     Poljska</t>
  </si>
  <si>
    <t>1103931</t>
  </si>
  <si>
    <t xml:space="preserve">  Slovenija;                        Poljska</t>
  </si>
  <si>
    <t>1103932</t>
  </si>
  <si>
    <t>TELMIPRES</t>
  </si>
  <si>
    <t>40mg</t>
  </si>
  <si>
    <t>1103933</t>
  </si>
  <si>
    <t>1401914</t>
  </si>
  <si>
    <t>C09DA01</t>
  </si>
  <si>
    <t>losartan, hidrohlortiazid</t>
  </si>
  <si>
    <t>LOSAR PLUS</t>
  </si>
  <si>
    <t>blister, 30 po (50 mg + 12,5 mg)</t>
  </si>
  <si>
    <t>1401120</t>
  </si>
  <si>
    <t>LORISTA H</t>
  </si>
  <si>
    <t>blister, 28 po (50 mg + 12,5 mg)</t>
  </si>
  <si>
    <t xml:space="preserve"> Krka, Tovarna Zdravil, d.d. </t>
  </si>
  <si>
    <t>1401121</t>
  </si>
  <si>
    <t>LORISTA HD</t>
  </si>
  <si>
    <t>blister, 28 po (100 mg + 25 mg)</t>
  </si>
  <si>
    <t>1103152</t>
  </si>
  <si>
    <t>ERYNORM PLUS</t>
  </si>
  <si>
    <t xml:space="preserve">1 tableta </t>
  </si>
  <si>
    <t>1401926</t>
  </si>
  <si>
    <t>C09DA03</t>
  </si>
  <si>
    <t>valsartan, hidrohlortiazid</t>
  </si>
  <si>
    <t>VALSACOMBI</t>
  </si>
  <si>
    <t>blister, 28 po (160 mg + 12,5 mg)</t>
  </si>
  <si>
    <t>Za lečenje esencijalne arterijske hipertenzije ( I10 ) ukoliko se tromesečno lečenje pojedinačnim lekovima koji se koriste za lečenje hipertenzije, uključujući lečenje sa više pojedinačnih lekova istovremeno, pokazalo nedovoljno efikasno.</t>
  </si>
  <si>
    <t>1401925</t>
  </si>
  <si>
    <t>blister, 28 po (160 mg + 25 mg)</t>
  </si>
  <si>
    <t>1401924</t>
  </si>
  <si>
    <t>1401935</t>
  </si>
  <si>
    <t>YANIDA PLUS</t>
  </si>
  <si>
    <t>1401934</t>
  </si>
  <si>
    <t>1401933</t>
  </si>
  <si>
    <t>1401006</t>
  </si>
  <si>
    <t>BRAZART PLUS</t>
  </si>
  <si>
    <t>blister, 30 po (80 mg + 12,5 mg)</t>
  </si>
  <si>
    <t>1401009</t>
  </si>
  <si>
    <t>blister, 30 po (160 mg + 12,5 mg)</t>
  </si>
  <si>
    <t>1401008</t>
  </si>
  <si>
    <t>blister, 30 po (160 mg + 25 mg)</t>
  </si>
  <si>
    <t>1401662</t>
  </si>
  <si>
    <t>C09DA04</t>
  </si>
  <si>
    <t>irbesartan, hidrohlortiazid</t>
  </si>
  <si>
    <t>IRBENIDA PLUS</t>
  </si>
  <si>
    <t>blister, 30 po (150 mg + 12,5 mg)</t>
  </si>
  <si>
    <t>1401663</t>
  </si>
  <si>
    <t>blister, 30 po (300 mg + 12,5 mg)</t>
  </si>
  <si>
    <t>1401053</t>
  </si>
  <si>
    <t>C09DA07</t>
  </si>
  <si>
    <t>telmisartan, hidrohlortiazid</t>
  </si>
  <si>
    <t>MICARDIS PLUS</t>
  </si>
  <si>
    <t>28 po (80 mg + 12,5 mg)</t>
  </si>
  <si>
    <t>Boehringer Ingelheim Pharma GmbH &amp; Co. KG</t>
  </si>
  <si>
    <t>1401003</t>
  </si>
  <si>
    <t>TOLUCOMBI</t>
  </si>
  <si>
    <t>1401004</t>
  </si>
  <si>
    <t>1401005</t>
  </si>
  <si>
    <t>1103672</t>
  </si>
  <si>
    <t>TELMIKOR PLUS</t>
  </si>
  <si>
    <t xml:space="preserve"> Actavis LTD</t>
  </si>
  <si>
    <t>1103671</t>
  </si>
  <si>
    <t>1103670</t>
  </si>
  <si>
    <t>1401064</t>
  </si>
  <si>
    <t>TELMIPRES PLUS</t>
  </si>
  <si>
    <t>C09DB01</t>
  </si>
  <si>
    <t>valsartan, amlodipin</t>
  </si>
  <si>
    <t>WAMLOX</t>
  </si>
  <si>
    <t>blister, 28 po (80mg+5mg)</t>
  </si>
  <si>
    <t>Krka, Tovarna Zdravil, d.d.; TAD Pharma GmbH; Krka farma d.o.o.</t>
  </si>
  <si>
    <t>Slovenija; Nemačka; Hrvatska</t>
  </si>
  <si>
    <t>1103805</t>
  </si>
  <si>
    <t>28 po (160mg+5mg)</t>
  </si>
  <si>
    <t>28 po (160mg+10mg)</t>
  </si>
  <si>
    <t>1104512</t>
  </si>
  <si>
    <t>C10AA01</t>
  </si>
  <si>
    <t>simvastatin</t>
  </si>
  <si>
    <t>CHOLIPAM</t>
  </si>
  <si>
    <t>blister, 30 po 20 mg</t>
  </si>
  <si>
    <t xml:space="preserve">1. Akutni  infarkt miokarda ( I21 ) kao hronična terapija nakon preležanog akutnog infarkta miokarda kao prevencija ponovnog infarkta miokarda.
   2. Infarkt mozga  ( I63 ) -  samo za pacijente koji su imali  infarkt mozga kao prevencija ponovljenog infarkta mozga.                </t>
  </si>
  <si>
    <t xml:space="preserve"> Lek se uvodi u terapiju na osnovu mišljenja kardiologa ili interniste ili  neurologa/neuropsihijatra.                  </t>
  </si>
  <si>
    <t>1104513</t>
  </si>
  <si>
    <t>1104490</t>
  </si>
  <si>
    <t>VASILIP</t>
  </si>
  <si>
    <t>1104491</t>
  </si>
  <si>
    <t>1104492</t>
  </si>
  <si>
    <t>1104610</t>
  </si>
  <si>
    <t>HOLLESTA</t>
  </si>
  <si>
    <t>1104611</t>
  </si>
  <si>
    <t>1104612</t>
  </si>
  <si>
    <t>blister, 30 po 40 mg</t>
  </si>
  <si>
    <t>1104482</t>
  </si>
  <si>
    <t>C10AA03</t>
  </si>
  <si>
    <t>pravastatin</t>
  </si>
  <si>
    <t>PRAVACOR</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</si>
  <si>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</si>
  <si>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</si>
  <si>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1104483</t>
  </si>
  <si>
    <t>1104125</t>
  </si>
  <si>
    <t>C10AA05</t>
  </si>
  <si>
    <t>atorvastatin</t>
  </si>
  <si>
    <t>ATACOR</t>
  </si>
  <si>
    <t xml:space="preserve">  1. Akutni  infarkt miokarda ( I21 ) kao hronična terapija nakon preležanog akutnog infarkta miokarda kao prevencija ponovnog infarkta miokarda.
   2. Infarkt mozga  ( I63 ) -  samo za pacijente koji su imali  infarkt mozga kao prevencija ponovnog infarkta mozga.               </t>
  </si>
  <si>
    <t xml:space="preserve"> Lek se uvodi u terapiju na osnovu mišljenja kardiologa ili interniste ili  neurologa/neuropsihijatra.                                                                                                                                                                                                                                                </t>
  </si>
  <si>
    <t>1104126</t>
  </si>
  <si>
    <t>1104127</t>
  </si>
  <si>
    <t>1104520</t>
  </si>
  <si>
    <t>ATORIS</t>
  </si>
  <si>
    <t>1104522</t>
  </si>
  <si>
    <t>1104524</t>
  </si>
  <si>
    <t>1104759</t>
  </si>
  <si>
    <t>DISLIPAT</t>
  </si>
  <si>
    <t>1104760</t>
  </si>
  <si>
    <t>1104551</t>
  </si>
  <si>
    <t>ATOLIP</t>
  </si>
  <si>
    <t>1104552</t>
  </si>
  <si>
    <t>1104794</t>
  </si>
  <si>
    <t>TOREZ</t>
  </si>
  <si>
    <t>Alkaloid d.o.o Beograd; Alkaloid a.d. Skoplje;</t>
  </si>
  <si>
    <t>20mg</t>
  </si>
  <si>
    <t>1104793</t>
  </si>
  <si>
    <t>1104792</t>
  </si>
  <si>
    <t>1104787</t>
  </si>
  <si>
    <t>HYPOLIP</t>
  </si>
  <si>
    <t>1104788</t>
  </si>
  <si>
    <t>1104789</t>
  </si>
  <si>
    <t>1104727</t>
  </si>
  <si>
    <t>C10AA07</t>
  </si>
  <si>
    <t>rosuvastatin</t>
  </si>
  <si>
    <t>ROXERA</t>
  </si>
  <si>
    <t xml:space="preserve">1. Akutni  infarkt miokarda ( I21 ) kao hronična terapija nakon preležanog akutnog infarkta miokarda kao prevencija ponovnog infarkta miokarda.
   2. Infarkt mozga  ( I63 ) -  samo za pacijente koji su imali  infarkt mozga kao prevencija ponovnog infarkta mozga.             </t>
  </si>
  <si>
    <t xml:space="preserve">Lek se uvodi u terapiju na osnovu mišljenja kardiologa ili interniste ili  neurologa/neuropsihijatra.               </t>
  </si>
  <si>
    <t>1104725</t>
  </si>
  <si>
    <t>1104728</t>
  </si>
  <si>
    <t>1104726</t>
  </si>
  <si>
    <t>1104771</t>
  </si>
  <si>
    <t>ROSUHOL</t>
  </si>
  <si>
    <t>1104772</t>
  </si>
  <si>
    <t>1104735</t>
  </si>
  <si>
    <t>ROSUVASTATIN SANDOZ</t>
  </si>
  <si>
    <t>Lek Farmaceutska družba d.d</t>
  </si>
  <si>
    <t>1104540</t>
  </si>
  <si>
    <t>PARAVANO</t>
  </si>
  <si>
    <t>Hemofarm A.D Vršac</t>
  </si>
  <si>
    <t>1104541</t>
  </si>
  <si>
    <t>1104542</t>
  </si>
  <si>
    <t>1104666</t>
  </si>
  <si>
    <t>EPRI</t>
  </si>
  <si>
    <t>1104667</t>
  </si>
  <si>
    <t>1104381</t>
  </si>
  <si>
    <t>ROSUVASTATIN ATB</t>
  </si>
  <si>
    <t xml:space="preserve">1. Akutni  infarkt miokarda (I21) kao hronična terapija nakon preležanog akutnog infarkta miokarda kao prevencija ponovnog infarkta miokarda.
   2. Infarkt mozga  (I63) -  samo za pacijente koji su imali  infarkt mozga kao prevencija ponovnog infarkta mozga.             </t>
  </si>
  <si>
    <t>1104380</t>
  </si>
  <si>
    <t>1104007</t>
  </si>
  <si>
    <t>RUSOVAS</t>
  </si>
  <si>
    <t>1104008</t>
  </si>
  <si>
    <t>1104555</t>
  </si>
  <si>
    <t>1104571</t>
  </si>
  <si>
    <t>ROPUIDO</t>
  </si>
  <si>
    <t>1104572</t>
  </si>
  <si>
    <t>1104736</t>
  </si>
  <si>
    <t>COUPET</t>
  </si>
  <si>
    <t>Lek farmacevtska  družba d.d.</t>
  </si>
  <si>
    <t>1104737</t>
  </si>
  <si>
    <t>1104594</t>
  </si>
  <si>
    <t>1104770</t>
  </si>
  <si>
    <t>1104232</t>
  </si>
  <si>
    <t>C10AB05</t>
  </si>
  <si>
    <t>fenofibrat</t>
  </si>
  <si>
    <t>FENOLIP</t>
  </si>
  <si>
    <t>50%</t>
  </si>
  <si>
    <t xml:space="preserve"> Lek se uvodi u terapiju na osnovu mišljenja interniste ako nakon tromesečne dijete trigliceridi u krvi nisu manji od 4.6 mmol/l. </t>
  </si>
  <si>
    <t>1104233</t>
  </si>
  <si>
    <t>ZYGLIP</t>
  </si>
  <si>
    <t>blister, 30 po 145 mg</t>
  </si>
  <si>
    <t>Alkaloid a.d.</t>
  </si>
  <si>
    <t>1104235</t>
  </si>
  <si>
    <t>LIPANTHYL 145</t>
  </si>
  <si>
    <t>0.2 g</t>
  </si>
  <si>
    <t>C10BA04</t>
  </si>
  <si>
    <t>simvastatin, fenofibrat</t>
  </si>
  <si>
    <t>TREAKOL</t>
  </si>
  <si>
    <t xml:space="preserve"> film tableta</t>
  </si>
  <si>
    <t>blister, 30 po (20mg+145mg)</t>
  </si>
  <si>
    <t>MYLAN LABORATORIES SAS</t>
  </si>
  <si>
    <t>1. Akutni  infarkt miokarda (I21) kao hronična terapija nakon preležanog akutnog infarkta miokarda kao prevencija ponovnog infarkta miokarda.
2. Infarkt mozga  (I63) -  samo za pacijente koji su imali  infarkt mozga kao prevencija ponovljenog infarkta mozga.</t>
  </si>
  <si>
    <t xml:space="preserve"> Lek se uvodi u terapiju na osnovu mišljenja kardiologa ili interniste ili  neurologa/neuropsihijatra.</t>
  </si>
  <si>
    <t>blister, 30 po (40mg+145mg)</t>
  </si>
  <si>
    <t>C10BX06</t>
  </si>
  <si>
    <t>atorvastatin, acetilsalicilna kiselina, ramipril</t>
  </si>
  <si>
    <t>TRINOMIA</t>
  </si>
  <si>
    <t>blister, 28 po (20mg+100mg+2.5mg)</t>
  </si>
  <si>
    <t xml:space="preserve">Ferrer Internacional SA </t>
  </si>
  <si>
    <t>1 kapsula</t>
  </si>
  <si>
    <t>1. Akutni  infarkt miokarda ( I21 ) kao hronična terapija nakon preležanog akutnog infarkta miokarda kao prevencija ponovnog infarkta miokarda.
2. Infarkt mozga  (I63) -  samo za pacijente koji su imali  infarkt mozga kao prevencija ponovnog infarkta mozga.</t>
  </si>
  <si>
    <t>Lek se uvodi u terapiju na osnovu mišljenja kardiologa ili interniste ili neurologa/neuropsihijatra.</t>
  </si>
  <si>
    <t>blister, 28 po (20mg+100mg+5mg)</t>
  </si>
  <si>
    <t>blister, 28 po (20mg+100mg+10 mg)</t>
  </si>
  <si>
    <t>D06BB03</t>
  </si>
  <si>
    <t>aciklovir</t>
  </si>
  <si>
    <t>krem</t>
  </si>
  <si>
    <t>4090291</t>
  </si>
  <si>
    <t>HERPLEX</t>
  </si>
  <si>
    <t>tuba, 1 po 5 g (50 mg/g)</t>
  </si>
  <si>
    <t>Belupo, Lijekovi i kozmetika d.d.</t>
  </si>
  <si>
    <t>4139162</t>
  </si>
  <si>
    <t>ACIKLOVIR UNION</t>
  </si>
  <si>
    <t>4152104</t>
  </si>
  <si>
    <t>D07AB10</t>
  </si>
  <si>
    <t xml:space="preserve">alklometazon </t>
  </si>
  <si>
    <t>AFLODERM</t>
  </si>
  <si>
    <t>tuba, 1 po 20 g (0,5 mg/g)</t>
  </si>
  <si>
    <t>Belupo d.d.</t>
  </si>
  <si>
    <t>4152100</t>
  </si>
  <si>
    <t>mast</t>
  </si>
  <si>
    <t>4153440</t>
  </si>
  <si>
    <t>D07AC13</t>
  </si>
  <si>
    <t>mometazon</t>
  </si>
  <si>
    <t>ELOCOM</t>
  </si>
  <si>
    <t>tuba, 1 po 15 g (0,1%)</t>
  </si>
  <si>
    <t>Belgija</t>
  </si>
  <si>
    <t>4153441</t>
  </si>
  <si>
    <t>1155442</t>
  </si>
  <si>
    <t>D10BA01</t>
  </si>
  <si>
    <t>izotretinoin</t>
  </si>
  <si>
    <t>ROACCUTAN</t>
  </si>
  <si>
    <t xml:space="preserve"> Akne conglobata ( L70.1).</t>
  </si>
  <si>
    <t>1155450</t>
  </si>
  <si>
    <t>AKNOVA</t>
  </si>
  <si>
    <t>Garmed Farmaceutica, LTDA</t>
  </si>
  <si>
    <t>6137312</t>
  </si>
  <si>
    <t>G01AA51</t>
  </si>
  <si>
    <t>nistatin, neomicin, polimiksin b</t>
  </si>
  <si>
    <t>POLYGYNAX</t>
  </si>
  <si>
    <t>vaginalna kapsula, meka</t>
  </si>
  <si>
    <t>blister, 12 po (100000 i.j. + 35000 i.j. + 35000 i.j.)</t>
  </si>
  <si>
    <t>Innothera Chouzy</t>
  </si>
  <si>
    <t xml:space="preserve">Vaginalna infekcija (N76). </t>
  </si>
  <si>
    <t xml:space="preserve">  Lek  se uvodi u terapiju na osnovu mišljenja ginekologa.</t>
  </si>
  <si>
    <t>0,1 g</t>
  </si>
  <si>
    <t>1135288</t>
  </si>
  <si>
    <t>G03AA15</t>
  </si>
  <si>
    <t>hlormadinon, etinilestradol</t>
  </si>
  <si>
    <t>BELARA</t>
  </si>
  <si>
    <t>blister, 21 po (2mg + 0.03mg)</t>
  </si>
  <si>
    <t>0.75 tableta</t>
  </si>
  <si>
    <t>Hormonska kontracepcija (Z30).</t>
  </si>
  <si>
    <t>Lek  se uvodi u terapiju na osnovu mišljenja ginekologa ili endokrinologa.</t>
  </si>
  <si>
    <t xml:space="preserve">  Menopauza (N95). </t>
  </si>
  <si>
    <t>1048790</t>
  </si>
  <si>
    <t>G03FA17</t>
  </si>
  <si>
    <t>drospirenon, estradiol</t>
  </si>
  <si>
    <t>ANGELIQ</t>
  </si>
  <si>
    <t>blister, 28 po (2 mg +1 mg)</t>
  </si>
  <si>
    <t>Bayer AG; Bayer Farmacevtska družba d.o.o.</t>
  </si>
  <si>
    <t>Nemačka; Slovenija</t>
  </si>
  <si>
    <t>1048781</t>
  </si>
  <si>
    <t>G03FB01</t>
  </si>
  <si>
    <t>norgestrel, estradiolvalerat</t>
  </si>
  <si>
    <t>CYCLO-PROGYNOVA</t>
  </si>
  <si>
    <t>obložena tableta</t>
  </si>
  <si>
    <t>blister, 1 po 21 (0,5 mg + 2 mg; 2 mg)</t>
  </si>
  <si>
    <t>Bayer Weimar GmbH &amp; CO.KG</t>
  </si>
  <si>
    <t>0,75 tabl.</t>
  </si>
  <si>
    <t>1048331</t>
  </si>
  <si>
    <t>G03HA01</t>
  </si>
  <si>
    <t>ciproteron</t>
  </si>
  <si>
    <t xml:space="preserve">ANDROCUR </t>
  </si>
  <si>
    <t>blister, 50 po 50 mg</t>
  </si>
  <si>
    <t>Delpharm Lille Sas; Bayer Weimar GmbH &amp; CO.KG</t>
  </si>
  <si>
    <t>Francuska;
Nemačka</t>
  </si>
  <si>
    <t xml:space="preserve">
 Maligni tumor prostate (C61).  </t>
  </si>
  <si>
    <t>Lek se uvodi u terapiju na osnovu mišljenja tri lekara - urologa zdravstvene ustanove koja obavlja zdravstvenu delatnost na tercijarnom nivou.</t>
  </si>
  <si>
    <t>1048176</t>
  </si>
  <si>
    <t>G03HB01</t>
  </si>
  <si>
    <t>ciproteron, etinilestradiol</t>
  </si>
  <si>
    <t>DIANE–35</t>
  </si>
  <si>
    <t>blister,1 po 21 (2 mg + 0,035 mg)</t>
  </si>
  <si>
    <t>Bayer Pharma AG; Bayer Weimar GmbH &amp; CO.KG</t>
  </si>
  <si>
    <t xml:space="preserve">1. Idiopatski hirzutizam (L68). Kod žena generativne dobi uz dismenoreju;
  2. Ozbiljne akne koje ne reaguju na antimikrobnu terapiju (L70). </t>
  </si>
  <si>
    <t>1139173</t>
  </si>
  <si>
    <t>G04BD07</t>
  </si>
  <si>
    <t>tolterodin</t>
  </si>
  <si>
    <t>DETRUSITOL</t>
  </si>
  <si>
    <t>blister, 28 po 2 mg</t>
  </si>
  <si>
    <t>Pfizer Italia S.R.L.</t>
  </si>
  <si>
    <t xml:space="preserve"> Italija</t>
  </si>
  <si>
    <t>1. Iritabilna bešika  (N39.4);
  2. Urinarna inkontinencija (N39.3).</t>
  </si>
  <si>
    <t>Lek  se uvodi u terapiju na osnovu mišljenja urologa ili ginekologa ili neurologa.</t>
  </si>
  <si>
    <t>G04BD08</t>
  </si>
  <si>
    <t>solifenacin</t>
  </si>
  <si>
    <t>blister, 10 po 5 mg</t>
  </si>
  <si>
    <t>1139025</t>
  </si>
  <si>
    <t>SAURUS</t>
  </si>
  <si>
    <t>1. Iritabilna bešika  (N39.4);
2. Urinarna inkontinencija (N39.3).</t>
  </si>
  <si>
    <t>1139026</t>
  </si>
  <si>
    <t>1139668</t>
  </si>
  <si>
    <t>SOLYSAN</t>
  </si>
  <si>
    <t>Pharmaswiss d.o.o</t>
  </si>
  <si>
    <t>1139667</t>
  </si>
  <si>
    <t>1139666</t>
  </si>
  <si>
    <t>1139010</t>
  </si>
  <si>
    <t>G04BD09</t>
  </si>
  <si>
    <t>trospijum hlorid</t>
  </si>
  <si>
    <t>INKONTAN</t>
  </si>
  <si>
    <t>blister, 20 po 15 mg</t>
  </si>
  <si>
    <t>Farmazeutische Fabrik Montavit Ges.m.b.H</t>
  </si>
  <si>
    <t>Austrija</t>
  </si>
  <si>
    <t>1139012</t>
  </si>
  <si>
    <t>blister, 20 po 30 mg</t>
  </si>
  <si>
    <t>1134230</t>
  </si>
  <si>
    <t>G04CA02</t>
  </si>
  <si>
    <t>tamsulosin</t>
  </si>
  <si>
    <t>TAMSOL</t>
  </si>
  <si>
    <t>0,4 mg</t>
  </si>
  <si>
    <t>Benigna hiperplazija prostate (N40).</t>
  </si>
  <si>
    <t xml:space="preserve">   Lek se uvodi u terapiju na osnovu mišljenja urologa.</t>
  </si>
  <si>
    <t>1134240</t>
  </si>
  <si>
    <t>BETAMSAL</t>
  </si>
  <si>
    <t>kapsula sa modifikovanim oslobađanjem, tvrda</t>
  </si>
  <si>
    <t>1134355</t>
  </si>
  <si>
    <t>TANYZ</t>
  </si>
  <si>
    <t>Krka, Tovarna, Zdravil, d.d.</t>
  </si>
  <si>
    <t>0.4 mg</t>
  </si>
  <si>
    <t>1134242</t>
  </si>
  <si>
    <t>TAMLOS</t>
  </si>
  <si>
    <t>1134667</t>
  </si>
  <si>
    <t>TAMPROST</t>
  </si>
  <si>
    <t>Salutas Pharma GmBH; Lek Pharmaceuticals D.D; Lek S.A; Salutas Pharma GmBH; Lek farmaceutska družba D.D</t>
  </si>
  <si>
    <t>Nemačka; Slovenija; Poljska; Nemačka; Slovenija</t>
  </si>
  <si>
    <t>1134666</t>
  </si>
  <si>
    <t>TAMSUDIL T</t>
  </si>
  <si>
    <t>Teva Gyogyszergyar Zrt</t>
  </si>
  <si>
    <t>1194244</t>
  </si>
  <si>
    <t>TAMSULOSIN PHS</t>
  </si>
  <si>
    <t>PharmaS d.o.o. Beograd;
Synthon Hispania SL</t>
  </si>
  <si>
    <t>Republika Srbija; Španija</t>
  </si>
  <si>
    <t>Lek se uvodi u terapiju na osnovu mišljenja urologa.</t>
  </si>
  <si>
    <t>1134237</t>
  </si>
  <si>
    <t>FLOSIN</t>
  </si>
  <si>
    <t>Menarini-Von Hezden GmbH; Synthon Hispania, S.L.</t>
  </si>
  <si>
    <t>Nemačka; Španija</t>
  </si>
  <si>
    <t>1134134</t>
  </si>
  <si>
    <t>TANYZ ERAS</t>
  </si>
  <si>
    <t>1134250</t>
  </si>
  <si>
    <t>G04CA52</t>
  </si>
  <si>
    <t>tamsulosin, dutasterid</t>
  </si>
  <si>
    <t>DUTAPROST COMB</t>
  </si>
  <si>
    <t>boca plastična, 30 po (0,4 mg + 0,5 mg)</t>
  </si>
  <si>
    <t>Laboratorios Leon Farma, S.A.</t>
  </si>
  <si>
    <t>1134251</t>
  </si>
  <si>
    <t>DUOTAM</t>
  </si>
  <si>
    <t>1134249</t>
  </si>
  <si>
    <t>DUTAMERA</t>
  </si>
  <si>
    <t>1134246</t>
  </si>
  <si>
    <t>DATUST DUO</t>
  </si>
  <si>
    <t>Stada Arzneimittel AG</t>
  </si>
  <si>
    <t>G04CA53</t>
  </si>
  <si>
    <t>tamsulosin, solifenacin</t>
  </si>
  <si>
    <t>1. Iritabilna bešika (N39.4) 
2. Urinarna inkontinencija (N39.3)
3. Benigna hiperplazija prostate (N40).</t>
  </si>
  <si>
    <t>1134205</t>
  </si>
  <si>
    <t>G04CB01</t>
  </si>
  <si>
    <t>finasterid</t>
  </si>
  <si>
    <t>PROSCAR</t>
  </si>
  <si>
    <t>28 po 5 mg</t>
  </si>
  <si>
    <t>1134228</t>
  </si>
  <si>
    <t>BENEPROST</t>
  </si>
  <si>
    <t>Ivančić i sinovi d.o.o.</t>
  </si>
  <si>
    <t>1134212</t>
  </si>
  <si>
    <t>FINASTERID PHARMAS</t>
  </si>
  <si>
    <t>1134266</t>
  </si>
  <si>
    <t>MOLUSKAL</t>
  </si>
  <si>
    <t>Teva Gyogyszergyar ZRT</t>
  </si>
  <si>
    <t>Krka Tovarna Zdravil d.d</t>
  </si>
  <si>
    <t>1134356</t>
  </si>
  <si>
    <t>PROSTEF</t>
  </si>
  <si>
    <t>1113413</t>
  </si>
  <si>
    <t>G04CB02</t>
  </si>
  <si>
    <t>dutasterid</t>
  </si>
  <si>
    <t>DATUST</t>
  </si>
  <si>
    <t>blister, 30 po 0,5 mg</t>
  </si>
  <si>
    <t>0,5 mg</t>
  </si>
  <si>
    <t xml:space="preserve"> Lek se uvodi u terapiju na osnovu mišljenja urologa.</t>
  </si>
  <si>
    <t>1134261</t>
  </si>
  <si>
    <t>DUTRYS</t>
  </si>
  <si>
    <t>Laboratorios Leon farma, S.A.;
Krka d.d., Novo Mesto</t>
  </si>
  <si>
    <t>Španija; Slovenija</t>
  </si>
  <si>
    <t>1134305</t>
  </si>
  <si>
    <t>AVODART</t>
  </si>
  <si>
    <t>Poljska</t>
  </si>
  <si>
    <t>1134400</t>
  </si>
  <si>
    <t>LESTEDON</t>
  </si>
  <si>
    <t>1134510</t>
  </si>
  <si>
    <t>DUTAPROST</t>
  </si>
  <si>
    <t>1134304</t>
  </si>
  <si>
    <t>VERION</t>
  </si>
  <si>
    <t>1045084</t>
  </si>
  <si>
    <t>H01BA02</t>
  </si>
  <si>
    <t>dezmopresin</t>
  </si>
  <si>
    <t>MINIRIN MELT</t>
  </si>
  <si>
    <t>oralni liofilizat</t>
  </si>
  <si>
    <t>blister, 30 po 60 mcg</t>
  </si>
  <si>
    <t>240 mcg</t>
  </si>
  <si>
    <t>1045082</t>
  </si>
  <si>
    <t>blister, 30 po 120 mcg</t>
  </si>
  <si>
    <t>H05AA02</t>
  </si>
  <si>
    <t>teriparatid</t>
  </si>
  <si>
    <t>Za prevenciju osteoporotičnih preloma kod novodijagnostikovanih pacijenata sa verifikovanim prelomom uzrokovanim traumom malog inteziteta, kod kojih je nakon  najmanje godinu dana upotrebe bisfosfonata (ili kraće, ako su se razvile neželjenje pojave na bisfosfonate) došlo do novog preloma i pada vrednosti DEXA nalaza u odnosu na vrednost pre početka lečenja.</t>
  </si>
  <si>
    <t xml:space="preserve"> Lek se uvodi u terapiju na osnovu mišljenja tri lekara i to reumatologa, endokrinologa i ortopeda zdravstvene ustanove koja obavlja zdravstvenu delatnost na tercijarnom nivou.</t>
  </si>
  <si>
    <t>0040244</t>
  </si>
  <si>
    <t>TERROSA</t>
  </si>
  <si>
    <t>rastvor za injekciju</t>
  </si>
  <si>
    <t>0040243</t>
  </si>
  <si>
    <t>MOVYMIA</t>
  </si>
  <si>
    <t>uložak, 1 po 2,4 ml (20mcg/80µl)</t>
  </si>
  <si>
    <t>1021600</t>
  </si>
  <si>
    <t>J01CR02</t>
  </si>
  <si>
    <t>amoksicilin, klavulanska kiselina</t>
  </si>
  <si>
    <t>PANKLAV</t>
  </si>
  <si>
    <t xml:space="preserve">film tableta </t>
  </si>
  <si>
    <t>bočica staklena, 15 po 375 mg (250 mg + 125 mg)</t>
  </si>
  <si>
    <t>1 g</t>
  </si>
  <si>
    <t xml:space="preserve"> 1.  Infekcije gornjeg i donjeg respiratornog trakta (J00- J06.8; J20; J32; J40; J41; J42),
 2.  Infekcije urogenitalnog trakta  ( N30, N34; N36; N37; N39 ),
 3.  Infekcije srednjeg uha ( H65; H66 ).</t>
  </si>
  <si>
    <t>1021601</t>
  </si>
  <si>
    <t>bočica staklena, 20 po 625 mg (500 mg + 125 mg)</t>
  </si>
  <si>
    <t>1021607</t>
  </si>
  <si>
    <t>PANKLAV 2X</t>
  </si>
  <si>
    <t>teglica, 14 po 1000 mg (875 mg + 125 mg)</t>
  </si>
  <si>
    <t>1021566</t>
  </si>
  <si>
    <t xml:space="preserve">AMOKSIKLAV 2X </t>
  </si>
  <si>
    <t>blister, 10 po 
(500 mg + 125 mg)</t>
  </si>
  <si>
    <t>1021567</t>
  </si>
  <si>
    <t>blister, 10 po
 (875 mg + 125 mg)</t>
  </si>
  <si>
    <t>1021560</t>
  </si>
  <si>
    <t xml:space="preserve">AMOKSIKLAV </t>
  </si>
  <si>
    <t>bočica staklena, 15 po (500 mg + 125 mg)</t>
  </si>
  <si>
    <t>1021632</t>
  </si>
  <si>
    <t>AUGMENTIN</t>
  </si>
  <si>
    <t>14 po (875 mg + 125 mg)</t>
  </si>
  <si>
    <t>1g</t>
  </si>
  <si>
    <t>1021611</t>
  </si>
  <si>
    <t>1021610</t>
  </si>
  <si>
    <t>1321900</t>
  </si>
  <si>
    <t>J01DB05</t>
  </si>
  <si>
    <t>cefadroksil</t>
  </si>
  <si>
    <t>VALDOCEF</t>
  </si>
  <si>
    <t>blister,16 po 500 mg</t>
  </si>
  <si>
    <t>Alkaloid AD Skoplje</t>
  </si>
  <si>
    <t>1.Infekcije gornjeg respiratornog trakta ( J02-J03);
2.Akutno zapaljenje mokraćne bešike (N30);
3. Infekcija mokraćnih puteva neoznačene lokalizacije (N39.0);
4. Infekcije kože i mekog tkiva (L00-L08).</t>
  </si>
  <si>
    <t>1321976</t>
  </si>
  <si>
    <t>J01DC02</t>
  </si>
  <si>
    <t>cefuroksim</t>
  </si>
  <si>
    <t>CEROXIM</t>
  </si>
  <si>
    <t>blister, 10 po 250 mg</t>
  </si>
  <si>
    <t>0,5 g</t>
  </si>
  <si>
    <t xml:space="preserve"> 1. Infekcije donjeg respiratornog trakta (J13; J14; J15; J20; J32; J40; J41; J42),
  2. Infekcije kože i i mekog tkiva ( L00-L08 ),
  3. Infekcije mokraćne bešike i mokraćnih puteva ( N30; N34 ), 
  4. Lajmska bolest (A69.2).</t>
  </si>
  <si>
    <t>1321977</t>
  </si>
  <si>
    <t>blister, 10 po 500 mg</t>
  </si>
  <si>
    <t>1321956</t>
  </si>
  <si>
    <t>ZINNAT</t>
  </si>
  <si>
    <t>blister, 14 po 500 mg</t>
  </si>
  <si>
    <t>1321807</t>
  </si>
  <si>
    <t>AKSEF</t>
  </si>
  <si>
    <t>Nobel Ilac Sanayii ve Ticaret A.S.</t>
  </si>
  <si>
    <t>Turska</t>
  </si>
  <si>
    <t>0.5 g</t>
  </si>
  <si>
    <t>Alkaloid a.d. Skopje</t>
  </si>
  <si>
    <t>1321950</t>
  </si>
  <si>
    <t>J01DC10</t>
  </si>
  <si>
    <t>cefprozil</t>
  </si>
  <si>
    <t>CEFZIL</t>
  </si>
  <si>
    <t>Pencef Pharma GMBH</t>
  </si>
  <si>
    <t>1. Infekcije gornjeg i donjeg respiratornog trakta (J00-J06.8; J13; J14; J15; J20; J32; J40; J41; J42), 
2. Infekcije koţe i mekog tkiva ( L00-L08 ), 
3. Infekcije mokraćne bešike i mokraćnih puteva ( N30; N34 ), 
4. Zapaljenje srednjeg uha (H65;H66).</t>
  </si>
  <si>
    <t>1321620</t>
  </si>
  <si>
    <t>J01DD08</t>
  </si>
  <si>
    <t>cefiksim</t>
  </si>
  <si>
    <t>PANCEF</t>
  </si>
  <si>
    <t>blister, 10 po 400 mg</t>
  </si>
  <si>
    <t>0,4 g</t>
  </si>
  <si>
    <t>1. Infekcije gornjeg i donjeg respiratornog trakta (J01-J03; J13; J14; J15; J20; J32; J40; J41; J42); 
2. Zapaljenje srednjeg uha (H65; H66); 
3. Urinarne infekcije (N00; N10; N30; N34).</t>
  </si>
  <si>
    <t>1321622</t>
  </si>
  <si>
    <t>blister, 5 po 400 mg</t>
  </si>
  <si>
    <t>1321623</t>
  </si>
  <si>
    <t>CEFAPAN</t>
  </si>
  <si>
    <t>1321521</t>
  </si>
  <si>
    <t>J01DD13</t>
  </si>
  <si>
    <t>cefpodoksim</t>
  </si>
  <si>
    <t>TRIDOX</t>
  </si>
  <si>
    <t>blister, 10 po 100 mg</t>
  </si>
  <si>
    <t>1. Infekcije gornjeg i donjeg respiratornog trakta (J01-J03; J13; J14; J15; J20; J32; J40; J41; J42);
 2. Zapaljenje srednjeg uha (H65;H66);
 3. Urinarne infekcije (N00; N10; N30; N34).</t>
  </si>
  <si>
    <t>1321523</t>
  </si>
  <si>
    <t>blister, 10 po 200 mg</t>
  </si>
  <si>
    <t>1325300</t>
  </si>
  <si>
    <t>J01FA06</t>
  </si>
  <si>
    <t>roksitromicin</t>
  </si>
  <si>
    <t>ROXIMISAN</t>
  </si>
  <si>
    <t>blister, 10 po 150 mg</t>
  </si>
  <si>
    <t>0,3 g</t>
  </si>
  <si>
    <t>1. Infekcije respiratornog trakta (J00-J06;J15.7;J16.0; J20-J32, J40; J41-J42);
2. Infekcije srednjeg uha (H65;H66);
3. Infekcije kože i mekog tkiva (L00-L08);
4. Infekcije mokraćnih puteva (N34).</t>
  </si>
  <si>
    <t>1325611</t>
  </si>
  <si>
    <t>J01FA09</t>
  </si>
  <si>
    <t>klaritromicin</t>
  </si>
  <si>
    <t>FROMILID</t>
  </si>
  <si>
    <t>1. Infekcije respiratornog trakta ( J00-J06; J15.7; J16.0; J20-J32; J41-J42 ), 
 2. Infekcije srednjeg uha ( H65; H66 ),
 3. Infekcije kože i i mekog tkiva ( L00-L08 ),
 4. Infekcije želuca i dvanaestopalačnog creva sa Helicobacter pylori (K29),
 5. Infekcije izazvane Mycobacterium ( A31 ).</t>
  </si>
  <si>
    <t>1325651</t>
  </si>
  <si>
    <t>FROMILID UNO</t>
  </si>
  <si>
    <t>blister, 7 po 500 mg</t>
  </si>
  <si>
    <t>1325653</t>
  </si>
  <si>
    <t>1325525</t>
  </si>
  <si>
    <t>KLACID</t>
  </si>
  <si>
    <t>AbbVie S.r.l.</t>
  </si>
  <si>
    <t>Italija</t>
  </si>
  <si>
    <t>1325527</t>
  </si>
  <si>
    <t>KLACID MR</t>
  </si>
  <si>
    <t>1325480</t>
  </si>
  <si>
    <t>J01FA10</t>
  </si>
  <si>
    <t>azitromicin</t>
  </si>
  <si>
    <t>HEMOMYCIN</t>
  </si>
  <si>
    <t>blister, 6 po 250 mg</t>
  </si>
  <si>
    <t>1. Infekcije respiratornog trakta (J00-J06; J15.7; J16.0; J20-J32; J40; J41-J42),
 2. Infekcije srednjeg uha (H65; H66),
 3. Infekcije kože i i mekog tkiva (L00-L08),
 4. Infekcije izazvane Chlamydia-ma (A55;  A56),
 5. Negonokokni uretritis (N34.1),
 6. Cervicitis (N72).</t>
  </si>
  <si>
    <t>1325482</t>
  </si>
  <si>
    <t>blister, 3 po 500 mg</t>
  </si>
  <si>
    <t>1325470</t>
  </si>
  <si>
    <t>SUMAMED KAPSULE</t>
  </si>
  <si>
    <t>1325472</t>
  </si>
  <si>
    <t>SUMAMED TABLETE 500</t>
  </si>
  <si>
    <t>1325541</t>
  </si>
  <si>
    <t>AZIBIOT</t>
  </si>
  <si>
    <t xml:space="preserve"> Krka Polska SP. Z.O.O.</t>
  </si>
  <si>
    <t>1325563</t>
  </si>
  <si>
    <t>AZINOCIN</t>
  </si>
  <si>
    <t>EMS, S.A.; Galenika a.d.</t>
  </si>
  <si>
    <t>Brazil; Republika Srbija</t>
  </si>
  <si>
    <t>1326226</t>
  </si>
  <si>
    <t>J01FF01</t>
  </si>
  <si>
    <t>klindamicin</t>
  </si>
  <si>
    <t>CLINDAMYCIN-MIP</t>
  </si>
  <si>
    <t>blister, 12 po 300 mg</t>
  </si>
  <si>
    <t>1,2 g</t>
  </si>
  <si>
    <t>1326228</t>
  </si>
  <si>
    <t>blister, 12 po 600 mg</t>
  </si>
  <si>
    <t>1326222</t>
  </si>
  <si>
    <t>blister, 30 po 600 mg</t>
  </si>
  <si>
    <t>1329380</t>
  </si>
  <si>
    <t>J01MA12</t>
  </si>
  <si>
    <t>levofloksacin</t>
  </si>
  <si>
    <t>LOFOCIN</t>
  </si>
  <si>
    <t>Pharmanova d.o.o.</t>
  </si>
  <si>
    <t>1. Infekcija respiratornog trakta izazvana uzročnikom Mycoplasma pneumoniae (J15.7);
 2. Infekcije urinarnog trakta (N30; N34; N36; N37; N39);
 3. Akutni bakterijski sinuzitis (J01);
 4. Akutna bakterijska egzacerbacija hroničnog bronhitisa (J41);
 5. Vanbolnička pneumonija (J13-J15).</t>
  </si>
  <si>
    <t>1329381</t>
  </si>
  <si>
    <t>1329456</t>
  </si>
  <si>
    <t>FORTECA</t>
  </si>
  <si>
    <t>1329104</t>
  </si>
  <si>
    <t>LEVOXA</t>
  </si>
  <si>
    <t>1329105</t>
  </si>
  <si>
    <t>1329506</t>
  </si>
  <si>
    <t>LEFLOGAL</t>
  </si>
  <si>
    <t xml:space="preserve">Galenika a.d. </t>
  </si>
  <si>
    <t>1329505</t>
  </si>
  <si>
    <t>1329081</t>
  </si>
  <si>
    <t>FOVELID</t>
  </si>
  <si>
    <t>Alkaloid a.d..;
Pharmathen S.A.</t>
  </si>
  <si>
    <t>Republika Severna Makedonija;
Grčka</t>
  </si>
  <si>
    <t>1329080</t>
  </si>
  <si>
    <t>1329095</t>
  </si>
  <si>
    <t>LEVALOX</t>
  </si>
  <si>
    <t>Krka, Tovarna zdravil, d.d;Pharmaten S.A</t>
  </si>
  <si>
    <t>Slovenija; Grčka</t>
  </si>
  <si>
    <t>1329098</t>
  </si>
  <si>
    <t>1329810</t>
  </si>
  <si>
    <t>LEBEL</t>
  </si>
  <si>
    <t>Nobel Ilac Sanayii Ve Ticaret A.S.</t>
  </si>
  <si>
    <t>1329507</t>
  </si>
  <si>
    <t>Galenika AD Beograd</t>
  </si>
  <si>
    <t>1329008</t>
  </si>
  <si>
    <t>LEVO QUIN</t>
  </si>
  <si>
    <t>Antibiotice SA</t>
  </si>
  <si>
    <t>1329001</t>
  </si>
  <si>
    <t>J01MA14</t>
  </si>
  <si>
    <t>moksifloksacin</t>
  </si>
  <si>
    <t>ELFONIS</t>
  </si>
  <si>
    <t>1. Akutni bakterijski sinuzitis (J01),
2. Akutna bakterijska egzacerbacija hroničnog bronhitisa (J41),
3. Vanbolnička pneumonija (J13-J15; J18),
4. Komplikovane infekcije kože i potkožnog tkiva, kao nastavak uspešne inicijalne intavenske primene leka (L00; L02-L08),
5. Blage do umerene inflamatorne bolesti male karlice (A54.2; N70; N71; N73)</t>
  </si>
  <si>
    <t>Za indikaciju pod tačkom 1. lek se uvodi u terapiju na osnovu mišljenja otorinolaringologa za pacijente bezuspešno lečene drugom antibiotskom terapijom. Za indikacije pod tačkom 2. i 3. lek se uvodi u terapiju na osnovu mišljenja pulmologa ili pneumoftiziologa. Za indikaciju pod tačkom 4. lek se uvodi u terapiju na osnovu mišljenja lekara odgovarajuće specijalnosti iz zdravstvene ustanove koja obavlja zdravstvenu delatnost na sekundarnom ili tercijarnom nivou zdravstvene zaštite. Za indikaciju pod tačkom 5. lek se uvodi u terapiju na osnovu mišljenja ginekologa</t>
  </si>
  <si>
    <t>1329006</t>
  </si>
  <si>
    <t>MOLOXIN</t>
  </si>
  <si>
    <t>blister, 7 po 400 mg</t>
  </si>
  <si>
    <t>Tad Pharma GmbH; Krka Farma d.o.o., DPC Jastrebarsko; Krka, Tovarna Zdravil, d.d.</t>
  </si>
  <si>
    <t>Nemačka; Hrvatska; Slovenija</t>
  </si>
  <si>
    <t>0.4 g</t>
  </si>
  <si>
    <t>1329007</t>
  </si>
  <si>
    <t>1132320</t>
  </si>
  <si>
    <t>J01MB04</t>
  </si>
  <si>
    <t>pipemidinska kiselina</t>
  </si>
  <si>
    <t>PIPEM</t>
  </si>
  <si>
    <t>kapsula</t>
  </si>
  <si>
    <t>20 po 200 mg</t>
  </si>
  <si>
    <t>0,8 g</t>
  </si>
  <si>
    <t>3029730</t>
  </si>
  <si>
    <t>J01XX01</t>
  </si>
  <si>
    <t>fosfomicin</t>
  </si>
  <si>
    <t>MONURAL</t>
  </si>
  <si>
    <t xml:space="preserve"> kesica, 1 po 8g (3g fosfomicina)</t>
  </si>
  <si>
    <t>Zambon Switzerland Ltd</t>
  </si>
  <si>
    <t>3 g</t>
  </si>
  <si>
    <t>Lečenje akutnih nekomplikovanih infekcija donjih mokraćnih kanala prouzrokovanih patogenima osetljivim na fosfomicin kod osoba starijih od 12 godina (N30.0).</t>
  </si>
  <si>
    <t>1327356</t>
  </si>
  <si>
    <t>J02AC01</t>
  </si>
  <si>
    <t>flukonazol</t>
  </si>
  <si>
    <t>FLUCONAL</t>
  </si>
  <si>
    <t>blister, 1 po 150 mg</t>
  </si>
  <si>
    <t>Lek se uvodi u terapiju  na osnovu mišljenja infektologa ili dermatologa ili hematologa.</t>
  </si>
  <si>
    <t>1327355</t>
  </si>
  <si>
    <t>blister, 7 po 50 mg</t>
  </si>
  <si>
    <t>1327401</t>
  </si>
  <si>
    <t>FLUKOZOL</t>
  </si>
  <si>
    <t>1327400</t>
  </si>
  <si>
    <t>1327402</t>
  </si>
  <si>
    <t>J02AC02</t>
  </si>
  <si>
    <t>itrakonazol</t>
  </si>
  <si>
    <t>KANAZOL</t>
  </si>
  <si>
    <t xml:space="preserve">Slaviamed d.o.o. </t>
  </si>
  <si>
    <t>1. Tinea corporis disseminata (  B35.4 ),
  2. Onychomycosis-pulsna terapija ( B35.1 ),
  3. Tinea capitis rezistentna na druge oblike terapije ( B35.0 ),
  4. Pityriasis versicolor  ( B36.0 ).</t>
  </si>
  <si>
    <t xml:space="preserve">  Lek se uvodi u terapiju na osnovu mišljenja dermatologa.</t>
  </si>
  <si>
    <t>1039010</t>
  </si>
  <si>
    <t>L02BA01</t>
  </si>
  <si>
    <t>tamoksifen</t>
  </si>
  <si>
    <t>NOLVADEX</t>
  </si>
  <si>
    <t>AstraZeneca UK Limited</t>
  </si>
  <si>
    <t>1039325</t>
  </si>
  <si>
    <t>L02BG03</t>
  </si>
  <si>
    <t>anastrozol</t>
  </si>
  <si>
    <t>ARIMIDEX</t>
  </si>
  <si>
    <t>blister, 28 po 1 mg</t>
  </si>
  <si>
    <t>25%</t>
  </si>
  <si>
    <t xml:space="preserve"> Karcinom dojke:
 1. Rani steroid-receptor pozitivni karcinom dojke u postmenopauznih bolesnica, PS 0 ili 1, sekvencijalno, posle tri godine primene adjuvantne hormonske terapije tamoksifenom, kao nastavak adjuvantnog lečenja do ukupno 5 godina. Od ovoga se izuzimaju bolesnice sa:
  a) ranim steroid-receptor pozitivnim karcinomom dojke kod postmenopauznih žena, sa niskim rizikom za relaps bolesti, kod kojih će se sprovoditi terapija tamoksifenom do 5 godina;
  b) ranim steroid-receptor pozitivnim karcinomom dojke u postmenopauznih bolesnica, sa visokim rizikom od relapsa bolesti, kod bolesnica koje nisu podobne za primenu adjuvatne hemioterapije i biloške terapije. Kod ovih bolesnica će se primenjivati inhibitori aromataze od početka adjuvantnog hormonskog lečenja u trajanju do 5 godina;
2. Postmenopauzne bolesnice sa steroid-receptor pozitivnim metastatskim karcinomom dojke, pri pojavi prvog relapsa bolesti na adjuvantno ili sistemski primenjen
tamoksifen;
3. Kao prva linija sistemske ili adjuvantne terapije kod bolesnica koje imaju kontraindikacije za primenu tamoksifena (glaukom, duboka venska tromboza, CVI ili
embolija u anamnezi) ili pojavu neželjenih reakcija na tamoksifen (dokazana medikamentna alergija, hiperplazija i/ili polip endometrijuma dokazani histopatološki,
ponavaljanje metroragije.</t>
  </si>
  <si>
    <t>Lek se uvodi u terapiju na osnovu mišljenja tri lekara zdravstvene ustanove koja obavlja zdravstvenu delatnost na tercijarnom nivou zdravstvene zaštite, a nastavak terapije na osnovu mišljenja lekara specijaliste zdravstvene ustanove koja obavlja zdravstvenu delatnost na sekundarnom ili tercijarnom nivou zdravstvene zaštite.</t>
  </si>
  <si>
    <t>1014301</t>
  </si>
  <si>
    <t>L04AA13</t>
  </si>
  <si>
    <t>leflunomid</t>
  </si>
  <si>
    <t>ARAVA</t>
  </si>
  <si>
    <t>bočica, 30 po 20 mg</t>
  </si>
  <si>
    <t xml:space="preserve">1. Aktivni reumatoidni  artritis ( M05 i M06 )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2. Aktivni psorijazni artritis ( M07 ) - kod odraslih bolesnika kod kojih je primena metotreksata dovela do neželjenih dogadjaja ( gastrična nepodnošljivost, hepatotoksičnost, hematološka toksičnost, alergijske reakcije i drugo ) ili metotreksat ne pokazuje odgovarajuću efikasnost u dozama većim ili jednakim 15 mg nedeljno u toku najmanje šest meseci terapije. </t>
  </si>
  <si>
    <t xml:space="preserve">Lek se uvodi u terapiju na osnovu mišljenja lekara specijaliste odgovarajuće grane medicine zdravstvene  ustanove koja obavlja zdravstvenu delatnost na sekundarnom ili tercijarnom nivou zdravstvene zaštite. </t>
  </si>
  <si>
    <t>1059079</t>
  </si>
  <si>
    <t>M05BA04</t>
  </si>
  <si>
    <t>alendronska kiselina</t>
  </si>
  <si>
    <t>BONAP</t>
  </si>
  <si>
    <t>blister, 4 po 70 mg</t>
  </si>
  <si>
    <t xml:space="preserve"> Za lečenje osteoporoze kod pacijenata posle menopauze radi primarne i sekundarne prevencije osteoporotičnih fraktura (M80; M81).</t>
  </si>
  <si>
    <t>Lek se uvodi u terapiju na osnovu mišljenja specijаliste (internista ili reumatolog ili  fizijatar ili ortoped ili ginekolog) kada je osteoporoza verifikovana DEXA T vrednost u L 1- 4 ≤ -2,5  ili  ≤ -2,5 u Total/Neck.</t>
  </si>
  <si>
    <t>1059908</t>
  </si>
  <si>
    <t>ALEFOSS</t>
  </si>
  <si>
    <t>1059909</t>
  </si>
  <si>
    <t>blister, 8 po 70 mg</t>
  </si>
  <si>
    <t>1059907</t>
  </si>
  <si>
    <t>blister, 12 po 70 mg</t>
  </si>
  <si>
    <t>1059092</t>
  </si>
  <si>
    <t>M05BA06</t>
  </si>
  <si>
    <t>ibandronska kiselina</t>
  </si>
  <si>
    <t>ALVODRONIC</t>
  </si>
  <si>
    <t>Pharmathen S.A.</t>
  </si>
  <si>
    <t xml:space="preserve"> Grčka</t>
  </si>
  <si>
    <t>1059090</t>
  </si>
  <si>
    <t>IBANDRONAT PHARMAS</t>
  </si>
  <si>
    <t>PharmaS d.o.o.;
Pharmathen International SA;
Pharmathen SA</t>
  </si>
  <si>
    <t>Republika Srbija;
Grčka;
Grčka</t>
  </si>
  <si>
    <t>1059000</t>
  </si>
  <si>
    <t>IDIKA</t>
  </si>
  <si>
    <t>Stada Arzneimittel AG; Stadapharm GmbH; Synthon Hispania, S.L.</t>
  </si>
  <si>
    <t>Nemačka; Nemačka, Španija</t>
  </si>
  <si>
    <t>1059121</t>
  </si>
  <si>
    <t>M05BB03</t>
  </si>
  <si>
    <t>alendronska kiselina, holekalciferol</t>
  </si>
  <si>
    <t>FOSAVANCE</t>
  </si>
  <si>
    <t>blister, 4 po (70 mg + 5600 i.j.)</t>
  </si>
  <si>
    <t>N02AA55</t>
  </si>
  <si>
    <t>oksikodon, nalokson</t>
  </si>
  <si>
    <t>TARGINACT</t>
  </si>
  <si>
    <t>tableta sa produženim oslobadanjem</t>
  </si>
  <si>
    <t>blister, 30 po (5mg + 2.5mg)</t>
  </si>
  <si>
    <t>Mundipharmab
GmBH;
Bard
Pharmaceuticals
Limited</t>
  </si>
  <si>
    <t>Nemačka;
Velika Britanija</t>
  </si>
  <si>
    <t>Za lečenje umereno jakog do jakog hroničnog bola ( ≥ 5 na NRS od 0-10) kod bolesnika sa nemalignim oboljenjem (R52.1).</t>
  </si>
  <si>
    <t>Lek se uvodi u terapiju na osnovu mišljenja lekara neurologa ili anesteziologa ili subspecijaliste za terapiju bola zdravstvene  ustanove koja obavlja zdravstvenu delatnost na sekundarnom ili tercijarnom nivou zdravstvene zaštite ili u centrima za bol.</t>
  </si>
  <si>
    <t>blister, 30 po (20mg + 10mg)</t>
  </si>
  <si>
    <t>blister, 30 po (40mg + 20mg)</t>
  </si>
  <si>
    <t>9087565</t>
  </si>
  <si>
    <t>N02AB03</t>
  </si>
  <si>
    <t>fentanil</t>
  </si>
  <si>
    <t>DUROGESIC</t>
  </si>
  <si>
    <t>transdermalni flaster</t>
  </si>
  <si>
    <t>5 po 25 mcg/h (5 po 4,2 mg)</t>
  </si>
  <si>
    <t>Janssen Pharmaceutica N.V.</t>
  </si>
  <si>
    <t>1,2 mg</t>
  </si>
  <si>
    <t xml:space="preserve"> Za lečenje teškog neuropatskog bola:
  -nespecifična neuralgija ( M79.2 ),
  -postherpetička i postraumatska  neuralgija ( G53.0 ),
  - trigeminalna neuralgija ( G50 )
  - dijabetička amiotrofija ( G73.0 ), 
  - bolna oftalmoplegija ( H47.0 ),
  - kauzalgija ( R52.1 ),
  -  spondilodiscitis ( M50.1; M51.1 ),
  - dermatopoliomiozitis ( M33; M63 ) koji se tokom dvomesečne primene drugih analgetičkih sredstava (triciklički antidepresivi, nesteroidni antireumatici, neopioidni analgetici, kortikosteroidi, antiepileptici) pokazao rezistentnim uz participaciju osiguranika 75%.</t>
  </si>
  <si>
    <t xml:space="preserve">  Lek se uvodi u terapiju  na osnovu mišljenja  lekara specijaliste neurologa/neuropsihijatra.</t>
  </si>
  <si>
    <t>9087566</t>
  </si>
  <si>
    <t>5 po 50 mcg/h (5 po 8,4 mg)</t>
  </si>
  <si>
    <t>9087568</t>
  </si>
  <si>
    <t>kesica, 5 po 75 mcg/h (5 po 12,6 mg)</t>
  </si>
  <si>
    <t xml:space="preserve">Janssen Pharmaceutica N.V. </t>
  </si>
  <si>
    <t>9087567</t>
  </si>
  <si>
    <t>5 po 100 mcg/h (5 po 16,8 mg)</t>
  </si>
  <si>
    <t>9087201</t>
  </si>
  <si>
    <t>VICTANYL</t>
  </si>
  <si>
    <t>kesica, 5 po 25 mcg/h (5 po 4,125 mg/7,5 cm²)</t>
  </si>
  <si>
    <t>Actavis Group PTC EHF;
Merckle GMBH; Luye Pharma AG</t>
  </si>
  <si>
    <t>Island;
Nemačka; Nemačka</t>
  </si>
  <si>
    <t>9087202</t>
  </si>
  <si>
    <t>kesica, 5 po 50 mcg/h (5 po 8,25 mg/15 cm²)</t>
  </si>
  <si>
    <t>9087203</t>
  </si>
  <si>
    <t>kesica, 5 po 75 mcg/h (5 po 12,375 mg/22,5 cm²)</t>
  </si>
  <si>
    <t xml:space="preserve"> Lek se uvodi u terapiju  na osnovu mišljenja  lekara specijaliste neurologa/neuropsihijatra.</t>
  </si>
  <si>
    <t>9087200</t>
  </si>
  <si>
    <t>kesica, 5 po 100 mcg/h (5 po 16,5 mg/30 cm²)</t>
  </si>
  <si>
    <t>Lek se uvodi u terapiju  na osnovu mišljenja  lekara specijaliste neurologa/neuropsihijatra.</t>
  </si>
  <si>
    <t>N02AE01</t>
  </si>
  <si>
    <t>buprenorfin</t>
  </si>
  <si>
    <t>TRANSTEC</t>
  </si>
  <si>
    <t>kesica, 4 po 35 mcg/h (20 mg/1 flaster)</t>
  </si>
  <si>
    <t>Grunenthal GmbH</t>
  </si>
  <si>
    <t xml:space="preserve">
Za lečenje umereno jakog do jakog hroničnog bola ( ≥ 5 na NRS od 0-10) kod bolesnika sa nemalignim oboljenjem (R52.1).
</t>
  </si>
  <si>
    <t>kesica, 4 po 52,5 mcg/h (30mg/1 flaster)</t>
  </si>
  <si>
    <t xml:space="preserve">
Za lečenje umereno jakog do jakog hroničnog bola ( ≥ 5 na NRS od 0-10) kod bolesnika sa nemalignim oboljenjem (R52.1).
</t>
  </si>
  <si>
    <t>kesica, 4 po 70 mcg/h (40 mg/1 flaster)</t>
  </si>
  <si>
    <t xml:space="preserve"> Lek se uvodi u terapiju na osnovu mišljenja lekara neurologa ili anesteziologa ili subspecijaliste za terapiju bola zdravstvene  ustanove koja obavlja zdravstvenu delatnost na sekundarnom ili tercijarnom nivou zdravstvene zaštite ili u centrima za bol.</t>
  </si>
  <si>
    <t>1087456</t>
  </si>
  <si>
    <t>N02AX06</t>
  </si>
  <si>
    <t>tapentadol</t>
  </si>
  <si>
    <t>PALEXIA SR</t>
  </si>
  <si>
    <t xml:space="preserve">
 Za lečenje umereno jakog do jakog hroničnog bola ( ≥ 5 na NRS od 0-10) kod bolesnika sa nemalignim oboljenjem (R52.1). 
</t>
  </si>
  <si>
    <t>1087457</t>
  </si>
  <si>
    <t>1087458</t>
  </si>
  <si>
    <t>1087453</t>
  </si>
  <si>
    <t>PALEXIA</t>
  </si>
  <si>
    <t xml:space="preserve">Terapija umerenog do jakog akutnog bola kod odraslih, kada se on može adekvatno kupirati samo opioidnim analgeticima (R52).
</t>
  </si>
  <si>
    <t>1086876</t>
  </si>
  <si>
    <t>N02CC01</t>
  </si>
  <si>
    <t>sumatriptan</t>
  </si>
  <si>
    <t>SUMATRIPTAN SLAVIAMED</t>
  </si>
  <si>
    <t>blister, 2 po 50 mg</t>
  </si>
  <si>
    <t>Migrena  ( G43 ).</t>
  </si>
  <si>
    <t>Lek se uvodi u terapiju na osnovu mišljenja neurologa/neuropsihijatra.</t>
  </si>
  <si>
    <t>N02CC03</t>
  </si>
  <si>
    <t>zolmitriptan</t>
  </si>
  <si>
    <t>TRECAR</t>
  </si>
  <si>
    <t>Migrena (G43).</t>
  </si>
  <si>
    <t>1086730</t>
  </si>
  <si>
    <t>N02CC07</t>
  </si>
  <si>
    <t>frovatriptan</t>
  </si>
  <si>
    <t>FROVAMAX</t>
  </si>
  <si>
    <t>blister, 2 po 2,5 mg</t>
  </si>
  <si>
    <t xml:space="preserve"> A. Menarini,
Manufacturing Logistics
and Services S.R.L.; Laboratorios Menarini S.A.</t>
  </si>
  <si>
    <t>Italija; Španija</t>
  </si>
  <si>
    <t>Migrena (G43)</t>
  </si>
  <si>
    <t>Lek se uvodi u terapiju na osnovu mišljenja neurologa/neuropsihijatra</t>
  </si>
  <si>
    <t>1084750</t>
  </si>
  <si>
    <t>N03AX12</t>
  </si>
  <si>
    <t>gabapentin</t>
  </si>
  <si>
    <t>KATENA</t>
  </si>
  <si>
    <t>blister, 50 po 300 mg</t>
  </si>
  <si>
    <t>1,8 g</t>
  </si>
  <si>
    <t xml:space="preserve">Neuropatski bol  (G50; G51; G53 - G63 ). </t>
  </si>
  <si>
    <t xml:space="preserve"> Lek se uvodi u terapiju na osnovu mišljenja neurologa/neuropsihijatra ili za šifre G62.0 i G63.1 i na osnovu mišljenja onkologa zdravstvene ustanove koja obavlja zdravstvenu delatnost na tercijarnom nivou.  </t>
  </si>
  <si>
    <t>1084612</t>
  </si>
  <si>
    <t>NEURONTIN</t>
  </si>
  <si>
    <t>Pfizer Manufacturing Deutschland GmbH</t>
  </si>
  <si>
    <t>1084821</t>
  </si>
  <si>
    <t>N03AX14</t>
  </si>
  <si>
    <t>levetiracetam</t>
  </si>
  <si>
    <t>KEPPRA</t>
  </si>
  <si>
    <t>blister, 60 po 250 mg</t>
  </si>
  <si>
    <t>UCB Pharma SA</t>
  </si>
  <si>
    <t>1. Epilepsija - kao monoterapija za bolesnike starije od
16 godina sa refrakternim parcijalnim napadima sa ili
bez sekundarne generalizacije (G40);
2. Epilepsija - kao dodatna terapija za bolesnike sa
rezistentnom parcijalnom epilepsijom kod odraslih i dece
iznad 4 godine starosti (G40);
3. Epilepsija - kao dodatna terapija za bolesnike sa
rezistentnom miokloničnom epilepsijom kod odraslih i
adolescenata iznad 12 godina starosti sa juvenilnom
miokloničnom epilepsijom (G40);
4. Epilepsija - kao dodatna terapija za bolesnike sa
primarnim generalizovanim rezistentnim tonično -
kloničnim napadima kod odraslih i adolescenata iznad
12 godina starosti sa idiopatskom generalizovanom
epilepsijom (G40).</t>
  </si>
  <si>
    <t xml:space="preserve"> Za indikaciju pod tačkom 1.,2.,3. i 4.,  lek se uvodi u terapiju na osnovu mišljenja neurologa/neuropsihijatra/neurohirurga/ psihijatra/dečjeg neurologa ili pedijatra  zdravstvene ustanove koja obavlja zdravstvenu delatnost na sekundarnom ili tercijarnom nivou.     </t>
  </si>
  <si>
    <t>1084820</t>
  </si>
  <si>
    <t>1084822</t>
  </si>
  <si>
    <t>blister, 60 po 1000 mg</t>
  </si>
  <si>
    <t>1084742</t>
  </si>
  <si>
    <t>N03AX16</t>
  </si>
  <si>
    <t>pregabalin</t>
  </si>
  <si>
    <t>LYRICA</t>
  </si>
  <si>
    <t>kapsula tvrda</t>
  </si>
  <si>
    <t>blister, 56 po 25 mg</t>
  </si>
  <si>
    <t xml:space="preserve">  Neuropatski bol  (G50; G51; G53 - G63 ). </t>
  </si>
  <si>
    <t>Lek se uvodi u terapiju na osnovu mišljenja neurologa/neuropsihijatra  ili za šifre G62.0 i G63.1 i na osnovu mišljenja onkologa.</t>
  </si>
  <si>
    <t>1084736</t>
  </si>
  <si>
    <t>56 po 75 mg</t>
  </si>
  <si>
    <t>1084738</t>
  </si>
  <si>
    <t>56 po 150 mg</t>
  </si>
  <si>
    <t>1084745</t>
  </si>
  <si>
    <t>56 po 300 mg</t>
  </si>
  <si>
    <t>1084302</t>
  </si>
  <si>
    <t>EPICA</t>
  </si>
  <si>
    <t>Neuropatski bol (G50; G51; G53 - G63 ).</t>
  </si>
  <si>
    <t>1084305</t>
  </si>
  <si>
    <t>1084300</t>
  </si>
  <si>
    <t>1084105</t>
  </si>
  <si>
    <t>PRAGIOLA</t>
  </si>
  <si>
    <t>Slovenija, Nemačka</t>
  </si>
  <si>
    <t>1084108</t>
  </si>
  <si>
    <t>1084134</t>
  </si>
  <si>
    <t>blister, 56 po 150 mg</t>
  </si>
  <si>
    <t>1084143</t>
  </si>
  <si>
    <t>1084144</t>
  </si>
  <si>
    <t>blister deljiv na pojedinačne doze, 56 po 75 mg</t>
  </si>
  <si>
    <t>0.3 g</t>
  </si>
  <si>
    <t>1084145</t>
  </si>
  <si>
    <t>blister deljiv na pojedinačne doze, 56 po 150 mg</t>
  </si>
  <si>
    <t>1084850</t>
  </si>
  <si>
    <t>ELUMELA</t>
  </si>
  <si>
    <t>blister, 56 po 50 mg</t>
  </si>
  <si>
    <t>1084851</t>
  </si>
  <si>
    <t>blister, 56 po 75 mg</t>
  </si>
  <si>
    <t>1084852</t>
  </si>
  <si>
    <t>1084853</t>
  </si>
  <si>
    <t>blister, 56 po 300 mg</t>
  </si>
  <si>
    <t>1084919</t>
  </si>
  <si>
    <t>PREGALIX</t>
  </si>
  <si>
    <t>Pharmathen International SA; Pharmathen SA</t>
  </si>
  <si>
    <t>Grčka; Grčka</t>
  </si>
  <si>
    <t>1084920</t>
  </si>
  <si>
    <t>1084921</t>
  </si>
  <si>
    <t>1084922</t>
  </si>
  <si>
    <t>GABAPREG</t>
  </si>
  <si>
    <t>blister, 90 po 50 mg</t>
  </si>
  <si>
    <t>Pharmaten SA; Pharmaten International SA</t>
  </si>
  <si>
    <t>1084923</t>
  </si>
  <si>
    <t>1084924</t>
  </si>
  <si>
    <t>1085271</t>
  </si>
  <si>
    <t>N04BA03</t>
  </si>
  <si>
    <t>levodopa, karbidopa, entakapon</t>
  </si>
  <si>
    <t>STALEVO</t>
  </si>
  <si>
    <t>boca plastična, 100 po (100 mg + 25 mg + 200 mg)</t>
  </si>
  <si>
    <t xml:space="preserve">Orion Corporation Orion Pharma </t>
  </si>
  <si>
    <t>Finska</t>
  </si>
  <si>
    <t>0,45 g</t>
  </si>
  <si>
    <t>Kod pacijenata sa Parkinsonovom bolešću, kod dugogodišnjeg rezistentnog pacijenta na primarnu terapiju.</t>
  </si>
  <si>
    <t>Lek se uvodi u terapiju po predlogu lekara tercijarnog nivoa zdravstvene zaštite.</t>
  </si>
  <si>
    <t>1085272</t>
  </si>
  <si>
    <t>boca plastična, 100 po (150 mg + 37,5 mg + 200 mg)</t>
  </si>
  <si>
    <t>1085000</t>
  </si>
  <si>
    <t>CARBOMA</t>
  </si>
  <si>
    <t>Zdravlje A.D.</t>
  </si>
  <si>
    <t>1085009</t>
  </si>
  <si>
    <t>1085002</t>
  </si>
  <si>
    <t>1085344</t>
  </si>
  <si>
    <t>N04BC04</t>
  </si>
  <si>
    <t>ropinirol</t>
  </si>
  <si>
    <t>REQUIP MODUTAB</t>
  </si>
  <si>
    <t xml:space="preserve"> Glaxo Wellcome S.A. </t>
  </si>
  <si>
    <t xml:space="preserve"> Španija</t>
  </si>
  <si>
    <t>6 mg</t>
  </si>
  <si>
    <t>Parkinsonova bolest ( G20; G21; G22 ).</t>
  </si>
  <si>
    <t xml:space="preserve"> Lek se uvodi u terapiju na osnovu mišljenja neurologa/neuropsihijatra.</t>
  </si>
  <si>
    <t>1085348</t>
  </si>
  <si>
    <t>blister, 28 po 4 mg</t>
  </si>
  <si>
    <t xml:space="preserve">Glaxo Wellcome S.A. </t>
  </si>
  <si>
    <t>1085349</t>
  </si>
  <si>
    <t>blister, 28 po 8 mg</t>
  </si>
  <si>
    <t>1085363</t>
  </si>
  <si>
    <t>ROLPRYNA SR</t>
  </si>
  <si>
    <t>1085364</t>
  </si>
  <si>
    <t>1085365</t>
  </si>
  <si>
    <t>1085375</t>
  </si>
  <si>
    <t>DENSIKO XL</t>
  </si>
  <si>
    <t>Pharmathen International SA</t>
  </si>
  <si>
    <t>1085376</t>
  </si>
  <si>
    <t>1085377</t>
  </si>
  <si>
    <t>1085290</t>
  </si>
  <si>
    <t>N04BC05</t>
  </si>
  <si>
    <t>pramipeksol</t>
  </si>
  <si>
    <t>MIRAPEXIN</t>
  </si>
  <si>
    <t>blister, 30 po 0,18 mg</t>
  </si>
  <si>
    <t>Boehringer Ingelheim Pharma GmbH</t>
  </si>
  <si>
    <t>1085291</t>
  </si>
  <si>
    <t>blister, 30 po 0,7 mg</t>
  </si>
  <si>
    <t>1085081</t>
  </si>
  <si>
    <t>blister, 10 po 0,26 mg</t>
  </si>
  <si>
    <t xml:space="preserve">Boehringer Ingelheim Pharma GmbH </t>
  </si>
  <si>
    <t>1085082</t>
  </si>
  <si>
    <t>blister, 30 po 0,52 mg</t>
  </si>
  <si>
    <t xml:space="preserve"> Parkinsonova bolest ( G20; G21; G22 ).</t>
  </si>
  <si>
    <t>1085084</t>
  </si>
  <si>
    <t>blister, 30 po 1,05 mg</t>
  </si>
  <si>
    <t>1085083</t>
  </si>
  <si>
    <t>blister, 30 po 2,1 mg</t>
  </si>
  <si>
    <t>1085066</t>
  </si>
  <si>
    <t>OPRYMEA SR</t>
  </si>
  <si>
    <t>blister, 30 po 0,26 mg</t>
  </si>
  <si>
    <t>1085064</t>
  </si>
  <si>
    <t>1085062</t>
  </si>
  <si>
    <t>1085060</t>
  </si>
  <si>
    <t>blister, 30 po 1,57 mg</t>
  </si>
  <si>
    <t>1085058</t>
  </si>
  <si>
    <t>1085080</t>
  </si>
  <si>
    <t>N04BD02</t>
  </si>
  <si>
    <t>rasagilin</t>
  </si>
  <si>
    <t>AZILECT</t>
  </si>
  <si>
    <t>Teva Pharmaceuticals Europe B.V.;
Pliva Hrvatska d.o.o.;                     Teva Operations Poland SP. Z.O.O.</t>
  </si>
  <si>
    <t>Holandija;
Hrvatska; Poljska</t>
  </si>
  <si>
    <t xml:space="preserve"> Novodijagnostifikovani pacijenti oboleli od Parkinsonove bolesti ( G20 ), najduže tokom prvih pet godina trajanja bolesti.</t>
  </si>
  <si>
    <t>Lek se uvodi u terapiju na osnovu mišljenja tri lekara neurologa/neuropsihijatra u zdravstvenoj ustanovi koja obavlja zdravstvenu delatnost na tercijarnom nivou.</t>
  </si>
  <si>
    <t>RAZIX</t>
  </si>
  <si>
    <t>Synthon Hispania, SL; Synthon S.R.O.; Synthon BV</t>
  </si>
  <si>
    <t>Španija; Češka; Holandija</t>
  </si>
  <si>
    <t xml:space="preserve"> Novodijagnostifikovani pacijenti oboleli od Parkinsonove bolesti (G20), najduže tokom prvih pet godina trajanja bolesti.</t>
  </si>
  <si>
    <t>1085284</t>
  </si>
  <si>
    <t>N04BX02</t>
  </si>
  <si>
    <t>entakapon</t>
  </si>
  <si>
    <t>COMTAN</t>
  </si>
  <si>
    <t>bočica plastična, 30 po 200 mg</t>
  </si>
  <si>
    <t xml:space="preserve">Orion Corporation Orion Pharma, Novartis Pharma GmbH; </t>
  </si>
  <si>
    <t>Finska; Nemačka</t>
  </si>
  <si>
    <t>1070965</t>
  </si>
  <si>
    <t>N05AH02</t>
  </si>
  <si>
    <t>klozapin</t>
  </si>
  <si>
    <t>CLOZAPINE  REMEDICA</t>
  </si>
  <si>
    <t xml:space="preserve"> blister, 50 po 100 mg</t>
  </si>
  <si>
    <t>Remedica Ltd.</t>
  </si>
  <si>
    <t>Kipar</t>
  </si>
  <si>
    <t>1. Šizofrenija (F20.0 - F20.9) i drugi psihotični poremećaji (F29, F06.2) sa nezadovoljavajućim odgovorom na dva prethodno primenjena antipsihotika uz periodični monitoring leukocitarne formule, prema uputstvu proizvođača.
2. Psihotični poremećaji koji se javljaju u okviru Parkinsonove bolesti i drugih oblika parkinsonizma (G20-G22)</t>
  </si>
  <si>
    <t xml:space="preserve">Lek se uvodi u terapiju na osnovu mišljenja psihijatra/neuropsihijatra/neurologa </t>
  </si>
  <si>
    <t>1070963</t>
  </si>
  <si>
    <t>blister, 50 po 25 mg</t>
  </si>
  <si>
    <t>1070022</t>
  </si>
  <si>
    <t>CLOZAPIN SANDOZ</t>
  </si>
  <si>
    <t>50 po 100 mg</t>
  </si>
  <si>
    <t>1070020</t>
  </si>
  <si>
    <t>1070606</t>
  </si>
  <si>
    <t>LEPONEX</t>
  </si>
  <si>
    <t>blister, 50 po 100 mg</t>
  </si>
  <si>
    <t>1070605</t>
  </si>
  <si>
    <t xml:space="preserve"> blister, 50 po 25 mg</t>
  </si>
  <si>
    <t>1070210</t>
  </si>
  <si>
    <t>NEOZAPIN</t>
  </si>
  <si>
    <t>blister deljiv na pojedinačne doze, 50 po 25 mg</t>
  </si>
  <si>
    <t>Synthon Hispania, SL.;
Synthon BV</t>
  </si>
  <si>
    <t>Španija; Holandija</t>
  </si>
  <si>
    <t>1070211</t>
  </si>
  <si>
    <t>blister deljiv na pojedinačne doze, 50 po 100 mg</t>
  </si>
  <si>
    <t>1070212</t>
  </si>
  <si>
    <t>blister deljiv na pojedinačne doze, 50 po 200 mg</t>
  </si>
  <si>
    <t>1070945</t>
  </si>
  <si>
    <t>N05AH04</t>
  </si>
  <si>
    <t>kvetiapin</t>
  </si>
  <si>
    <t>KVENTIAX</t>
  </si>
  <si>
    <t>blister, 60 po 25 mg</t>
  </si>
  <si>
    <t>1. Šizofrenija i drugi psihotični poremećaji (F20-F29)
 2. Manične, depresivne i mešovite epizode povezane sa bipolarnim poremećajima sa ili bez psihotičnih simptoma (F31).</t>
  </si>
  <si>
    <t xml:space="preserve"> Lek se uvodi u terapiju na osnovu mišljenja psihijatra ili neuropsihijatra.</t>
  </si>
  <si>
    <t>1070946</t>
  </si>
  <si>
    <t>1070948</t>
  </si>
  <si>
    <t>1070906</t>
  </si>
  <si>
    <t>ACTAWELL</t>
  </si>
  <si>
    <t>1. Šizofrenija i drugi psihotični poremećaji (F20-F29)
2. Manične, depresivne i mešovite epizode povezane sa bipolarnim poremećajima sa ili bez psihotičnih simptoma (F31).</t>
  </si>
  <si>
    <t>Lek se uvodi u terapiju na osnovu mišljenja psihijatra ili neuropsihijatra.</t>
  </si>
  <si>
    <t>1070907</t>
  </si>
  <si>
    <t>1070909</t>
  </si>
  <si>
    <t>1070955</t>
  </si>
  <si>
    <t>Q - PIN</t>
  </si>
  <si>
    <t>1070331</t>
  </si>
  <si>
    <t>KVENTIAX SR</t>
  </si>
  <si>
    <t>Krka D.D., Novo mesto; 
TAD Pharma GmbH</t>
  </si>
  <si>
    <t>Slovenija; 
Nemačka</t>
  </si>
  <si>
    <t>1070332</t>
  </si>
  <si>
    <t>blister, 60 po 150 mg</t>
  </si>
  <si>
    <t>1070330</t>
  </si>
  <si>
    <t>1070333</t>
  </si>
  <si>
    <t>blister, 60 po 300 mg</t>
  </si>
  <si>
    <t>1070701</t>
  </si>
  <si>
    <t>ACTAWELL XR</t>
  </si>
  <si>
    <t>Merckle GmbH</t>
  </si>
  <si>
    <t>1070703</t>
  </si>
  <si>
    <t>1070704</t>
  </si>
  <si>
    <t>1070705</t>
  </si>
  <si>
    <t>blister, 60 po 400 mg</t>
  </si>
  <si>
    <t>1070892</t>
  </si>
  <si>
    <t>PENTIAX</t>
  </si>
  <si>
    <t>Zaklady Farmaceutyczne Polpharma S.A.</t>
  </si>
  <si>
    <t>1070891</t>
  </si>
  <si>
    <t>1070890</t>
  </si>
  <si>
    <t>2070924</t>
  </si>
  <si>
    <t>N05AX08</t>
  </si>
  <si>
    <t>risperidon</t>
  </si>
  <si>
    <t>RISPOLEPT</t>
  </si>
  <si>
    <t xml:space="preserve">oralni rastvor </t>
  </si>
  <si>
    <t>boca staklena,100 ml (1 mg/ml)</t>
  </si>
  <si>
    <t>1. Šizofrenija, šizotipski poremećaji i poremećaji sa sumanutošću (F20 - F29),
 2. Bipolarni afektivni poremećaj (F31)
 3. Prolazna psihotična stanja kod organskih poremećaja (F00.0, F06.0; F06.2; F06.9 ).</t>
  </si>
  <si>
    <t>Za indikacije pod 1. i 2. samo za osobe starije od 18 godina,
Lek se uvodi u terapiju na osnovu mišljenja psihijatra ili neuropsihijatra ili neurologa.</t>
  </si>
  <si>
    <t>1070129</t>
  </si>
  <si>
    <t>N05AX15</t>
  </si>
  <si>
    <t>kariprazin</t>
  </si>
  <si>
    <t>REAGILA</t>
  </si>
  <si>
    <t>blister, 28 po 1,5 mg</t>
  </si>
  <si>
    <t>3mg</t>
  </si>
  <si>
    <t>Šizofrenija, šizotipski poremećaji i poremećaji sa sumanutošću (F20 - F29).</t>
  </si>
  <si>
    <t>1070127</t>
  </si>
  <si>
    <t>blister, 28 po 3 mg</t>
  </si>
  <si>
    <t>1070126</t>
  </si>
  <si>
    <t>blister, 28 po 4,5 mg</t>
  </si>
  <si>
    <t>1070125</t>
  </si>
  <si>
    <t>blister, 28 po 6 mg</t>
  </si>
  <si>
    <t>1071710</t>
  </si>
  <si>
    <t>N05BA06</t>
  </si>
  <si>
    <t>lorazepam</t>
  </si>
  <si>
    <t>LORAZEPAM HF</t>
  </si>
  <si>
    <t>30 po 1 mg</t>
  </si>
  <si>
    <t>Lek propisuje izabrani lekar bez mišljenja lekara specijaliste određene grane medicine  do tri meseca u toku 12 meseci, a nastavak terapije uz mišljenje lekara specijaliste određene grane medicine  (psihijatra ili neuropsihijatra ili neurologa ).</t>
  </si>
  <si>
    <t>1071711</t>
  </si>
  <si>
    <t xml:space="preserve"> 20 po 2,5 mg</t>
  </si>
  <si>
    <t>1071715</t>
  </si>
  <si>
    <t>LORSILAN</t>
  </si>
  <si>
    <t>1071714</t>
  </si>
  <si>
    <t>blister, 20 po 2,5 mg</t>
  </si>
  <si>
    <t>1071720</t>
  </si>
  <si>
    <t>N05BA08</t>
  </si>
  <si>
    <t>bromazepam</t>
  </si>
  <si>
    <t>BROMAZEPAM HF</t>
  </si>
  <si>
    <t>1071721</t>
  </si>
  <si>
    <t>blister, 30 po 3 mg</t>
  </si>
  <si>
    <t>1071722</t>
  </si>
  <si>
    <t>blister, 20 po 6 mg</t>
  </si>
  <si>
    <t>1071624</t>
  </si>
  <si>
    <t>LEXILIUM</t>
  </si>
  <si>
    <t>Alkaloid a.d. u saradnji sa F. Hoffmann-La Roche Ltd.</t>
  </si>
  <si>
    <t>1071626</t>
  </si>
  <si>
    <t>1071320</t>
  </si>
  <si>
    <t>LEXAURIN</t>
  </si>
  <si>
    <t>1071322</t>
  </si>
  <si>
    <t>1071324</t>
  </si>
  <si>
    <t>blister, 30 po 6 mg</t>
  </si>
  <si>
    <t>1071752</t>
  </si>
  <si>
    <t>N05BA12</t>
  </si>
  <si>
    <t>alprazolam</t>
  </si>
  <si>
    <t>KSALOL</t>
  </si>
  <si>
    <t xml:space="preserve"> blister, 30 po 1 mg</t>
  </si>
  <si>
    <t>1  mg</t>
  </si>
  <si>
    <t>1071755</t>
  </si>
  <si>
    <t>HELEX</t>
  </si>
  <si>
    <t>blister, 30 po 0,25 mg</t>
  </si>
  <si>
    <t>Krka Tovarna Zdravil d.d.; Krka Farma d.o.o.</t>
  </si>
  <si>
    <t>Slovenija; Hrvatska</t>
  </si>
  <si>
    <t>1071756</t>
  </si>
  <si>
    <t>1071757</t>
  </si>
  <si>
    <t>1071500</t>
  </si>
  <si>
    <t>MAPRAZAX</t>
  </si>
  <si>
    <t>1077260</t>
  </si>
  <si>
    <t>N05CD02</t>
  </si>
  <si>
    <t>nitrazepam</t>
  </si>
  <si>
    <t>NIPAM</t>
  </si>
  <si>
    <t>1071461</t>
  </si>
  <si>
    <t>N05CD08</t>
  </si>
  <si>
    <t>midazolam</t>
  </si>
  <si>
    <t>FLORMIDAL</t>
  </si>
  <si>
    <t xml:space="preserve"> blister, 30 po 15 mg</t>
  </si>
  <si>
    <t>Galenika a.d. u saradnji sa F.Hoffmann-La Roche Ltd, Švajcarska</t>
  </si>
  <si>
    <t>Lek se uvodi u terapiju na osnovu mišljenja  psihijatra ili neuropsihijatra ili neurologa.</t>
  </si>
  <si>
    <t>1077301</t>
  </si>
  <si>
    <t>N05CF02</t>
  </si>
  <si>
    <t>zolpidem</t>
  </si>
  <si>
    <t>SANVAL</t>
  </si>
  <si>
    <t>blister, 20 po 5 mg</t>
  </si>
  <si>
    <t>Lek se uvodi u terapiju na osnovu mišljenja psihijatra ili neuropsihijatra ili neurologa.</t>
  </si>
  <si>
    <t>1077300</t>
  </si>
  <si>
    <t>1077302</t>
  </si>
  <si>
    <t>BELBIEN</t>
  </si>
  <si>
    <t>1077311</t>
  </si>
  <si>
    <t>LUNATA</t>
  </si>
  <si>
    <t>1077313</t>
  </si>
  <si>
    <t>1072740</t>
  </si>
  <si>
    <t>N06AA04</t>
  </si>
  <si>
    <t>klomipramin</t>
  </si>
  <si>
    <t>ANAFRANIL</t>
  </si>
  <si>
    <t xml:space="preserve"> 30 po 25 mg</t>
  </si>
  <si>
    <t>Acino Estonia</t>
  </si>
  <si>
    <t>Estonija</t>
  </si>
  <si>
    <t>1072910</t>
  </si>
  <si>
    <t>N06AB05</t>
  </si>
  <si>
    <t>paroksetin</t>
  </si>
  <si>
    <t>SEROXAT</t>
  </si>
  <si>
    <t xml:space="preserve"> 1. Depresivna epizoda (F32),
 2. Rekurentni depresivni poremećaj (F33),
 3. Agorafobija (F40.0),
 4. Drugi anksiozni poremećaji (F41),
 5. Opsesivno - kompulsivni  poremećaji  (F42),
 6. Posttraumatski stresni poremećaj (F43.1),
 7. Organski anksiozni poremećaj (F06.4).</t>
  </si>
  <si>
    <t>Samo za osobe starije od 18 godina.
Lek se uvodi u terapiju  na osnovu mišljenja  psihijatra ili neuropsihijatra ili neurologa.</t>
  </si>
  <si>
    <t>1072782</t>
  </si>
  <si>
    <t>N06AG02</t>
  </si>
  <si>
    <t>moklobemid</t>
  </si>
  <si>
    <t>AURORIX</t>
  </si>
  <si>
    <t>Meda Pharma GmbH &amp; Co.KG; Cenexi S.A.S</t>
  </si>
  <si>
    <t xml:space="preserve"> Lek se uvodi u terapiju na osnovu mišljenja psihijatra/neuropsihijatra.</t>
  </si>
  <si>
    <t>1072750</t>
  </si>
  <si>
    <t>N06AX03</t>
  </si>
  <si>
    <t>mianserin</t>
  </si>
  <si>
    <t>TOLVON</t>
  </si>
  <si>
    <t>1. Akutna depresivna epizoda (F32);
2. Rekurentna depresivna epizoda (F33).</t>
  </si>
  <si>
    <t xml:space="preserve"> Lek se uvodi u terapiju  na osnovu mišljenja  psihijatra ili neuropsihijatra ili neurologa.</t>
  </si>
  <si>
    <t>1072631</t>
  </si>
  <si>
    <t>N06AX05</t>
  </si>
  <si>
    <t>trazodon</t>
  </si>
  <si>
    <t>TRITTICO Retard</t>
  </si>
  <si>
    <t>20 po 150 mg</t>
  </si>
  <si>
    <t>Aziende Chimiche Riunite Angelini Francesco  S.P.A.</t>
  </si>
  <si>
    <t>1. Depresija ( F32 )
2. Rekurentna depresivna epizoda ( F33 ).</t>
  </si>
  <si>
    <t>Lek se uvodi u terapiju za indikacije pod tačkom 1. i 2. na osnovu mišljenja psihijatra/neuropsihijatra.</t>
  </si>
  <si>
    <t>1072705</t>
  </si>
  <si>
    <t>N06AX11</t>
  </si>
  <si>
    <t>mirtazapin</t>
  </si>
  <si>
    <t>CALIXTA</t>
  </si>
  <si>
    <t>1. Depresivna epizoda (F32),
2. Rekurentni  depresivni poremećaj   (F33).</t>
  </si>
  <si>
    <t>Lek se uvodi u terapiju  na osnovu mišljenja  psihijatra ili neuropsihijatra ili neurologa.</t>
  </si>
  <si>
    <t>1072861</t>
  </si>
  <si>
    <t>REMIRTA</t>
  </si>
  <si>
    <t>1072050</t>
  </si>
  <si>
    <t xml:space="preserve">MIRZATEN </t>
  </si>
  <si>
    <t>Krka, Tovana Zdravil d.d</t>
  </si>
  <si>
    <t>1072051</t>
  </si>
  <si>
    <t>1089141</t>
  </si>
  <si>
    <t>N06AX12</t>
  </si>
  <si>
    <t>bupropion</t>
  </si>
  <si>
    <t>WELLBUTRIN XR</t>
  </si>
  <si>
    <t>bočica, 30 po 150 mg</t>
  </si>
  <si>
    <t>300 mg</t>
  </si>
  <si>
    <t>1. Depresivna epizoda (F32),
2. Rekurentni  depresivni poremećaj   ( F33.0; F33.1; F33.2; F33.4, F33.8; F33.9 ).</t>
  </si>
  <si>
    <t>1089140</t>
  </si>
  <si>
    <t>bočica, 30 po 300 mg</t>
  </si>
  <si>
    <t>1072992</t>
  </si>
  <si>
    <t>N06AX16</t>
  </si>
  <si>
    <t>venlafaksin</t>
  </si>
  <si>
    <t>ALVENTA</t>
  </si>
  <si>
    <t>kapsula sa produženim oslobadjanjem, tvrda</t>
  </si>
  <si>
    <t xml:space="preserve">1. Depresivna epizoda (F32),
2. Rekurentni depresivni poremećaj (F33),
3. Agorafobija  (F40.0),
4. Socijalna fobija (F40.1),
5. Drugi anksiozni poremećaji (F41),
6. Posttraumatski stresni poremećaji (F43.1). </t>
  </si>
  <si>
    <t>1072990</t>
  </si>
  <si>
    <t>blister, 28 po 150 mg</t>
  </si>
  <si>
    <t>1072489</t>
  </si>
  <si>
    <t>VENLAX</t>
  </si>
  <si>
    <t>blister, 30 po 37,5 mg</t>
  </si>
  <si>
    <t>1072488</t>
  </si>
  <si>
    <t>blister, 30 po 75 mg</t>
  </si>
  <si>
    <t>1072855</t>
  </si>
  <si>
    <t>VELAFAX</t>
  </si>
  <si>
    <t>blister, 28 po 37,5 mg</t>
  </si>
  <si>
    <t>1. Depresivna epizoda (F32),
2. Rekurentni depresivni poremećaj (F33),
3. Agorafobija (F40.0),
4. Socijalna fobija (F40.1),
5. Drugi anksiozni poremećaji (F41),
6. Posttraumatski stresni poremećaji (F43.1).</t>
  </si>
  <si>
    <t>1072856</t>
  </si>
  <si>
    <t>1072037</t>
  </si>
  <si>
    <t>N06AX21</t>
  </si>
  <si>
    <t>duloksetin</t>
  </si>
  <si>
    <t>TAITA</t>
  </si>
  <si>
    <t>1. Teške depresivne epizode (F32.2;F32.3)
2. Rekurentni depresivni poremećaj (F33)
3. Generalizovani anksiozni poremećaji (F41.1)
4. Neuropatski bol (G63.2)</t>
  </si>
  <si>
    <t>Za indikacije pod tačkom 1, 2 i 3 lek se uvodi u terapiju na  osnovu mišljenja  psihijatra ili neuropsihijatra ili neurologa, a pod tačkom 4. na osnovu mišljenja neurologa ili neuropsihijatra</t>
  </si>
  <si>
    <t>1072036</t>
  </si>
  <si>
    <t>DULSEVIA</t>
  </si>
  <si>
    <t>Za indikacije pod tačkom 1, 2 i 3 lek se uvodi u terapiju na  osnovu mišljenja  psihijatra ili neuropsihijatra ili neurologa, a pod tačkom 4. na osnovu mišljenja neurologa ili neuropsihijatra.</t>
  </si>
  <si>
    <t>blister, 28 po 60 mg</t>
  </si>
  <si>
    <t>blister, 28 po 90 mg</t>
  </si>
  <si>
    <t>1072015</t>
  </si>
  <si>
    <t>DUXET</t>
  </si>
  <si>
    <t>1072016</t>
  </si>
  <si>
    <t>N06AX22</t>
  </si>
  <si>
    <t>agomelatin</t>
  </si>
  <si>
    <t>blister, 28 po 25 mg</t>
  </si>
  <si>
    <t>25 mg</t>
  </si>
  <si>
    <t>1. Depresivna epizoda (F32), 
2. Rekurentni depresivni poremećaj (F33).</t>
  </si>
  <si>
    <t xml:space="preserve"> Lek se uvodi u terapiju  na osnovu mišljenja psihijatra ili neuropsihijatra ili neurologa.</t>
  </si>
  <si>
    <t>MENTELA</t>
  </si>
  <si>
    <t>Slovačka</t>
  </si>
  <si>
    <t>1072072</t>
  </si>
  <si>
    <t>MELAXIN</t>
  </si>
  <si>
    <t>Pliva Hrvatska d.o.o.;
Merckle GmbH</t>
  </si>
  <si>
    <t>Hrvatska;
Nemačka</t>
  </si>
  <si>
    <t>1072875</t>
  </si>
  <si>
    <t>N06AX23</t>
  </si>
  <si>
    <t>desvenlafaksin</t>
  </si>
  <si>
    <t>DESENDA</t>
  </si>
  <si>
    <t>1. Depresivna  epizoda (F32.1, F32.2, F32.3)
2. Rekurentni depresivni poremećaj (F33.1, F33.2, F33.3)</t>
  </si>
  <si>
    <t>Lek se uvodi u terapiju  na osnovu mišljenja psihijatra ili neuropsihijatra ili neurologa.</t>
  </si>
  <si>
    <t>1079030</t>
  </si>
  <si>
    <t>N06DA02</t>
  </si>
  <si>
    <t>donepezil</t>
  </si>
  <si>
    <t>YASNAL</t>
  </si>
  <si>
    <t>7,5 mg</t>
  </si>
  <si>
    <t xml:space="preserve"> Alzheimerova bolest (G30; F00).</t>
  </si>
  <si>
    <t>1079031</t>
  </si>
  <si>
    <t>1079051</t>
  </si>
  <si>
    <t>TREGONA</t>
  </si>
  <si>
    <t>Alzheimerova bolest (G30; F00).</t>
  </si>
  <si>
    <t>1079050</t>
  </si>
  <si>
    <t>1079041</t>
  </si>
  <si>
    <t>DONECEPT</t>
  </si>
  <si>
    <t>Actavis Ltd</t>
  </si>
  <si>
    <t>1079035</t>
  </si>
  <si>
    <t>1088012</t>
  </si>
  <si>
    <t>N06DA03</t>
  </si>
  <si>
    <t>rivastigmin</t>
  </si>
  <si>
    <t>EXELON</t>
  </si>
  <si>
    <t>Novartis Farmaceutica S.A.</t>
  </si>
  <si>
    <t>9 mg</t>
  </si>
  <si>
    <t>1. Alzheimerova bolest (G30; F00).   
2. Demencija u Parkinsonovoj bolesti (F02.3)</t>
  </si>
  <si>
    <t>1088013</t>
  </si>
  <si>
    <t>1088014</t>
  </si>
  <si>
    <t>1088015</t>
  </si>
  <si>
    <t>1088200</t>
  </si>
  <si>
    <t>NIMVASTID</t>
  </si>
  <si>
    <t xml:space="preserve">kapsula, tvrda </t>
  </si>
  <si>
    <t>1. Alzheimerova bolest (G30; F00).
2. Demencija u Parkinsonovoj bolesti (F02.3)</t>
  </si>
  <si>
    <t>1088201</t>
  </si>
  <si>
    <t>1088202</t>
  </si>
  <si>
    <t>1088203</t>
  </si>
  <si>
    <t>9088225</t>
  </si>
  <si>
    <t>kesica, 30 po 1 kom, 4,6 mg/24 h</t>
  </si>
  <si>
    <t>Novartis Pharma Stein AG; Novartis Pharma GmBH</t>
  </si>
  <si>
    <t>Švajcarska; Nemačka</t>
  </si>
  <si>
    <t xml:space="preserve">Blago do umereno teška demencija Alchajmerovog tipa (G30; F00). </t>
  </si>
  <si>
    <t>9088226</t>
  </si>
  <si>
    <t>kesica, 30 po 1 kom, 9,5 mg/24 h</t>
  </si>
  <si>
    <t>9088227</t>
  </si>
  <si>
    <t>30 po 13.3mg/24h</t>
  </si>
  <si>
    <t>Novartis Pharma Stein AG; Novartis Pharma GMBH</t>
  </si>
  <si>
    <t>9,5 mg</t>
  </si>
  <si>
    <t>1079903</t>
  </si>
  <si>
    <t>N06DX01</t>
  </si>
  <si>
    <t>memantin</t>
  </si>
  <si>
    <t>MEMANDO</t>
  </si>
  <si>
    <t>1079907</t>
  </si>
  <si>
    <t>1079033</t>
  </si>
  <si>
    <t>NEMDATINE</t>
  </si>
  <si>
    <t>1079028</t>
  </si>
  <si>
    <t>1079004</t>
  </si>
  <si>
    <t>YMANA</t>
  </si>
  <si>
    <t>1079046</t>
  </si>
  <si>
    <t>MEMALIS</t>
  </si>
  <si>
    <t>1079047</t>
  </si>
  <si>
    <t>1075310</t>
  </si>
  <si>
    <t>N07BB03</t>
  </si>
  <si>
    <t>akamprosat</t>
  </si>
  <si>
    <t>CAMPRAL</t>
  </si>
  <si>
    <t xml:space="preserve"> blister, 84 po 333 mg</t>
  </si>
  <si>
    <t>Merck S.L; Merck Sante S.A.S</t>
  </si>
  <si>
    <t xml:space="preserve"> Španija; Francuska</t>
  </si>
  <si>
    <t>Održavanje apstinencije kod pacijenata zavisnih od alkohola u kombinaciji sa psihološkim savetovanjem (F10).</t>
  </si>
  <si>
    <t>Lek se uvodi u terapiju na osnovu mišljenja psihijatra/neuropsihijatra.</t>
  </si>
  <si>
    <t>1182031</t>
  </si>
  <si>
    <t>N07BB04</t>
  </si>
  <si>
    <t>naltrekson</t>
  </si>
  <si>
    <t>Održavanje opijatske zavisnosti   (F11).</t>
  </si>
  <si>
    <t>Lek se uvodi u terapiju  na osnovu mišljenja  tri lekara  psihijatra ili neuropsihijatra.</t>
  </si>
  <si>
    <t>1182051</t>
  </si>
  <si>
    <t>N07BC01</t>
  </si>
  <si>
    <t>BUPRENORFIN ALKALOID</t>
  </si>
  <si>
    <t>sublingvalna tableta</t>
  </si>
  <si>
    <t>blister, 7 po 2 mg</t>
  </si>
  <si>
    <t>8 mg</t>
  </si>
  <si>
    <t>Lečenje  zavisnosti od opijata (F11).</t>
  </si>
  <si>
    <t>Za supstituciju, lek se uvodi u terapiju u zdravstvenim ustanovama koje obavljaju zdravstvenu delatnost na primarnom, sekundarnom ili tercijarnom nivou  na osnovu mišljenja psihijatra/neuropsihijatra  ili subspecijaliste za bolesti zavisnosti, a u skladu sa Smernicama za primenu supstitucione terapije. Za detoksikaciju, lek se uvodi i detoksikacija sprovodi isključivo u sledećim zdravstvenim ustanovama:
     - UKC Kragujevac- Klinika za psihijatriju
     - UKC Vojvodine- Klinika za psihijatriju
     - UKC Niš- Klinika za zaštitu mentalnog zdravlja
     - Specijalna bolnica za psihijatrijske bolesti „Gornja Toponica”
     - Specijalna bolnica za bolesti zavisnosti u Beogradu.</t>
  </si>
  <si>
    <t>1182052</t>
  </si>
  <si>
    <t>blister, 7 po 8 mg</t>
  </si>
  <si>
    <t>1182072</t>
  </si>
  <si>
    <t>BUPREFEX</t>
  </si>
  <si>
    <t>G.L. Pharma GmbH</t>
  </si>
  <si>
    <t>1182073</t>
  </si>
  <si>
    <t>1182070</t>
  </si>
  <si>
    <t>BUPROBOL</t>
  </si>
  <si>
    <t>1182071</t>
  </si>
  <si>
    <t>1182060</t>
  </si>
  <si>
    <t>N07BC51</t>
  </si>
  <si>
    <t>buprenorfin, nalokson</t>
  </si>
  <si>
    <t>BULNEXO</t>
  </si>
  <si>
    <t>blister deljiv na pojedinačne doze, 7 po (2mg + 0,5mg)</t>
  </si>
  <si>
    <t>Lečenje zavisnosti od opijata (F11).</t>
  </si>
  <si>
    <t>1182062</t>
  </si>
  <si>
    <t>blister deljiv na pojedinačne doze, 7 po (8mg + 2mg)</t>
  </si>
  <si>
    <t>7110022</t>
  </si>
  <si>
    <t>R01AD01</t>
  </si>
  <si>
    <t>beklometazon</t>
  </si>
  <si>
    <t>BECONASE</t>
  </si>
  <si>
    <t>sprej za nos, suspenzija</t>
  </si>
  <si>
    <t xml:space="preserve">bočica sa raspršivačem, 200 po  50 mcg/doza </t>
  </si>
  <si>
    <t>7114591</t>
  </si>
  <si>
    <t>R03AC12</t>
  </si>
  <si>
    <t>salmeterol</t>
  </si>
  <si>
    <t>SEREVENT Inhaler CFC-Free</t>
  </si>
  <si>
    <t xml:space="preserve">suspenzija za inhalaciju pod pritiskom </t>
  </si>
  <si>
    <t>inhalator pod pritiskom sa dozerom, 1 po 120 doza (25 mcg/doza)</t>
  </si>
  <si>
    <t>Glaxo Wellcome Production</t>
  </si>
  <si>
    <t>100 mcg</t>
  </si>
  <si>
    <t>1. Bronhijalna astma, samo uz terapiju inhalacionim kortikosteroidima (J45),
2. Hronična opstruktivna bolest pluća kod odraslih za umereno teške, teške i veoma teške ( II, III ili IV stadijum) oblike bolesti (J44).</t>
  </si>
  <si>
    <t>Lek se uvodi u terapiju za indikacije pod tačkama 1. i 2.  na osnovu  mišljenja  pulmologa ili pneumoftiziologa ili alergologa ili imunologa ili  interniste  u službi pulmologije.</t>
  </si>
  <si>
    <t>7114162</t>
  </si>
  <si>
    <t>R03AC13</t>
  </si>
  <si>
    <t>formoterol</t>
  </si>
  <si>
    <t>OXIS TURBUHALER</t>
  </si>
  <si>
    <t>prašak za inhalaciju</t>
  </si>
  <si>
    <t>kontejner višedozni, 1 po 60 doza (4,5 mcg/doza)</t>
  </si>
  <si>
    <t>24 mcg</t>
  </si>
  <si>
    <t>7114163</t>
  </si>
  <si>
    <t>kontejner višedozni, 1 po 60 doza (9 mcg/doza)</t>
  </si>
  <si>
    <t>7114164</t>
  </si>
  <si>
    <t>R03AC18</t>
  </si>
  <si>
    <t>indakaterol</t>
  </si>
  <si>
    <t>ONBREZ BREEZHALER</t>
  </si>
  <si>
    <t xml:space="preserve">tvrda kapsula, blister 30 po 150mcg </t>
  </si>
  <si>
    <t>Novartis Pharma Stein AG</t>
  </si>
  <si>
    <t>0,15mg</t>
  </si>
  <si>
    <t>Hronična opstruktivna bolest pluća kod odraslih za umereno teške, teške i veoma teške ( II, III ili IV stadijum) oblike bolesti (J44).</t>
  </si>
  <si>
    <t>Lek se uvodi u terapiju na osnovu  mišljenja pulmologa ili pneumoftiziologa ili alergologa ili imunologa ili  interniste  u službi pulmologije.</t>
  </si>
  <si>
    <t>7114670</t>
  </si>
  <si>
    <t>R03AK06</t>
  </si>
  <si>
    <t>salmeterol, flutikazon</t>
  </si>
  <si>
    <t>SERETIDE DISCUS</t>
  </si>
  <si>
    <t>prašak za inhalaciju, podeljen</t>
  </si>
  <si>
    <t>diskus, 1 po 60 doza (50 mcg/doza+100 mcg/doza)</t>
  </si>
  <si>
    <t>2 inh.</t>
  </si>
  <si>
    <t>1. Bronhijalna astma  (J45).
2. Hronična opstruktivna bolest pluća kod odraslih kod kojih je postbronhodilatatorni FEV1≤60% (J44).</t>
  </si>
  <si>
    <t>Za indikacije pod tačkom 1. i 2. lek se uvodi u terapiju na osnovu  mišljenja pulmologa ili pneumoftiziologa ili alergologa ili imunologa ili  interniste  u službi pulmologije. Za  indikaciju pod tačkom 2. mišljenje mora da sadrži vrednost postbronhodilatatornog FEV1.</t>
  </si>
  <si>
    <t>7114671</t>
  </si>
  <si>
    <t>diskus, 1 po 60 doza (50 mcg/doza+250 mcg/doza)</t>
  </si>
  <si>
    <t>7114672</t>
  </si>
  <si>
    <t>diskus, 1 po 60 doza (50 mcg/doza+500 mcg/doza)</t>
  </si>
  <si>
    <t>1.  Bronhijalna astma  (J45).
2.  Hronična opstruktivna bolest pluća kod odraslih kod kojih je postbronhodilatatorni FEV1≤60% (J44).</t>
  </si>
  <si>
    <t>7114673</t>
  </si>
  <si>
    <t>AIRFLUSAL FORSPIRO</t>
  </si>
  <si>
    <t>blister, 1 po 60 doza (50mcg/doza + 250mcg/doza)</t>
  </si>
  <si>
    <t>Aeropharm GMBH</t>
  </si>
  <si>
    <t>7114674</t>
  </si>
  <si>
    <t>blister, 1 po 60 doza (50mcg/doza + 500mcg/doza)</t>
  </si>
  <si>
    <t>7114620</t>
  </si>
  <si>
    <t>ASARIS</t>
  </si>
  <si>
    <t>blister, 1 po 60 doza (50mcg/doza + 100mcg/doza)</t>
  </si>
  <si>
    <t>Polfarmex S.A.</t>
  </si>
  <si>
    <t>7114621</t>
  </si>
  <si>
    <t>7114622</t>
  </si>
  <si>
    <t>suspenzija za inhalaciju pod pritiskom</t>
  </si>
  <si>
    <t>4 inh.</t>
  </si>
  <si>
    <t>7114710</t>
  </si>
  <si>
    <t>R03AK07</t>
  </si>
  <si>
    <t>formoterol, budesonid</t>
  </si>
  <si>
    <t>SYMBICORT TURBUHALER</t>
  </si>
  <si>
    <t>inhalator, 1 po 60 doza (4.5mcg/doza+80mcg/doza)</t>
  </si>
  <si>
    <t>1. Bronhijalna astma (J45).
2. Hronična opstruktivna bolest pluća kod odraslih kod kojih je postbronhodilatatorni FEV1&lt;50% (J44).</t>
  </si>
  <si>
    <t>7114711</t>
  </si>
  <si>
    <t>inhalator, 1 po 60 doza (4.5mcg/doza+160mcg/doza)</t>
  </si>
  <si>
    <t>7114610</t>
  </si>
  <si>
    <t>inhalator, 1 po 120 doza (4.5mcg/doza+160mcg/doza)</t>
  </si>
  <si>
    <t>4inh</t>
  </si>
  <si>
    <t>7114712</t>
  </si>
  <si>
    <t>budesonid, formoterol</t>
  </si>
  <si>
    <t>inhaler, 1 po 60 doza (320 mcg + 9 mcg)</t>
  </si>
  <si>
    <t>7114715</t>
  </si>
  <si>
    <t>SYMBICORT</t>
  </si>
  <si>
    <t xml:space="preserve"> inhalator pod pritiskom sa dozerom, 1 po 120 doza (4,5 mcg/doza + 160 mcg/doza)</t>
  </si>
  <si>
    <t>AstraZeneca Dunkerque Production Dunkerque</t>
  </si>
  <si>
    <t xml:space="preserve">
Hronična opstruktivna bolest pluća kod odraslih kod kojih je postbronhodilatatorni FEV1≤60% (J44).</t>
  </si>
  <si>
    <t>Lek se uvodi u terapiju na osnovu  mišljenja pulmologa ili pneumoftiziologa ili alergologa ili imunologa ili  interniste  u službi pulmologije.
Mišljenje mora da sadrži vrednost postbronhodilatatornog FEV1.</t>
  </si>
  <si>
    <t>7114714</t>
  </si>
  <si>
    <t>DUORESP SPIROMAX</t>
  </si>
  <si>
    <t>inhaler, 1 po 120 doza (4,5mcg/doza + 160mcg/doza)</t>
  </si>
  <si>
    <t>7114713</t>
  </si>
  <si>
    <t>7114168</t>
  </si>
  <si>
    <t>AIRBUFO FORSPIRO</t>
  </si>
  <si>
    <t>inhalator, 1 po 60 doza (4,5mcg/doza + 160mcg/doza)</t>
  </si>
  <si>
    <t>Aeropharm GmbH;
Salutas Pharma GmbH;
Lek Farmacevtska Družba d.d.</t>
  </si>
  <si>
    <t>Nemačka;
Nemačka;
Slovenija</t>
  </si>
  <si>
    <t>7114246</t>
  </si>
  <si>
    <t>R03AK08</t>
  </si>
  <si>
    <t>formoterol, beklometazon</t>
  </si>
  <si>
    <t>FOSTER</t>
  </si>
  <si>
    <t>rastvor za inhalaciju pod pritiskom</t>
  </si>
  <si>
    <t>kontejner pod pritiskom sa ventilom za doziranje, 1 po 180 doza (6 mcg/doza + 100 mcg/doza )</t>
  </si>
  <si>
    <t>Chiesi Pharmaceuticals GmbH</t>
  </si>
  <si>
    <t>7114248</t>
  </si>
  <si>
    <t>FOSTER NEXTHALER</t>
  </si>
  <si>
    <t>7114005</t>
  </si>
  <si>
    <t>R03AK10</t>
  </si>
  <si>
    <t>vilanterol, flutikazonfuroat</t>
  </si>
  <si>
    <t>RELVAR ELLIPTA</t>
  </si>
  <si>
    <t>inhaler, 1 po 30 doza (22mcg+92mcg)</t>
  </si>
  <si>
    <t>1 doza</t>
  </si>
  <si>
    <t>7114006</t>
  </si>
  <si>
    <t>inhaler, 1 po 30 doza (22mcg+184mcg)</t>
  </si>
  <si>
    <t>Bronhijalna astma (J45)</t>
  </si>
  <si>
    <t xml:space="preserve"> Lek se uvodi u terapiju na osnovu  mišljenja pulmologa ili pneumoftiziologa ili alergologa ili imunologa ili  interniste  u službi pulmologije.</t>
  </si>
  <si>
    <t>7114675</t>
  </si>
  <si>
    <t>R03AL03</t>
  </si>
  <si>
    <t>vilanterol, umeklidinijum-bromid</t>
  </si>
  <si>
    <t>ANORO ELLIPTA</t>
  </si>
  <si>
    <t>inhaler, 1 po 30 doza (22mcg/doza + 55mcg/doza)</t>
  </si>
  <si>
    <t>1 inh.</t>
  </si>
  <si>
    <t>Hronična opstruktivna bolest pluća kod odraslih za umereno teške, teške i veoma teške (II, III ili IV stadijum) oblike bolesti (J44).</t>
  </si>
  <si>
    <t>Lek se uvodi u terapiju na osnovu mišljenja pulmologa ili pneumoftiziologa ili alergologa ili imunologa  ili interniste u službi pulmologije.</t>
  </si>
  <si>
    <t>7114171</t>
  </si>
  <si>
    <t>R03AL04</t>
  </si>
  <si>
    <t>indakaterol, glikopironijum-bromid</t>
  </si>
  <si>
    <t>ULTIBRO BREEZHALER</t>
  </si>
  <si>
    <t>prašak za inhalaciju, kapsula tvrda</t>
  </si>
  <si>
    <t>blister + inhaler, 30 po (85mcg + 43mcg)</t>
  </si>
  <si>
    <t>Terapija održavanja bronhodilatatorima za olakšanje simptoma kod odraslih pacijenata sa hroničnom opstruktivnom bolešću pluća (HOBP), kod kojih se nije postigla redukcija dispneje dotadašnjom primenom jednog (monokomponentnog) dugodelujućeg bronhodilatatora (J44).</t>
  </si>
  <si>
    <t>R03AL05</t>
  </si>
  <si>
    <t>formoterol, aklidinijum-bromid</t>
  </si>
  <si>
    <t>BRIMICA GENUAIR</t>
  </si>
  <si>
    <t>inhaler, 1 po 60 doza (12mcg/doza+340mcg/doza)</t>
  </si>
  <si>
    <t>Industrias Farmaceuticas Almirall S.A</t>
  </si>
  <si>
    <t xml:space="preserve">2 inh. </t>
  </si>
  <si>
    <t>R03AL06</t>
  </si>
  <si>
    <t>olodaterol, tiotropijum-bromid</t>
  </si>
  <si>
    <t>SPIOLTO RESPIMAT</t>
  </si>
  <si>
    <t>rastvor za inhalaciju</t>
  </si>
  <si>
    <t>uložak i inhaler, 1 po 60 potisika (30 doza) (2.5mcg/potisak+2.5mcg/potisak)</t>
  </si>
  <si>
    <t>Boehgringer Ingelheim Pharma GmbH&amp;Co.Kg</t>
  </si>
  <si>
    <t>Lek se uvodi u terapiju na osnovu mišljenja pulmologa ili pneumoftiziologa ili alergologa ili imunologa ili interniste u službi pulmologije.</t>
  </si>
  <si>
    <t>7114689</t>
  </si>
  <si>
    <t>R03AL08</t>
  </si>
  <si>
    <t>TRELEGY ELLIPTA</t>
  </si>
  <si>
    <t>Hronična opstruktivna bolest pluća kod odraslih kod kojih je postbronhodilatatorni FEV≤60%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</si>
  <si>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7114175</t>
  </si>
  <si>
    <t>R03AL09</t>
  </si>
  <si>
    <t>formoterol, glikopironijum-bromid, beklometazon</t>
  </si>
  <si>
    <t>TRIMBOW</t>
  </si>
  <si>
    <t>kontejner pod pritiskom sa ventilom za doziranje, 1 po 180 doza (5mcg/doza + 9mcg/doza + 87mcg/doza)</t>
  </si>
  <si>
    <t>Hronična opstruktivna bolest pluća kod odraslih kod kojih je postbronhodilatatorni FEV≤50% i  čija je bolest sklona pogoršanjima, odnosno koji su u prethodnoj godini imali najmanje dve srednje teške ili najmanje jednu tešku bolnički lečenu egzacerbaciju HOBP neinfektivne etiologije, i pored redovne terapije dugodelujućim beta2-agonistom i inhalacionim kortikosteroidom, ili i pored redovne terapije dugodelujućim beta2-agonistom  i dugodelujućim antiholinergikom.</t>
  </si>
  <si>
    <t>R03AL11</t>
  </si>
  <si>
    <t>formoterol, glikopironijum-bromid, budesonid</t>
  </si>
  <si>
    <t>TRIXEO AEROSPHERE</t>
  </si>
  <si>
    <t>inhalator pod pritiskom sa dozerom, 1 po 120 doza (5 mcg + 7,2 mcg + 160 mcg)</t>
  </si>
  <si>
    <t>AstraZeneca Dunkerque Production</t>
  </si>
  <si>
    <t>R03BA02</t>
  </si>
  <si>
    <t>budesonid</t>
  </si>
  <si>
    <t>PULMICORT TURBUHALER</t>
  </si>
  <si>
    <t>inhaler, 1 po 100 doza (200 mcg/doza)</t>
  </si>
  <si>
    <t>800 mcg</t>
  </si>
  <si>
    <t xml:space="preserve"> Bronhijalna astma (J45).</t>
  </si>
  <si>
    <t>7114595</t>
  </si>
  <si>
    <t>R03BA05</t>
  </si>
  <si>
    <t>flutikazon</t>
  </si>
  <si>
    <t>FLIXOTIDE</t>
  </si>
  <si>
    <t>kontejner pod pritiskom, 1 po 60 doza (125 mcg/1 doza)</t>
  </si>
  <si>
    <t xml:space="preserve"> Glaxo Wellcome S.A.</t>
  </si>
  <si>
    <t xml:space="preserve">    Španija</t>
  </si>
  <si>
    <t>7114596</t>
  </si>
  <si>
    <t>kontejner pod pritiskom, 1 po 60 doza (250 mcg/1 doza)</t>
  </si>
  <si>
    <t>7114744</t>
  </si>
  <si>
    <t>R03BA08</t>
  </si>
  <si>
    <t>ciklesonid</t>
  </si>
  <si>
    <t xml:space="preserve">ALVESCO </t>
  </si>
  <si>
    <t>kontejner pod pritiskom,1 po 60 doza (160 mcg/doza)</t>
  </si>
  <si>
    <t xml:space="preserve"> AstraZeneca AB; Covis Pharma Europe B.V.</t>
  </si>
  <si>
    <t>Švedska;  Holandija</t>
  </si>
  <si>
    <t>0,16 mg</t>
  </si>
  <si>
    <t>7114741</t>
  </si>
  <si>
    <t>kontejner pod pritiskom, 1 po 10 ml (120 doza po 80 mcg)</t>
  </si>
  <si>
    <t>7114730</t>
  </si>
  <si>
    <t>R03BB04</t>
  </si>
  <si>
    <t>tiotropium-bromid</t>
  </si>
  <si>
    <t>SPIRIVA</t>
  </si>
  <si>
    <t>prašak za inhalaciju, tvrda kapsula</t>
  </si>
  <si>
    <t>blister, 30 po 18 mcg</t>
  </si>
  <si>
    <t>18 mcg</t>
  </si>
  <si>
    <t>7114732</t>
  </si>
  <si>
    <t>tiotropijum-bromid</t>
  </si>
  <si>
    <t>SPIRIVA RESPIMAT</t>
  </si>
  <si>
    <t>uložak i inhaler, 1 po 60 potisaka (30 doza) (2.5 mcg/potisak)</t>
  </si>
  <si>
    <t>5 mcg</t>
  </si>
  <si>
    <t>7114734</t>
  </si>
  <si>
    <t xml:space="preserve">R03BB04                                                                                                                                                                                                                                                                                                                                                                                                                                                                                                                                                                                           </t>
  </si>
  <si>
    <t>BRALTUS</t>
  </si>
  <si>
    <t>boca plastična, 30 po 10 mcg</t>
  </si>
  <si>
    <t>Laboratorios Liconsa S.A.; Teva Pharma B.V.; Teva Operations Poland SP.Z.O.O.; Actavis LTD</t>
  </si>
  <si>
    <t>Španija; Holandija; Poljska; Malta</t>
  </si>
  <si>
    <t>10 mcg</t>
  </si>
  <si>
    <t>7114001</t>
  </si>
  <si>
    <t>R03BB05</t>
  </si>
  <si>
    <t>aklidinijum-bromid</t>
  </si>
  <si>
    <t>BRETARIS GENUAIR</t>
  </si>
  <si>
    <t>inhaler, 1 po 60 doza (322mcg)</t>
  </si>
  <si>
    <t>Industrias Farmaceuticas Almirall SA</t>
  </si>
  <si>
    <t>0,644mg</t>
  </si>
  <si>
    <t>7114733</t>
  </si>
  <si>
    <t>R03BB06</t>
  </si>
  <si>
    <t>glikopironijum-bromid</t>
  </si>
  <si>
    <t>SEEBRI BREEZHALER</t>
  </si>
  <si>
    <t xml:space="preserve"> blister,30 po 44mcg</t>
  </si>
  <si>
    <t>44mcg</t>
  </si>
  <si>
    <t>7114003</t>
  </si>
  <si>
    <t>R03BB07</t>
  </si>
  <si>
    <t>umeklidinijum bromid</t>
  </si>
  <si>
    <t>INCRUSE ELLIPTA</t>
  </si>
  <si>
    <t>inhaler, 1 po 30 doza (55mcg/doza)</t>
  </si>
  <si>
    <t>55mcg</t>
  </si>
  <si>
    <t>1114643</t>
  </si>
  <si>
    <t>R03DC03</t>
  </si>
  <si>
    <t>montelukast</t>
  </si>
  <si>
    <t>SINGULAIR</t>
  </si>
  <si>
    <t>Bronhijalna astma (J45).</t>
  </si>
  <si>
    <t xml:space="preserve">Lek se uvodi u terapiju kao dodatna  terapija kada primena inhalacionih kortikosteroida  ne obezbeđuje odgovarajuću kontrolu bolesti.
Lek se uvodi u terapiju na osnovu mišljenja pulmologa ili pneumoftiziologa  ili alergologa ili imunologa ili interniste u službi pulmologije. </t>
  </si>
  <si>
    <t>1114554</t>
  </si>
  <si>
    <t>ALVOKAST</t>
  </si>
  <si>
    <t>1114645</t>
  </si>
  <si>
    <t>TELUKA</t>
  </si>
  <si>
    <t>1119220</t>
  </si>
  <si>
    <t>R03DX07</t>
  </si>
  <si>
    <t>roflumilast</t>
  </si>
  <si>
    <t>DAXAS</t>
  </si>
  <si>
    <t>blister, 30 po 500 mcg</t>
  </si>
  <si>
    <t>Takeda GmbH; Corden Pharma GmbH</t>
  </si>
  <si>
    <t>Hronična opstruktivna bolest pluća, kao dodatna terapija, kod odraslih za teške i veoma teške ( III ili IV stadijum) oblike bolesti sa čestim egzacerbacijama (dve ili više godišnje) (J44).</t>
  </si>
  <si>
    <t>Lek se uvodi u terapiju na osnovu  mišljenja pulmologa ili pneumoftiziologa ili alergologa ili imunologa ili interniste u službi pulmologije.</t>
  </si>
  <si>
    <t>3114450</t>
  </si>
  <si>
    <t>R06AX17</t>
  </si>
  <si>
    <t>ketotifen</t>
  </si>
  <si>
    <t>GALITIFEN</t>
  </si>
  <si>
    <t>sirup</t>
  </si>
  <si>
    <t>1 po 100 ml (1 mg/5 ml)</t>
  </si>
  <si>
    <t>2 mg</t>
  </si>
  <si>
    <t>Samo za decu stariju od 2 godine.</t>
  </si>
  <si>
    <t>S01AE05</t>
  </si>
  <si>
    <t>LEXAVON</t>
  </si>
  <si>
    <t>kapi za oči, rastvor</t>
  </si>
  <si>
    <t>boca sa kapaljkom, 1 po 5ml (5mg/ml)</t>
  </si>
  <si>
    <t>Rafarm S.A</t>
  </si>
  <si>
    <t>Bakterijski konjuktivitis (H10.0)</t>
  </si>
  <si>
    <t>7090011</t>
  </si>
  <si>
    <t>S01AE07</t>
  </si>
  <si>
    <t>VIGAMOX</t>
  </si>
  <si>
    <t>bočica sa kapaljkom, 1 po 5ml, (5mg/ml)</t>
  </si>
  <si>
    <t>Alcon-Couvreur;
Alcon Cusi S.A.</t>
  </si>
  <si>
    <t>Belgija;
Španija</t>
  </si>
  <si>
    <t>7090813</t>
  </si>
  <si>
    <t>S01CA01</t>
  </si>
  <si>
    <t>deksametazon, neomicin</t>
  </si>
  <si>
    <t xml:space="preserve">NEODEKSACIN </t>
  </si>
  <si>
    <t>bočica, 10 ml (0,1% + 0,35%)</t>
  </si>
  <si>
    <t xml:space="preserve">Hemomont d.o.o. </t>
  </si>
  <si>
    <t>Republika Crna Gora</t>
  </si>
  <si>
    <t>7094070</t>
  </si>
  <si>
    <t>S01EA05</t>
  </si>
  <si>
    <t>brimonidin</t>
  </si>
  <si>
    <t>ALPHAGAN</t>
  </si>
  <si>
    <t>bočica sa kapaljkom, 1 po 5 ml, 0,2%</t>
  </si>
  <si>
    <t>Allergan Pharmaceuticals Ireland</t>
  </si>
  <si>
    <t>Irska</t>
  </si>
  <si>
    <t>0,2 ml</t>
  </si>
  <si>
    <t>Lek se uvodi u terapiju  na osnovu mišljenja oftalmologa.</t>
  </si>
  <si>
    <t>7094080</t>
  </si>
  <si>
    <t>BRIMONAL 0,2%</t>
  </si>
  <si>
    <t>bočica sa kapaljkom, 1 po 10 ml (0,2%)</t>
  </si>
  <si>
    <t>Unimed Pharma S.R.O.</t>
  </si>
  <si>
    <t>7094071</t>
  </si>
  <si>
    <t>BRIMODROP</t>
  </si>
  <si>
    <t>kapi za oči, 
rastvor</t>
  </si>
  <si>
    <t>kapi za oči, suspenzija</t>
  </si>
  <si>
    <t>1. Za lečenje glaukoma (H40) kao druga ili treća terapijska linija (odnosno prva ili druga kada postoji kontraindikacija na primenu beta-adrenergičkih blokatora).
2. Za lečenje glaukoma (H40) kod obolelih kod kojih je ranije dijagnostikovana bolest i koji se već nalaze na lečenju kao nastavak terapije ovim lekom, na osnovu mišljenja oftalmologa.</t>
  </si>
  <si>
    <t xml:space="preserve"> Lek se uvodi u terapiju  na osnovu mišljenja oftalmologa.</t>
  </si>
  <si>
    <t>7099086</t>
  </si>
  <si>
    <t>S01EC54</t>
  </si>
  <si>
    <t>brinzolamid, brimonidin</t>
  </si>
  <si>
    <t>SIMBRINZA</t>
  </si>
  <si>
    <t>bočica sa kapaljkom, 1 po 5 ml (10 mg/ml + 2 mg/ml)</t>
  </si>
  <si>
    <t>Alcon-Couvreur N.V.</t>
  </si>
  <si>
    <t xml:space="preserve">Smanjenje povišenog intraokularnog pritiska (IOP) kod odraslih pacijenata sa glaukomom otvorenog ugla ili očnom hipertenzijom kod kojih monoterapija ne dovodi do dovoljnog smanjenja IOP (H40).        </t>
  </si>
  <si>
    <t>Lek se uvodi na osnovu mišljenja oftalmologa.</t>
  </si>
  <si>
    <t>7099090</t>
  </si>
  <si>
    <t>S01ED51</t>
  </si>
  <si>
    <t>timolol, bimatoprost</t>
  </si>
  <si>
    <t>GANFORT</t>
  </si>
  <si>
    <t>bočica sa kapljkom, 1 po 3 ml (5 mg/ml + 300 mcg/ml)</t>
  </si>
  <si>
    <t>0,1 ml</t>
  </si>
  <si>
    <t>1. Za lečenje glaukoma (H40) kao druga ili treća terapijska linija.
2. Za lečenje glaukoma (H40) kod obolelih kod kojih je ranije dijagnostikovana bolest i koji se već nalaze na lečenju kao nastavak terapije ovim lekom, na osnovu mišljenja oftalmologa.</t>
  </si>
  <si>
    <t xml:space="preserve">Lek se uvodi u terapiju na osnovu mišljenja oftalmologa. </t>
  </si>
  <si>
    <t>7099100</t>
  </si>
  <si>
    <t>GLABRILUX PLUS</t>
  </si>
  <si>
    <t>bočica sa kapaljkom, 1 po 3 ml (5mg/ml + 0,3mg/ml)</t>
  </si>
  <si>
    <t>PharmaSwiss d.o.o.; Pharmathen SA</t>
  </si>
  <si>
    <t>Republika Srbija; Grčka</t>
  </si>
  <si>
    <t>7099180</t>
  </si>
  <si>
    <t>dorzolamid, timolol</t>
  </si>
  <si>
    <t>COSOPT</t>
  </si>
  <si>
    <t>bočica, 1 po 5 ml (2% + 0,5%)</t>
  </si>
  <si>
    <t>Laboratories Merck Sharp &amp; Dohme Chibret-Clermont Ferrand; Santen Oy</t>
  </si>
  <si>
    <t>Francuska; Finska</t>
  </si>
  <si>
    <t>Lek se uvodi u terapiju na osnovu mišljenja oftalmologa.</t>
  </si>
  <si>
    <t>timolol, dorzolamid</t>
  </si>
  <si>
    <t>COSOPT bez konzervansa</t>
  </si>
  <si>
    <t>bočica sa kapaljkom, 1 po 10 ml (5mg/ml + 20mg/ml)</t>
  </si>
  <si>
    <t>Santen OY</t>
  </si>
  <si>
    <t>7099170</t>
  </si>
  <si>
    <t>timolol, latanoprost</t>
  </si>
  <si>
    <t>XALACOM</t>
  </si>
  <si>
    <t>bočica sa kapaljkom; 1 po 2,5 ml (5 mg/ml + 50 mcg/ml)</t>
  </si>
  <si>
    <t>Pfizer Manufacturing Belgium NV</t>
  </si>
  <si>
    <t>1. Za lečenje glaukoma (H40) kao druga ili treća terapijska linija.
 2. Za lečenje glaukoma (H40) kod obolelih kod kojih je ranije dijagnostikovana bolest i koji se već nalaze na lečenju kao nastavak terapije ovim lekom, na osnovu mišljenja oftalmologa.</t>
  </si>
  <si>
    <t>7099177</t>
  </si>
  <si>
    <t>timolol, travoprost</t>
  </si>
  <si>
    <t>DUOTRAV</t>
  </si>
  <si>
    <t>boca sa kapaljkom, 1 po 2,5 ml (5mg/ml + 40mcg/ml)</t>
  </si>
  <si>
    <t>Alcon-Couvreur N.V.; Alcon Cusi S.A.</t>
  </si>
  <si>
    <t>Belgija; Španija</t>
  </si>
  <si>
    <t>0,1ml</t>
  </si>
  <si>
    <t>7099175</t>
  </si>
  <si>
    <t>timolol, brinzolamid</t>
  </si>
  <si>
    <t>AZARGA</t>
  </si>
  <si>
    <t>boca plastična, 1 po 5 ml (5 mg/ml + 10 mg/ml)</t>
  </si>
  <si>
    <t>0.2 ml</t>
  </si>
  <si>
    <t>7099145</t>
  </si>
  <si>
    <t>S01EE03</t>
  </si>
  <si>
    <t>bimatoprost</t>
  </si>
  <si>
    <t>LUMIGAN</t>
  </si>
  <si>
    <t>bočica sa kapaljkom, 1 po 3 ml (0,1mg/ml)</t>
  </si>
  <si>
    <t>7099146</t>
  </si>
  <si>
    <t>BIRMOST</t>
  </si>
  <si>
    <t>bočica sa kapaljkom, 1 po 3 ml (0,3mg/ml)</t>
  </si>
  <si>
    <t>Rafarm SA</t>
  </si>
  <si>
    <t>7099101</t>
  </si>
  <si>
    <t>GLABRILUX</t>
  </si>
  <si>
    <t>7099190</t>
  </si>
  <si>
    <t>S01EE04</t>
  </si>
  <si>
    <t>travoprost</t>
  </si>
  <si>
    <t>TRAVATAN</t>
  </si>
  <si>
    <t>bočica sa kapaljkom, 1 po 2,5 ml (40 mcg/ml)</t>
  </si>
  <si>
    <t>7099195</t>
  </si>
  <si>
    <t>S01EE05</t>
  </si>
  <si>
    <t>tafluprost</t>
  </si>
  <si>
    <t>SAFLUTAN</t>
  </si>
  <si>
    <t xml:space="preserve"> Laboratoire Unither; Santen Oy</t>
  </si>
  <si>
    <t>7099196</t>
  </si>
  <si>
    <t>bočica plastična, 1 po 3mL (15mcg/mL)</t>
  </si>
  <si>
    <t>Santen Oy</t>
  </si>
  <si>
    <t>S03CA01</t>
  </si>
  <si>
    <t xml:space="preserve">DEXAMETHASON-NEOMYCIN </t>
  </si>
  <si>
    <t>kapi za uši/oči, rastvor</t>
  </si>
  <si>
    <t>bočica staklena, 10 ml (0,1% + 0,35%)</t>
  </si>
  <si>
    <t>blister, 14 po 10 mg</t>
  </si>
  <si>
    <t>kesica, 30 po 3 g</t>
  </si>
  <si>
    <t>strip, 10 po 1 g</t>
  </si>
  <si>
    <t>Krka- Farma d.o.o.; Krka, Tovarna Zdravil, d.d.</t>
  </si>
  <si>
    <t>blister, 30 po (10 mg + 10 mg)</t>
  </si>
  <si>
    <t>blister, 30 po (50 mg+12,5 mg)</t>
  </si>
  <si>
    <t>blister, 28 po (160 mg+12,5 mg)</t>
  </si>
  <si>
    <t>blister, 28 po (80 mg + 12,5 mg)</t>
  </si>
  <si>
    <t xml:space="preserve"> 28 po (40 mg + 12,5 mg)</t>
  </si>
  <si>
    <t>blister, 30 po (40 mg + 12.5 mg)</t>
  </si>
  <si>
    <t>28 po (80 mg + 25 mg)</t>
  </si>
  <si>
    <t>blister, 30 po (80 mg + 25 mg)</t>
  </si>
  <si>
    <t>tuba, 1 po 10 g (50mg/g)</t>
  </si>
  <si>
    <t>30 po 0,4 mg</t>
  </si>
  <si>
    <t>teglica, 10 po (875 mg + 125 mg)</t>
  </si>
  <si>
    <t>blister, 3 po 2,5 mg</t>
  </si>
  <si>
    <t>blister, 60 po 75 mg</t>
  </si>
  <si>
    <t xml:space="preserve">100 po (100 mg + 25 mg + 200 mg)             </t>
  </si>
  <si>
    <t>100 po (150 mg + 37,5 mg + 200 mg)</t>
  </si>
  <si>
    <t xml:space="preserve">100 po (200 mg + 50 mg + 200 mg) </t>
  </si>
  <si>
    <t>blister, 30 po 45 mg</t>
  </si>
  <si>
    <t>inhaler, 1 po 60  doza (9 mcg/doza + 320 mcg/doza)</t>
  </si>
  <si>
    <t>inhalator, 1 po 120 doza (6 mcg/doza + 100 mcg/doza)</t>
  </si>
  <si>
    <t>0,6 mg</t>
  </si>
  <si>
    <t>kontejner jednodozni, 30 po 0,3 ml (15mcg/ml)</t>
  </si>
  <si>
    <t>Balkanpharma-Dupnitsa AD;
Adoc d.o.o. Beograd</t>
  </si>
  <si>
    <t>Bugarska;
Republika Srbija</t>
  </si>
  <si>
    <t>blister, 28 po (5mg + 12,5mg)</t>
  </si>
  <si>
    <t>blister, 30 po (5mg + 12,5mg)</t>
  </si>
  <si>
    <t>blister, 30 po (5mg + 25mg)</t>
  </si>
  <si>
    <t>N02BF02</t>
  </si>
  <si>
    <r>
      <t>uložak, 1 po 2,4 ml (20mcg/80</t>
    </r>
    <r>
      <rPr>
        <sz val="8"/>
        <rFont val="Calibri"/>
        <family val="2"/>
      </rPr>
      <t>µ</t>
    </r>
    <r>
      <rPr>
        <sz val="8"/>
        <rFont val="Arial"/>
        <family val="2"/>
      </rPr>
      <t>l)</t>
    </r>
  </si>
  <si>
    <t>1134247</t>
  </si>
  <si>
    <t>ZELIFTAN</t>
  </si>
  <si>
    <t>blister, 30 po (0.4mg+6mg)</t>
  </si>
  <si>
    <t>Adalvo Limited;
Adamed Pharma S.A.</t>
  </si>
  <si>
    <t>Malta;
Poljska</t>
  </si>
  <si>
    <t>1134270</t>
  </si>
  <si>
    <t>TAMSUNORM COMBI</t>
  </si>
  <si>
    <t>Pharmaswiss d.o.o. Beograd;
Adamed Pharma S.A.</t>
  </si>
  <si>
    <t>Republika Srbija;
Poljska</t>
  </si>
  <si>
    <t>1103240</t>
  </si>
  <si>
    <t>PRICORON</t>
  </si>
  <si>
    <t>Zentiva K.S.;
Pharmadox Healthcare Ltd.</t>
  </si>
  <si>
    <t>Češka;
Malta</t>
  </si>
  <si>
    <t>1103241</t>
  </si>
  <si>
    <t>1341024</t>
  </si>
  <si>
    <t>ALTUXERIN</t>
  </si>
  <si>
    <t>blister, 30  po 100 mg</t>
  </si>
  <si>
    <t>Lek Farmacevtska družba d.d., poslovna enota proizvodnja Lendava</t>
  </si>
  <si>
    <t>1321951</t>
  </si>
  <si>
    <t>SANAZIL</t>
  </si>
  <si>
    <t>1072048</t>
  </si>
  <si>
    <t>TENIA</t>
  </si>
  <si>
    <t>Pharmathen SA</t>
  </si>
  <si>
    <t>1072049</t>
  </si>
  <si>
    <t>1103325</t>
  </si>
  <si>
    <t>RAMDOPIN</t>
  </si>
  <si>
    <t>1103322</t>
  </si>
  <si>
    <t>1103323</t>
  </si>
  <si>
    <t>1103324</t>
  </si>
  <si>
    <t>1134248</t>
  </si>
  <si>
    <t>ATEKAGO</t>
  </si>
  <si>
    <t>boca plastična, 30 po (0.4mg+0.5mg)</t>
  </si>
  <si>
    <t>Laboratorios Leon Pharma, S.A.</t>
  </si>
  <si>
    <t>BRIMONIDIN HF</t>
  </si>
  <si>
    <t>bočica sa kapaljkom, 1 po 5 mL (2mg/mL)</t>
  </si>
  <si>
    <t>Cooper S.A.</t>
  </si>
  <si>
    <t>7094072</t>
  </si>
  <si>
    <t>blister, 7 po 250 mg</t>
  </si>
  <si>
    <t>1040237</t>
  </si>
  <si>
    <t>H03AA01</t>
  </si>
  <si>
    <t>levotiroksin-natrijum</t>
  </si>
  <si>
    <t>EUTHYROX</t>
  </si>
  <si>
    <t>blister, 50 po 112 mcg</t>
  </si>
  <si>
    <t>Merck Healthcare KGaA</t>
  </si>
  <si>
    <t>150 mcg</t>
  </si>
  <si>
    <t>1040236</t>
  </si>
  <si>
    <t>blister, 50 po 137 mcg</t>
  </si>
  <si>
    <t>1040238</t>
  </si>
  <si>
    <t>blister, 50 po 88 mcg</t>
  </si>
  <si>
    <t>1. U kombinaciji sa drugim oralnim antidijabetikom:
 - metformin kod odraslih pacijenata, naročito gojaznih, kod kojih nije moguće regulisati glikemiju upotrebom maksimalno tolerisanih doza metformina;  
- sulfonilureja samo kod pacijenata koji pokazuju netoleranciju na metformin ili kod kojih je kontraindikovana primena metformina, a kod kojih se kontrola glikemije nije mogla postići uprkos primeni maksimalno tolerisanih doza sulfonilureje.(E11.0; E11.2-E11.9)
2. U kombinaciji sa insulinom kod odraslih pacijenata obolelih od diabetes mellitus tip 2, kod kojih se kontrola glikemije nije mogla postići upotrebom samo insulina, a upotreba metformina je kontraindikovana ili postoji njegova netolerancija (E11.0; E11.2-E11.9)</t>
  </si>
  <si>
    <t>blister, 28 po (5 mg + 5 mg)</t>
  </si>
  <si>
    <t>blister, 28 po (5 mg + 10 mg)</t>
  </si>
  <si>
    <t>blister, 28 po (10mg + 5mg)</t>
  </si>
  <si>
    <t>blister, 28 po (10 mg + 10 mg)</t>
  </si>
  <si>
    <t>Balkanpharma-Dupnitsa AD;
Actavis LTD.</t>
  </si>
  <si>
    <t>Bugarska;
Malta</t>
  </si>
  <si>
    <t>Organon Heist B.V.</t>
  </si>
  <si>
    <t>Balkanpharma-Dupnitsa AD;
Actavis LTD</t>
  </si>
  <si>
    <t>N.V. Organon</t>
  </si>
  <si>
    <t>Actavis LTD.</t>
  </si>
  <si>
    <t>Sandoz GmbH - Betriebsstatte/Manufacturing Site Anti Infectives &amp; Chemical Operations FDF Kundl (Aico FDF Kundl)</t>
  </si>
  <si>
    <t>Balkanpharma-Dupnitsa AD</t>
  </si>
  <si>
    <t>Krka d.d., NOVO MESTO; TAD Pharma GmbH</t>
  </si>
  <si>
    <t>1401943</t>
  </si>
  <si>
    <t>1401944</t>
  </si>
  <si>
    <t>1401945</t>
  </si>
  <si>
    <t>Tillotts Pharma GmbH</t>
  </si>
  <si>
    <t>Krka D.D., Novo Mesto; Synthon Hispania, S.L.;  Tad Pharma GmbH</t>
  </si>
  <si>
    <t>Slovenija; Španija;  Nemačka</t>
  </si>
  <si>
    <t>Opella Healthcare International SAS</t>
  </si>
  <si>
    <t>AstraZeneca AB; 
Haupt Pharma Muenster GmbH</t>
  </si>
  <si>
    <t>Švedska; 
Nemačka</t>
  </si>
  <si>
    <t>VIGANTOL</t>
  </si>
  <si>
    <t>Velika Britanija; 
Francuska</t>
  </si>
  <si>
    <t>Delpharm Poznan S.A.</t>
  </si>
  <si>
    <t>Glaxo Wellcome S.A.</t>
  </si>
  <si>
    <t>flutikazonfuroat, umeklidinijum-bromid, vilanterol</t>
  </si>
  <si>
    <t>blister, 1 po 30 doza (92 mcg + 55 mcg + 22 mcg)</t>
  </si>
  <si>
    <t>Glaxo Operations UK Limited;
Glaxo Wellcome Production</t>
  </si>
  <si>
    <t>Opella Healthcare Hungary Limited Liability Company (Opella Healthcare Hungary LTD.)</t>
  </si>
  <si>
    <t>Lek se uvodi u terapiju na osnovu mišljenja endokrinologa. Preosetljivost ili nepodnošenje metformina potrebno označiti na receptu.</t>
  </si>
  <si>
    <t>kontejner plastični, 50 po 0,25 mcg</t>
  </si>
  <si>
    <t>Teva Pharmaceutical Industries LTD.;
Teva Pharma B.V.;
Andersonbrecon (UK) Limited</t>
  </si>
  <si>
    <t>Izrael;
Holandija;
Velika Britanija</t>
  </si>
  <si>
    <t>kontejner plastični, 30 po 0,5 mcg</t>
  </si>
  <si>
    <t>kontejner plastični, 30 po 1 mcg</t>
  </si>
  <si>
    <t>blister, 28 po 12,5 mg</t>
  </si>
  <si>
    <t xml:space="preserve">Recipharm Fontaine;
Mylan Laboratories SAS; Mylan Hungary KFT  </t>
  </si>
  <si>
    <t>Francuska;
Francuska; Mađarska</t>
  </si>
  <si>
    <t xml:space="preserve">Samo za decu. Lek se uvodi u terapiju na osnovu mišljenja dermatologa.
Lek se primenjuje u stacionarnoj zdravstvenoj ustanovi, izuzetno lek se izdaje i uz lekarski recept, u cilju nastavka terapije kod kuće, što mora biti naznačeno na receptu. </t>
  </si>
  <si>
    <t>Merck Sharp &amp; Dohme B.V.; Organon Heist B.V.</t>
  </si>
  <si>
    <t>Holandija;
Belgija</t>
  </si>
  <si>
    <t>blister, 15 po (500 mg + 125 mg)</t>
  </si>
  <si>
    <t>SmithKline Beecham Pharmaceutical; 
Glaxo Wellcome Production</t>
  </si>
  <si>
    <t>Glaxo Operations UK LTD Trading AS Glaxo Wellcome Operations</t>
  </si>
  <si>
    <t>Merck Sharp &amp; Dohme B.V.;
Organon Heist B.V.</t>
  </si>
  <si>
    <t>Holandija; Belgija</t>
  </si>
  <si>
    <t>Madaus GmbH; Mylan Hungary Kft.; McDermott Laboratories Limited T/A Gerard Laboratoires T/A Mylan Dublin</t>
  </si>
  <si>
    <t>Nemačka;Mađarska; Irska</t>
  </si>
  <si>
    <t>Glaxo Wellcome Operations; 
Glaxo Wellcome Production-Evreux</t>
  </si>
  <si>
    <t>1040230</t>
  </si>
  <si>
    <t>levotiroksin natrijum</t>
  </si>
  <si>
    <t xml:space="preserve"> 50 po 25 mcg</t>
  </si>
  <si>
    <t>Merck KGaA</t>
  </si>
  <si>
    <t>N06AB06</t>
  </si>
  <si>
    <t>sertralin</t>
  </si>
  <si>
    <t>ZOLOFT</t>
  </si>
  <si>
    <t>Haupt Pharma Latina S.R.L; Pfizer Manufacturing Deutschland GmbH - Betriebsstatte Freiburg</t>
  </si>
  <si>
    <t>Italija;
Nemačka</t>
  </si>
  <si>
    <t xml:space="preserve"> 1. Depresivna epizoda (F32),
 2. Rekurentni depresivni poremećaj (F33),
 3. Agorafobija (F40.0),
 4. Drugi anksiozni poremećaji (F41),
 5. Opsesivno - kompulsivni  poremećaji (F42),
 6. Posttraumatski stresni poremećaj (F43.1),
 7. Organski anksiozni poremećaj (F06.4).</t>
  </si>
  <si>
    <t>Za indikaciju pod tačkom 1, 2, 3, 4, 6. i 7. samo za osobe starije od 18 godina.
Za indikaciju pod tačkom 5. samo za osobe starije od 6 godina.
Lek se uvodi u terapiju na osnovu mišljenja psihijatra ili neuropsihijatra ili neurologa.</t>
  </si>
  <si>
    <t>Pharmachemie B.V.;
Teva Pharma S.L.U.;
Merckle GmbH</t>
  </si>
  <si>
    <t>Holandija;
Španija;
Nemačka</t>
  </si>
  <si>
    <t>Merckle GmbH;
Pliva Hrvatska d.o.o.; 
Teva Pharma S.L.U.</t>
  </si>
  <si>
    <t>Nemačka;  
Hrvatska; 
Španija</t>
  </si>
  <si>
    <t>Merckle GmbH; 
Pliva Hrvatska d.o.o.; 
Teva Pharma S.L.U.</t>
  </si>
  <si>
    <t>Nemačka;
Hrvatska; 
 Španija</t>
  </si>
  <si>
    <t>Nemačka; 
Hrvatska; 
Španija</t>
  </si>
  <si>
    <t>MiP Pharma GmbH</t>
  </si>
  <si>
    <t>Pfizer Manufacturing Deutschland GmbH;
Mylan Hungary KFT.;
Medis International A.S., Vyrobni zavod Bolatice</t>
  </si>
  <si>
    <t>Nemačka;
Mađarska;
Češka</t>
  </si>
  <si>
    <t>PREGABALIN VIATRIS</t>
  </si>
  <si>
    <t>Mylan Germany GmbH; Mylan Hungary KFT.; Logisters, Logistica Portugal, S.A.</t>
  </si>
  <si>
    <t>Nemačka; Mađarska; Portugal</t>
  </si>
  <si>
    <t>NALTREXONE PROVIDENS</t>
  </si>
  <si>
    <t>AOP Orphan Pharmaceuticals GmbH</t>
  </si>
  <si>
    <t>Teva Operations  Poland SP.Z.O.O;
Norton (Waterford) Limited T/A Ivax Pharmaceuticals Ireland T/A Teva Pharmaceuticals Ireland</t>
  </si>
  <si>
    <t>Poljska;
Irska</t>
  </si>
  <si>
    <t>bočica sa kapaljkom,1 po 5 ml (2mg/ml)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</si>
</sst>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dd/mm/yyyy;@"/>
    <numFmt numFmtId="165" formatCode="_-* #,##0.00\ _R_S_D_-;\-* #,##0.00\ _R_S_D_-;_-* &quot;-&quot;??\ _R_S_D_-;_-@_-"/>
    <numFmt numFmtId="166" formatCode="_-* #,##0.00\ _d_i_n_._-;\-* #,##0.00\ _d_i_n_._-;_-* &quot;-&quot;??\ _d_i_n_._-;_-@_-"/>
    <numFmt numFmtId="167" formatCode="&quot; &quot;#,##0.00&quot; &quot;;&quot;-&quot;#,##0.00&quot; &quot;;&quot; -&quot;00&quot; &quot;;&quot; &quot;@&quot; &quot;"/>
    <numFmt numFmtId="168" formatCode="_-* #,##0.00_-;\-* #,##0.00_-;_-* &quot;-&quot;??_-;_-@_-"/>
  </numFmts>
  <fonts count="90">
    <font>
      <sz val="11"/>
      <color theme="1"/>
      <name val="Calibri"/>
      <family val="2"/>
      <scheme val="minor"/>
    </font>
    <font>
      <sz val="11"/>
      <color theme="1"/>
      <name val="Calibri"/>
      <family val="2"/>
      <scheme val="minor"/>
    </font>
    <font>
      <b/>
      <sz val="9"/>
      <name val="Arial"/>
      <family val="2"/>
    </font>
    <font>
      <sz val="11"/>
      <color theme="1"/>
      <name val="Calibri"/>
      <family val="2"/>
      <charset val="238"/>
      <scheme val="minor"/>
    </font>
    <font>
      <sz val="11"/>
      <color indexed="8"/>
      <name val="Calibri"/>
      <family val="2"/>
    </font>
    <font>
      <sz val="8"/>
      <name val="Arial"/>
      <family val="2"/>
    </font>
    <font>
      <sz val="8"/>
      <name val="Arial"/>
      <family val="2"/>
      <charset val="238"/>
    </font>
    <font>
      <sz val="10"/>
      <name val="Arial"/>
      <family val="2"/>
    </font>
    <font>
      <sz val="10"/>
      <color theme="1"/>
      <name val="Arial"/>
      <family val="2"/>
      <charset val="238"/>
    </font>
    <font>
      <u/>
      <sz val="10"/>
      <color indexed="12"/>
      <name val="Arial"/>
      <family val="2"/>
    </font>
    <font>
      <sz val="8"/>
      <name val="Calibri"/>
      <family val="2"/>
    </font>
    <font>
      <sz val="11"/>
      <color indexed="8"/>
      <name val="Calibri"/>
      <family val="2"/>
      <charset val="238"/>
    </font>
    <font>
      <sz val="10"/>
      <name val="Arial"/>
      <family val="2"/>
      <charset val="238"/>
    </font>
    <font>
      <b/>
      <sz val="15"/>
      <color theme="3"/>
      <name val="Calibri"/>
      <family val="2"/>
      <scheme val="minor"/>
    </font>
    <font>
      <u/>
      <sz val="11"/>
      <color theme="10"/>
      <name val="Calibri"/>
      <family val="2"/>
      <charset val="238"/>
    </font>
    <font>
      <sz val="10"/>
      <color rgb="FF000000"/>
      <name val="Arial"/>
      <family val="2"/>
      <charset val="238"/>
    </font>
    <font>
      <sz val="11"/>
      <color rgb="FF000000"/>
      <name val="Calibri"/>
      <family val="2"/>
      <charset val="238"/>
    </font>
    <font>
      <sz val="11"/>
      <color rgb="FFFFFFFF"/>
      <name val="Calibri"/>
      <family val="2"/>
      <charset val="238"/>
    </font>
    <font>
      <b/>
      <sz val="11"/>
      <color rgb="FFFA7D00"/>
      <name val="Calibri"/>
      <family val="2"/>
      <charset val="238"/>
    </font>
    <font>
      <sz val="11"/>
      <color rgb="FFFA7D00"/>
      <name val="Calibri"/>
      <family val="2"/>
      <charset val="238"/>
    </font>
    <font>
      <b/>
      <sz val="11"/>
      <color rgb="FFFFFFFF"/>
      <name val="Calibri"/>
      <family val="2"/>
      <charset val="238"/>
    </font>
    <font>
      <sz val="11"/>
      <color rgb="FF3F3F76"/>
      <name val="Calibri"/>
      <family val="2"/>
      <charset val="238"/>
    </font>
    <font>
      <sz val="11"/>
      <color rgb="FF9C6500"/>
      <name val="Calibri"/>
      <family val="2"/>
      <charset val="238"/>
    </font>
    <font>
      <sz val="10"/>
      <color rgb="FF000000"/>
      <name val="MS Sans Serif"/>
      <family val="2"/>
    </font>
    <font>
      <b/>
      <sz val="11"/>
      <color rgb="FF3F3F3F"/>
      <name val="Calibri"/>
      <family val="2"/>
      <charset val="238"/>
    </font>
    <font>
      <sz val="11"/>
      <color rgb="FFFF0000"/>
      <name val="Calibri"/>
      <family val="2"/>
      <charset val="238"/>
    </font>
    <font>
      <i/>
      <sz val="11"/>
      <color rgb="FF7F7F7F"/>
      <name val="Calibri"/>
      <family val="2"/>
      <charset val="238"/>
    </font>
    <font>
      <b/>
      <sz val="18"/>
      <color rgb="FF1F497D"/>
      <name val="Cambria"/>
      <family val="1"/>
      <charset val="238"/>
    </font>
    <font>
      <b/>
      <sz val="15"/>
      <color rgb="FF1F497D"/>
      <name val="Calibri"/>
      <family val="2"/>
      <charset val="238"/>
    </font>
    <font>
      <b/>
      <sz val="13"/>
      <color rgb="FF1F497D"/>
      <name val="Calibri"/>
      <family val="2"/>
      <charset val="238"/>
    </font>
    <font>
      <b/>
      <sz val="11"/>
      <color rgb="FF1F497D"/>
      <name val="Calibri"/>
      <family val="2"/>
      <charset val="238"/>
    </font>
    <font>
      <b/>
      <sz val="11"/>
      <color rgb="FF000000"/>
      <name val="Calibri"/>
      <family val="2"/>
      <charset val="238"/>
    </font>
    <font>
      <sz val="11"/>
      <color rgb="FF9C0006"/>
      <name val="Calibri"/>
      <family val="2"/>
      <charset val="238"/>
    </font>
    <font>
      <sz val="11"/>
      <color rgb="FF006100"/>
      <name val="Calibri"/>
      <family val="2"/>
      <charset val="238"/>
    </font>
    <font>
      <sz val="11"/>
      <color rgb="FF000000"/>
      <name val="Calibri"/>
      <family val="2"/>
      <charset val="238"/>
      <scheme val="minor"/>
    </font>
    <font>
      <sz val="11"/>
      <color theme="0"/>
      <name val="Calibri"/>
      <family val="2"/>
      <charset val="238"/>
      <scheme val="minor"/>
    </font>
    <font>
      <sz val="11"/>
      <color rgb="FF006100"/>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9C0006"/>
      <name val="Calibri"/>
      <family val="2"/>
      <charset val="238"/>
      <scheme val="minor"/>
    </font>
    <font>
      <sz val="18"/>
      <color theme="3"/>
      <name val="Calibri Light"/>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9C6500"/>
      <name val="Calibri"/>
      <family val="2"/>
      <charset val="238"/>
      <scheme val="minor"/>
    </font>
    <font>
      <sz val="11"/>
      <color rgb="FFFA7D00"/>
      <name val="Calibri"/>
      <family val="2"/>
      <charset val="238"/>
      <scheme val="minor"/>
    </font>
    <font>
      <b/>
      <sz val="11"/>
      <color theme="0"/>
      <name val="Calibri"/>
      <family val="2"/>
      <charset val="238"/>
      <scheme val="minor"/>
    </font>
    <font>
      <i/>
      <sz val="11"/>
      <color rgb="FF7F7F7F"/>
      <name val="Calibri"/>
      <family val="2"/>
      <charset val="238"/>
      <scheme val="minor"/>
    </font>
    <font>
      <sz val="11"/>
      <color rgb="FFFF0000"/>
      <name val="Calibri"/>
      <family val="2"/>
      <charset val="238"/>
      <scheme val="minor"/>
    </font>
    <font>
      <b/>
      <sz val="11"/>
      <color theme="1"/>
      <name val="Calibri"/>
      <family val="2"/>
      <charset val="238"/>
      <scheme val="minor"/>
    </font>
    <font>
      <sz val="11"/>
      <color rgb="FF3F3F76"/>
      <name val="Calibri"/>
      <family val="2"/>
      <charset val="238"/>
      <scheme val="minor"/>
    </font>
    <font>
      <sz val="10"/>
      <color indexed="8"/>
      <name val="Arial"/>
      <family val="2"/>
      <charset val="238"/>
    </font>
    <font>
      <sz val="11"/>
      <color rgb="FF000000"/>
      <name val="Calibri"/>
      <family val="2"/>
    </font>
    <font>
      <sz val="11"/>
      <color rgb="FFFFFFFF"/>
      <name val="Calibri"/>
      <family val="2"/>
    </font>
    <font>
      <b/>
      <sz val="11"/>
      <color rgb="FFFA7D00"/>
      <name val="Calibri"/>
      <family val="2"/>
    </font>
    <font>
      <sz val="11"/>
      <color rgb="FFFA7D00"/>
      <name val="Calibri"/>
      <family val="2"/>
    </font>
    <font>
      <b/>
      <sz val="11"/>
      <color rgb="FFFFFFFF"/>
      <name val="Calibri"/>
      <family val="2"/>
    </font>
    <font>
      <sz val="11"/>
      <color rgb="FF3F3F76"/>
      <name val="Calibri"/>
      <family val="2"/>
    </font>
    <font>
      <sz val="11"/>
      <color rgb="FF9C6500"/>
      <name val="Calibri"/>
      <family val="2"/>
    </font>
    <font>
      <b/>
      <sz val="11"/>
      <color rgb="FF3F3F3F"/>
      <name val="Calibri"/>
      <family val="2"/>
    </font>
    <font>
      <sz val="11"/>
      <color rgb="FFFF0000"/>
      <name val="Calibri"/>
      <family val="2"/>
    </font>
    <font>
      <i/>
      <sz val="11"/>
      <color rgb="FF7F7F7F"/>
      <name val="Calibri"/>
      <family val="2"/>
    </font>
    <font>
      <b/>
      <sz val="18"/>
      <color rgb="FF1F497D"/>
      <name val="Cambria"/>
      <family val="1"/>
    </font>
    <font>
      <b/>
      <sz val="15"/>
      <color rgb="FF1F497D"/>
      <name val="Calibri"/>
      <family val="2"/>
    </font>
    <font>
      <b/>
      <sz val="13"/>
      <color rgb="FF1F497D"/>
      <name val="Calibri"/>
      <family val="2"/>
    </font>
    <font>
      <b/>
      <sz val="11"/>
      <color rgb="FF1F497D"/>
      <name val="Calibri"/>
      <family val="2"/>
    </font>
    <font>
      <b/>
      <sz val="11"/>
      <color rgb="FF000000"/>
      <name val="Calibri"/>
      <family val="2"/>
    </font>
    <font>
      <sz val="11"/>
      <color rgb="FF9C0006"/>
      <name val="Calibri"/>
      <family val="2"/>
    </font>
    <font>
      <sz val="11"/>
      <color rgb="FF006100"/>
      <name val="Calibri"/>
      <family val="2"/>
    </font>
    <font>
      <sz val="11"/>
      <color rgb="FF000000"/>
      <name val="Calibri"/>
      <family val="2"/>
      <scheme val="minor"/>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18"/>
      <color theme="3"/>
      <name val="Cambria"/>
      <family val="2"/>
      <charset val="238"/>
    </font>
    <font>
      <u/>
      <sz val="11"/>
      <color theme="10"/>
      <name val="Calibri"/>
      <family val="2"/>
      <charset val="238"/>
      <scheme val="minor"/>
    </font>
    <font>
      <sz val="10"/>
      <color rgb="FF000000"/>
      <name val="MS Sans Serif"/>
      <charset val="238"/>
    </font>
    <font>
      <sz val="8.25"/>
      <name val="Microsoft Sans Serif"/>
      <family val="2"/>
    </font>
  </fonts>
  <fills count="10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CCFF"/>
        <bgColor rgb="FFCCCCFF"/>
      </patternFill>
    </fill>
    <fill>
      <patternFill patternType="solid">
        <fgColor rgb="FFDBE5F1"/>
        <bgColor rgb="FFDBE5F1"/>
      </patternFill>
    </fill>
    <fill>
      <patternFill patternType="solid">
        <fgColor rgb="FFFF99CC"/>
        <bgColor rgb="FFFF99CC"/>
      </patternFill>
    </fill>
    <fill>
      <patternFill patternType="solid">
        <fgColor rgb="FFF2DDDC"/>
        <bgColor rgb="FFF2DDDC"/>
      </patternFill>
    </fill>
    <fill>
      <patternFill patternType="solid">
        <fgColor rgb="FFCCFFCC"/>
        <bgColor rgb="FFCCFFCC"/>
      </patternFill>
    </fill>
    <fill>
      <patternFill patternType="solid">
        <fgColor rgb="FFEAF1DD"/>
        <bgColor rgb="FFEAF1DD"/>
      </patternFill>
    </fill>
    <fill>
      <patternFill patternType="solid">
        <fgColor rgb="FFCC99FF"/>
        <bgColor rgb="FFCC99FF"/>
      </patternFill>
    </fill>
    <fill>
      <patternFill patternType="solid">
        <fgColor rgb="FFE5E0EC"/>
        <bgColor rgb="FFE5E0EC"/>
      </patternFill>
    </fill>
    <fill>
      <patternFill patternType="solid">
        <fgColor rgb="FFDBEEF3"/>
        <bgColor rgb="FFDBEEF3"/>
      </patternFill>
    </fill>
    <fill>
      <patternFill patternType="solid">
        <fgColor rgb="FFFDE9D9"/>
        <bgColor rgb="FFFDE9D9"/>
      </patternFill>
    </fill>
    <fill>
      <patternFill patternType="solid">
        <fgColor rgb="FFB8CCE4"/>
        <bgColor rgb="FFB8CCE4"/>
      </patternFill>
    </fill>
    <fill>
      <patternFill patternType="solid">
        <fgColor rgb="FFE6B9B8"/>
        <bgColor rgb="FFE6B9B8"/>
      </patternFill>
    </fill>
    <fill>
      <patternFill patternType="solid">
        <fgColor rgb="FF00FF00"/>
        <bgColor rgb="FF00FF00"/>
      </patternFill>
    </fill>
    <fill>
      <patternFill patternType="solid">
        <fgColor rgb="FFD7E4BC"/>
        <bgColor rgb="FFD7E4BC"/>
      </patternFill>
    </fill>
    <fill>
      <patternFill patternType="solid">
        <fgColor rgb="FFCCC0DA"/>
        <bgColor rgb="FFCCC0DA"/>
      </patternFill>
    </fill>
    <fill>
      <patternFill patternType="solid">
        <fgColor rgb="FFB6DDE8"/>
        <bgColor rgb="FFB6DDE8"/>
      </patternFill>
    </fill>
    <fill>
      <patternFill patternType="solid">
        <fgColor rgb="FFFCD5B4"/>
        <bgColor rgb="FFFCD5B4"/>
      </patternFill>
    </fill>
    <fill>
      <patternFill patternType="solid">
        <fgColor rgb="FF95B3D7"/>
        <bgColor rgb="FF95B3D7"/>
      </patternFill>
    </fill>
    <fill>
      <patternFill patternType="solid">
        <fgColor rgb="FFD99795"/>
        <bgColor rgb="FFD99795"/>
      </patternFill>
    </fill>
    <fill>
      <patternFill patternType="solid">
        <fgColor rgb="FFC2D69A"/>
        <bgColor rgb="FFC2D69A"/>
      </patternFill>
    </fill>
    <fill>
      <patternFill patternType="solid">
        <fgColor rgb="FF800080"/>
        <bgColor rgb="FF800080"/>
      </patternFill>
    </fill>
    <fill>
      <patternFill patternType="solid">
        <fgColor rgb="FFB2A1C7"/>
        <bgColor rgb="FFB2A1C7"/>
      </patternFill>
    </fill>
    <fill>
      <patternFill patternType="solid">
        <fgColor rgb="FF93CDDD"/>
        <bgColor rgb="FF93CDDD"/>
      </patternFill>
    </fill>
    <fill>
      <patternFill patternType="solid">
        <fgColor rgb="FFFF9900"/>
        <bgColor rgb="FFFF9900"/>
      </patternFill>
    </fill>
    <fill>
      <patternFill patternType="solid">
        <fgColor rgb="FFFAC090"/>
        <bgColor rgb="FFFAC090"/>
      </patternFill>
    </fill>
    <fill>
      <patternFill patternType="solid">
        <fgColor rgb="FFF2F2F2"/>
        <bgColor rgb="FFF2F2F2"/>
      </patternFill>
    </fill>
    <fill>
      <patternFill patternType="solid">
        <fgColor rgb="FFA5A5A5"/>
        <bgColor rgb="FFA5A5A5"/>
      </patternFill>
    </fill>
    <fill>
      <patternFill patternType="solid">
        <fgColor rgb="FF4F81BD"/>
        <bgColor rgb="FF4F81BD"/>
      </patternFill>
    </fill>
    <fill>
      <patternFill patternType="solid">
        <fgColor rgb="FFC0504D"/>
        <bgColor rgb="FFC0504D"/>
      </patternFill>
    </fill>
    <fill>
      <patternFill patternType="solid">
        <fgColor rgb="FF9BBB59"/>
        <bgColor rgb="FF9BBB59"/>
      </patternFill>
    </fill>
    <fill>
      <patternFill patternType="solid">
        <fgColor rgb="FF8064A2"/>
        <bgColor rgb="FF8064A2"/>
      </patternFill>
    </fill>
    <fill>
      <patternFill patternType="solid">
        <fgColor rgb="FF4BACC6"/>
        <bgColor rgb="FF4BACC6"/>
      </patternFill>
    </fill>
    <fill>
      <patternFill patternType="solid">
        <fgColor rgb="FFF79646"/>
        <bgColor rgb="FFF79646"/>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C7CE"/>
        <bgColor rgb="FFFFC7CE"/>
      </patternFill>
    </fill>
    <fill>
      <patternFill patternType="solid">
        <fgColor rgb="FFC6EFCE"/>
        <bgColor rgb="FFC6EFCE"/>
      </patternFill>
    </fill>
    <fill>
      <patternFill patternType="solid">
        <fgColor rgb="FFDCE6F1"/>
        <bgColor rgb="FFDCE6F1"/>
      </patternFill>
    </fill>
    <fill>
      <patternFill patternType="solid">
        <fgColor rgb="FFF2DCDB"/>
        <bgColor rgb="FFF2DCDB"/>
      </patternFill>
    </fill>
    <fill>
      <patternFill patternType="solid">
        <fgColor rgb="FFEBF1DE"/>
        <bgColor rgb="FFEBF1DE"/>
      </patternFill>
    </fill>
    <fill>
      <patternFill patternType="solid">
        <fgColor rgb="FFE4DFEC"/>
        <bgColor rgb="FFE4DFEC"/>
      </patternFill>
    </fill>
    <fill>
      <patternFill patternType="solid">
        <fgColor rgb="FFDAEEF3"/>
        <bgColor rgb="FFDAEEF3"/>
      </patternFill>
    </fill>
    <fill>
      <patternFill patternType="solid">
        <fgColor rgb="FFE6B8B7"/>
        <bgColor rgb="FFE6B8B7"/>
      </patternFill>
    </fill>
    <fill>
      <patternFill patternType="solid">
        <fgColor rgb="FFD8E4BC"/>
        <bgColor rgb="FFD8E4BC"/>
      </patternFill>
    </fill>
    <fill>
      <patternFill patternType="solid">
        <fgColor rgb="FFB7DEE8"/>
        <bgColor rgb="FFB7DEE8"/>
      </patternFill>
    </fill>
    <fill>
      <patternFill patternType="solid">
        <fgColor rgb="FFDA9694"/>
        <bgColor rgb="FFDA9694"/>
      </patternFill>
    </fill>
    <fill>
      <patternFill patternType="solid">
        <fgColor rgb="FFC4D79B"/>
        <bgColor rgb="FFC4D79B"/>
      </patternFill>
    </fill>
    <fill>
      <patternFill patternType="solid">
        <fgColor rgb="FFB1A0C7"/>
        <bgColor rgb="FFB1A0C7"/>
      </patternFill>
    </fill>
    <fill>
      <patternFill patternType="solid">
        <fgColor rgb="FF92CDDC"/>
        <bgColor rgb="FF92CDDC"/>
      </patternFill>
    </fill>
    <fill>
      <patternFill patternType="solid">
        <fgColor rgb="FFFABF8F"/>
        <bgColor rgb="FFFABF8F"/>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s>
  <borders count="2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4F81BD"/>
      </bottom>
      <diagonal/>
    </border>
    <border>
      <left/>
      <right/>
      <top/>
      <bottom style="thick">
        <color rgb="FFA8C0DE"/>
      </bottom>
      <diagonal/>
    </border>
    <border>
      <left/>
      <right/>
      <top/>
      <bottom style="medium">
        <color rgb="FF95B3D7"/>
      </bottom>
      <diagonal/>
    </border>
    <border>
      <left/>
      <right/>
      <top style="thin">
        <color rgb="FF4F81BD"/>
      </top>
      <bottom style="double">
        <color rgb="FF4F81BD"/>
      </bottom>
      <diagonal/>
    </border>
    <border>
      <left/>
      <right/>
      <top/>
      <bottom style="thick">
        <color rgb="FFA7BFDE"/>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12291">
    <xf numFmtId="0" fontId="0" fillId="0" borderId="0"/>
    <xf numFmtId="9" fontId="1" fillId="0" borderId="0" applyFont="0" applyFill="0" applyBorder="0" applyAlignment="0" applyProtection="0"/>
    <xf numFmtId="0" fontId="1" fillId="0" borderId="0"/>
    <xf numFmtId="0" fontId="3" fillId="0" borderId="0"/>
    <xf numFmtId="0" fontId="3" fillId="0" borderId="0"/>
    <xf numFmtId="9" fontId="4" fillId="0" borderId="0" applyFont="0" applyFill="0" applyBorder="0" applyAlignment="0" applyProtection="0"/>
    <xf numFmtId="0" fontId="7" fillId="0" borderId="0"/>
    <xf numFmtId="0" fontId="8" fillId="0" borderId="0"/>
    <xf numFmtId="0" fontId="1" fillId="0" borderId="0"/>
    <xf numFmtId="0" fontId="7" fillId="0" borderId="0"/>
    <xf numFmtId="0" fontId="1" fillId="0" borderId="0"/>
    <xf numFmtId="0" fontId="7" fillId="0" borderId="0"/>
    <xf numFmtId="0" fontId="7" fillId="0" borderId="0"/>
    <xf numFmtId="9" fontId="4" fillId="0" borderId="0" applyFont="0" applyFill="0" applyBorder="0" applyAlignment="0" applyProtection="0"/>
    <xf numFmtId="0" fontId="7" fillId="0" borderId="0"/>
    <xf numFmtId="9" fontId="4" fillId="0" borderId="0" applyFont="0" applyFill="0" applyBorder="0" applyAlignment="0" applyProtection="0"/>
    <xf numFmtId="0" fontId="9" fillId="0" borderId="0" applyNumberFormat="0" applyFill="0" applyBorder="0" applyAlignment="0" applyProtection="0">
      <alignment vertical="top"/>
      <protection locked="0"/>
    </xf>
    <xf numFmtId="0" fontId="1" fillId="0" borderId="0"/>
    <xf numFmtId="0" fontId="7" fillId="0" borderId="0"/>
    <xf numFmtId="9" fontId="11" fillId="0" borderId="0" applyFont="0" applyFill="0" applyBorder="0" applyAlignment="0" applyProtection="0"/>
    <xf numFmtId="9" fontId="11" fillId="0" borderId="0" applyFont="0" applyFill="0" applyBorder="0" applyAlignment="0" applyProtection="0"/>
    <xf numFmtId="0" fontId="1" fillId="0" borderId="0"/>
    <xf numFmtId="0" fontId="3" fillId="0" borderId="0"/>
    <xf numFmtId="0" fontId="1" fillId="0" borderId="0"/>
    <xf numFmtId="0" fontId="3" fillId="0" borderId="0"/>
    <xf numFmtId="0" fontId="8" fillId="0" borderId="0"/>
    <xf numFmtId="0" fontId="3" fillId="0" borderId="0"/>
    <xf numFmtId="9" fontId="4" fillId="0" borderId="0" applyFont="0" applyFill="0" applyBorder="0" applyAlignment="0" applyProtection="0"/>
    <xf numFmtId="0" fontId="12" fillId="0" borderId="0"/>
    <xf numFmtId="0" fontId="12" fillId="0" borderId="0"/>
    <xf numFmtId="0" fontId="12" fillId="0" borderId="0"/>
    <xf numFmtId="0" fontId="7" fillId="0" borderId="0"/>
    <xf numFmtId="0" fontId="12" fillId="0" borderId="0"/>
    <xf numFmtId="0" fontId="3" fillId="0" borderId="0"/>
    <xf numFmtId="0" fontId="7" fillId="0" borderId="0"/>
    <xf numFmtId="0" fontId="12" fillId="0" borderId="0"/>
    <xf numFmtId="0" fontId="1" fillId="0" borderId="0"/>
    <xf numFmtId="0" fontId="12" fillId="0" borderId="0"/>
    <xf numFmtId="0" fontId="7" fillId="0" borderId="0"/>
    <xf numFmtId="0" fontId="8" fillId="0" borderId="0"/>
    <xf numFmtId="0" fontId="1" fillId="0" borderId="0"/>
    <xf numFmtId="0" fontId="1" fillId="0" borderId="0"/>
    <xf numFmtId="0" fontId="1" fillId="0" borderId="0"/>
    <xf numFmtId="0" fontId="12" fillId="0" borderId="0"/>
    <xf numFmtId="0" fontId="7" fillId="0" borderId="0"/>
    <xf numFmtId="0" fontId="12" fillId="0" borderId="0"/>
    <xf numFmtId="0" fontId="1" fillId="0" borderId="0"/>
    <xf numFmtId="0" fontId="7" fillId="0" borderId="0"/>
    <xf numFmtId="0" fontId="7" fillId="0" borderId="0"/>
    <xf numFmtId="0" fontId="8" fillId="0" borderId="0"/>
    <xf numFmtId="0" fontId="7" fillId="0" borderId="0"/>
    <xf numFmtId="0" fontId="12" fillId="0" borderId="0"/>
    <xf numFmtId="43" fontId="1" fillId="0" borderId="0" applyFont="0" applyFill="0" applyBorder="0" applyAlignment="0" applyProtection="0"/>
    <xf numFmtId="0" fontId="12" fillId="0" borderId="0"/>
    <xf numFmtId="0" fontId="1" fillId="0" borderId="0"/>
    <xf numFmtId="165" fontId="1" fillId="0" borderId="0" applyFont="0" applyFill="0" applyBorder="0" applyAlignment="0" applyProtection="0"/>
    <xf numFmtId="0" fontId="7" fillId="0" borderId="0"/>
    <xf numFmtId="0" fontId="3" fillId="0" borderId="0"/>
    <xf numFmtId="0" fontId="16" fillId="0" borderId="0"/>
    <xf numFmtId="0" fontId="21" fillId="66" borderId="8" applyNumberFormat="0" applyAlignment="0" applyProtection="0"/>
    <xf numFmtId="0" fontId="24" fillId="58" borderId="9" applyNumberFormat="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4"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3"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6"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5"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8"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7"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0"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39" borderId="0" applyNumberFormat="0" applyFont="0" applyBorder="0" applyAlignment="0" applyProtection="0"/>
    <xf numFmtId="0" fontId="16" fillId="41" borderId="0" applyNumberFormat="0" applyFont="0" applyBorder="0" applyAlignment="0" applyProtection="0"/>
    <xf numFmtId="0" fontId="16" fillId="41" borderId="0" applyNumberFormat="0" applyFont="0" applyBorder="0" applyAlignment="0" applyProtection="0"/>
    <xf numFmtId="0" fontId="16" fillId="42" borderId="0" applyNumberFormat="0" applyFont="0" applyBorder="0" applyAlignment="0" applyProtection="0"/>
    <xf numFmtId="0" fontId="16" fillId="42" borderId="0" applyNumberFormat="0" applyFont="0" applyBorder="0" applyAlignment="0" applyProtection="0"/>
    <xf numFmtId="0" fontId="16" fillId="43" borderId="0" applyNumberFormat="0" applyFont="0" applyBorder="0" applyAlignment="0" applyProtection="0"/>
    <xf numFmtId="0" fontId="16" fillId="43" borderId="0" applyNumberFormat="0" applyFont="0" applyBorder="0" applyAlignment="0" applyProtection="0"/>
    <xf numFmtId="0" fontId="16" fillId="44" borderId="0" applyNumberFormat="0" applyFont="0" applyBorder="0" applyAlignment="0" applyProtection="0"/>
    <xf numFmtId="0" fontId="16" fillId="44"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6"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5" borderId="0" applyNumberFormat="0" applyFont="0" applyBorder="0" applyAlignment="0" applyProtection="0"/>
    <xf numFmtId="0" fontId="16" fillId="47" borderId="0" applyNumberFormat="0" applyFont="0" applyBorder="0" applyAlignment="0" applyProtection="0"/>
    <xf numFmtId="0" fontId="16" fillId="47" borderId="0" applyNumberFormat="0" applyFont="0" applyBorder="0" applyAlignment="0" applyProtection="0"/>
    <xf numFmtId="0" fontId="16" fillId="48" borderId="0" applyNumberFormat="0" applyFont="0" applyBorder="0" applyAlignment="0" applyProtection="0"/>
    <xf numFmtId="0" fontId="16" fillId="48" borderId="0" applyNumberFormat="0" applyFont="0" applyBorder="0" applyAlignment="0" applyProtection="0"/>
    <xf numFmtId="0" fontId="16" fillId="49" borderId="0" applyNumberFormat="0" applyFont="0" applyBorder="0" applyAlignment="0" applyProtection="0"/>
    <xf numFmtId="0" fontId="16" fillId="49" borderId="0" applyNumberFormat="0" applyFont="0" applyBorder="0" applyAlignment="0" applyProtection="0"/>
    <xf numFmtId="0" fontId="17" fillId="50" borderId="0" applyNumberFormat="0" applyBorder="0" applyAlignment="0" applyProtection="0"/>
    <xf numFmtId="0" fontId="17" fillId="51"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2"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45"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4"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3" borderId="0" applyNumberFormat="0" applyBorder="0" applyAlignment="0" applyProtection="0"/>
    <xf numFmtId="0" fontId="17" fillId="55"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7"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7" fillId="56" borderId="0" applyNumberFormat="0" applyBorder="0" applyAlignment="0" applyProtection="0"/>
    <xf numFmtId="0" fontId="18" fillId="58" borderId="8" applyNumberFormat="0" applyAlignment="0" applyProtection="0"/>
    <xf numFmtId="0" fontId="19" fillId="0" borderId="10" applyNumberFormat="0" applyFill="0" applyAlignment="0" applyProtection="0"/>
    <xf numFmtId="0" fontId="20" fillId="59" borderId="11" applyNumberFormat="0" applyAlignment="0" applyProtection="0"/>
    <xf numFmtId="0" fontId="17" fillId="60" borderId="0" applyNumberFormat="0" applyBorder="0" applyAlignment="0" applyProtection="0"/>
    <xf numFmtId="0" fontId="17" fillId="61" borderId="0" applyNumberFormat="0" applyBorder="0" applyAlignment="0" applyProtection="0"/>
    <xf numFmtId="0" fontId="17" fillId="62" borderId="0" applyNumberFormat="0" applyBorder="0" applyAlignment="0" applyProtection="0"/>
    <xf numFmtId="0" fontId="17" fillId="63" borderId="0" applyNumberFormat="0" applyBorder="0" applyAlignment="0" applyProtection="0"/>
    <xf numFmtId="0" fontId="17" fillId="64" borderId="0" applyNumberFormat="0" applyBorder="0" applyAlignment="0" applyProtection="0"/>
    <xf numFmtId="0" fontId="17" fillId="65" borderId="0" applyNumberFormat="0" applyBorder="0" applyAlignment="0" applyProtection="0"/>
    <xf numFmtId="167" fontId="16" fillId="0" borderId="0" applyFont="0" applyFill="0" applyBorder="0" applyAlignment="0" applyProtection="0"/>
    <xf numFmtId="167" fontId="16" fillId="0" borderId="0" applyFont="0" applyFill="0" applyBorder="0" applyAlignment="0" applyProtection="0"/>
    <xf numFmtId="0" fontId="22" fillId="67" borderId="0" applyNumberFormat="0" applyBorder="0" applyAlignment="0" applyProtection="0"/>
    <xf numFmtId="0" fontId="16" fillId="0" borderId="0" applyNumberFormat="0" applyFont="0" applyBorder="0" applyProtection="0"/>
    <xf numFmtId="0" fontId="16"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5" fillId="0" borderId="0" applyNumberFormat="0" applyBorder="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16" fillId="68" borderId="12" applyNumberFormat="0" applyFont="0" applyAlignment="0" applyProtection="0"/>
    <xf numFmtId="0" fontId="25" fillId="0" borderId="0" applyNumberFormat="0" applyFill="0" applyBorder="0" applyAlignment="0" applyProtection="0"/>
    <xf numFmtId="0" fontId="26" fillId="0" borderId="0" applyNumberFormat="0" applyFill="0" applyBorder="0" applyAlignment="0" applyProtection="0"/>
    <xf numFmtId="0" fontId="27" fillId="0" borderId="0" applyNumberFormat="0" applyFill="0" applyBorder="0" applyAlignment="0" applyProtection="0"/>
    <xf numFmtId="0" fontId="28" fillId="0" borderId="14" applyNumberFormat="0" applyFill="0" applyAlignment="0" applyProtection="0"/>
    <xf numFmtId="0" fontId="29" fillId="0" borderId="15" applyNumberFormat="0" applyFill="0" applyAlignment="0" applyProtection="0"/>
    <xf numFmtId="0" fontId="30" fillId="0" borderId="16" applyNumberFormat="0" applyFill="0" applyAlignment="0" applyProtection="0"/>
    <xf numFmtId="0" fontId="30" fillId="0" borderId="0" applyNumberFormat="0" applyFill="0" applyBorder="0" applyAlignment="0" applyProtection="0"/>
    <xf numFmtId="0" fontId="31" fillId="0" borderId="17" applyNumberFormat="0" applyFill="0" applyAlignment="0" applyProtection="0"/>
    <xf numFmtId="0" fontId="32" fillId="69" borderId="0" applyNumberFormat="0" applyBorder="0" applyAlignment="0" applyProtection="0"/>
    <xf numFmtId="0" fontId="33" fillId="70" borderId="0" applyNumberFormat="0" applyBorder="0" applyAlignment="0" applyProtection="0"/>
    <xf numFmtId="0" fontId="34"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5" fillId="12" borderId="0" applyNumberFormat="0" applyBorder="0" applyAlignment="0" applyProtection="0"/>
    <xf numFmtId="0" fontId="35" fillId="16" borderId="0" applyNumberFormat="0" applyBorder="0" applyAlignment="0" applyProtection="0"/>
    <xf numFmtId="0" fontId="35" fillId="20" borderId="0" applyNumberFormat="0" applyBorder="0" applyAlignment="0" applyProtection="0"/>
    <xf numFmtId="0" fontId="35" fillId="24" borderId="0" applyNumberFormat="0" applyBorder="0" applyAlignment="0" applyProtection="0"/>
    <xf numFmtId="0" fontId="35" fillId="28" borderId="0" applyNumberFormat="0" applyBorder="0" applyAlignment="0" applyProtection="0"/>
    <xf numFmtId="0" fontId="35" fillId="32" borderId="0" applyNumberFormat="0" applyBorder="0" applyAlignment="0" applyProtection="0"/>
    <xf numFmtId="0" fontId="3" fillId="8" borderId="12" applyNumberFormat="0" applyFont="0" applyAlignment="0" applyProtection="0"/>
    <xf numFmtId="0" fontId="36" fillId="2" borderId="0" applyNumberFormat="0" applyBorder="0" applyAlignment="0" applyProtection="0"/>
    <xf numFmtId="0" fontId="35" fillId="9"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35" fillId="21" borderId="0" applyNumberFormat="0" applyBorder="0" applyAlignment="0" applyProtection="0"/>
    <xf numFmtId="0" fontId="35" fillId="25" borderId="0" applyNumberFormat="0" applyBorder="0" applyAlignment="0" applyProtection="0"/>
    <xf numFmtId="0" fontId="35" fillId="29" borderId="0" applyNumberFormat="0" applyBorder="0" applyAlignment="0" applyProtection="0"/>
    <xf numFmtId="0" fontId="37" fillId="6" borderId="9" applyNumberFormat="0" applyAlignment="0" applyProtection="0"/>
    <xf numFmtId="0" fontId="38" fillId="6" borderId="8" applyNumberFormat="0" applyAlignment="0" applyProtection="0"/>
    <xf numFmtId="0" fontId="39" fillId="3" borderId="0" applyNumberFormat="0" applyBorder="0" applyAlignment="0" applyProtection="0"/>
    <xf numFmtId="0" fontId="40" fillId="0" borderId="0" applyNumberFormat="0" applyFill="0" applyBorder="0" applyAlignment="0" applyProtection="0"/>
    <xf numFmtId="0" fontId="41" fillId="0" borderId="5" applyNumberFormat="0" applyFill="0" applyAlignment="0" applyProtection="0"/>
    <xf numFmtId="0" fontId="42" fillId="0" borderId="6" applyNumberFormat="0" applyFill="0" applyAlignment="0" applyProtection="0"/>
    <xf numFmtId="0" fontId="43" fillId="0" borderId="7" applyNumberFormat="0" applyFill="0" applyAlignment="0" applyProtection="0"/>
    <xf numFmtId="0" fontId="43" fillId="0" borderId="0" applyNumberFormat="0" applyFill="0" applyBorder="0" applyAlignment="0" applyProtection="0"/>
    <xf numFmtId="0" fontId="44" fillId="4" borderId="0" applyNumberFormat="0" applyBorder="0" applyAlignment="0" applyProtection="0"/>
    <xf numFmtId="0" fontId="3" fillId="0" borderId="0"/>
    <xf numFmtId="0" fontId="45" fillId="0" borderId="10" applyNumberFormat="0" applyFill="0" applyAlignment="0" applyProtection="0"/>
    <xf numFmtId="0" fontId="46" fillId="7" borderId="11" applyNumberFormat="0" applyAlignment="0" applyProtection="0"/>
    <xf numFmtId="0" fontId="47" fillId="0" borderId="0" applyNumberFormat="0" applyFill="0" applyBorder="0" applyAlignment="0" applyProtection="0"/>
    <xf numFmtId="0" fontId="48" fillId="0" borderId="0" applyNumberFormat="0" applyFill="0" applyBorder="0" applyAlignment="0" applyProtection="0"/>
    <xf numFmtId="0" fontId="49" fillId="0" borderId="13" applyNumberFormat="0" applyFill="0" applyAlignment="0" applyProtection="0"/>
    <xf numFmtId="0" fontId="50" fillId="5" borderId="8" applyNumberFormat="0" applyAlignment="0" applyProtection="0"/>
    <xf numFmtId="0" fontId="3" fillId="0" borderId="0"/>
    <xf numFmtId="166" fontId="11" fillId="0" borderId="0" applyFont="0" applyFill="0" applyBorder="0" applyAlignment="0" applyProtection="0"/>
    <xf numFmtId="165" fontId="1" fillId="0" borderId="0" applyFont="0" applyFill="0" applyBorder="0" applyAlignment="0" applyProtection="0"/>
    <xf numFmtId="0" fontId="14" fillId="0" borderId="0" applyNumberFormat="0" applyFill="0" applyBorder="0" applyAlignment="0" applyProtection="0">
      <alignment vertical="top"/>
      <protection locked="0"/>
    </xf>
    <xf numFmtId="0" fontId="12" fillId="0" borderId="0"/>
    <xf numFmtId="0" fontId="34" fillId="0" borderId="0"/>
    <xf numFmtId="0" fontId="3" fillId="0" borderId="0"/>
    <xf numFmtId="0" fontId="7" fillId="0" borderId="0"/>
    <xf numFmtId="9" fontId="11" fillId="0" borderId="0" applyFont="0" applyFill="0" applyBorder="0" applyAlignment="0" applyProtection="0"/>
    <xf numFmtId="9" fontId="1" fillId="0" borderId="0" applyFont="0" applyFill="0" applyBorder="0" applyAlignment="0" applyProtection="0"/>
    <xf numFmtId="0" fontId="7" fillId="0" borderId="0"/>
    <xf numFmtId="0" fontId="1" fillId="0" borderId="0"/>
    <xf numFmtId="0" fontId="7" fillId="0" borderId="0"/>
    <xf numFmtId="0" fontId="7" fillId="0" borderId="0"/>
    <xf numFmtId="0" fontId="7" fillId="0" borderId="0"/>
    <xf numFmtId="0" fontId="1" fillId="0" borderId="0"/>
    <xf numFmtId="0" fontId="7" fillId="0" borderId="0"/>
    <xf numFmtId="0" fontId="1" fillId="0" borderId="0"/>
    <xf numFmtId="0" fontId="1" fillId="0" borderId="0"/>
    <xf numFmtId="0" fontId="1" fillId="0" borderId="0"/>
    <xf numFmtId="0" fontId="7" fillId="0" borderId="0"/>
    <xf numFmtId="0" fontId="7" fillId="0" borderId="0"/>
    <xf numFmtId="0" fontId="7" fillId="0" borderId="0"/>
    <xf numFmtId="0" fontId="7" fillId="0" borderId="0"/>
    <xf numFmtId="0" fontId="52" fillId="0" borderId="0"/>
    <xf numFmtId="0" fontId="57" fillId="66" borderId="8" applyNumberFormat="0" applyAlignment="0" applyProtection="0"/>
    <xf numFmtId="0" fontId="59" fillId="58" borderId="9" applyNumberFormat="0" applyAlignment="0" applyProtection="0"/>
    <xf numFmtId="0" fontId="52" fillId="71" borderId="0" applyNumberFormat="0" applyFont="0" applyBorder="0" applyAlignment="0" applyProtection="0"/>
    <xf numFmtId="0" fontId="52" fillId="72" borderId="0" applyNumberFormat="0" applyFont="0" applyBorder="0" applyAlignment="0" applyProtection="0"/>
    <xf numFmtId="0" fontId="52" fillId="73" borderId="0" applyNumberFormat="0" applyFont="0" applyBorder="0" applyAlignment="0" applyProtection="0"/>
    <xf numFmtId="0" fontId="52" fillId="74" borderId="0" applyNumberFormat="0" applyFont="0" applyBorder="0" applyAlignment="0" applyProtection="0"/>
    <xf numFmtId="0" fontId="52" fillId="75" borderId="0" applyNumberFormat="0" applyFont="0" applyBorder="0" applyAlignment="0" applyProtection="0"/>
    <xf numFmtId="0" fontId="52" fillId="42" borderId="0" applyNumberFormat="0" applyFont="0" applyBorder="0" applyAlignment="0" applyProtection="0"/>
    <xf numFmtId="0" fontId="52" fillId="43" borderId="0" applyNumberFormat="0" applyFont="0" applyBorder="0" applyAlignment="0" applyProtection="0"/>
    <xf numFmtId="0" fontId="52" fillId="76" borderId="0" applyNumberFormat="0" applyFont="0" applyBorder="0" applyAlignment="0" applyProtection="0"/>
    <xf numFmtId="0" fontId="52" fillId="77" borderId="0" applyNumberFormat="0" applyFont="0" applyBorder="0" applyAlignment="0" applyProtection="0"/>
    <xf numFmtId="0" fontId="52" fillId="47" borderId="0" applyNumberFormat="0" applyFont="0" applyBorder="0" applyAlignment="0" applyProtection="0"/>
    <xf numFmtId="0" fontId="52" fillId="78" borderId="0" applyNumberFormat="0" applyFont="0" applyBorder="0" applyAlignment="0" applyProtection="0"/>
    <xf numFmtId="0" fontId="52" fillId="49" borderId="0" applyNumberFormat="0" applyFont="0" applyBorder="0" applyAlignment="0" applyProtection="0"/>
    <xf numFmtId="0" fontId="53" fillId="50" borderId="0" applyNumberFormat="0" applyBorder="0" applyAlignment="0" applyProtection="0"/>
    <xf numFmtId="0" fontId="53" fillId="79" borderId="0" applyNumberFormat="0" applyBorder="0" applyAlignment="0" applyProtection="0"/>
    <xf numFmtId="0" fontId="53" fillId="80" borderId="0" applyNumberFormat="0" applyBorder="0" applyAlignment="0" applyProtection="0"/>
    <xf numFmtId="0" fontId="53" fillId="81" borderId="0" applyNumberFormat="0" applyBorder="0" applyAlignment="0" applyProtection="0"/>
    <xf numFmtId="0" fontId="53" fillId="82" borderId="0" applyNumberFormat="0" applyBorder="0" applyAlignment="0" applyProtection="0"/>
    <xf numFmtId="0" fontId="53" fillId="83" borderId="0" applyNumberFormat="0" applyBorder="0" applyAlignment="0" applyProtection="0"/>
    <xf numFmtId="0" fontId="54" fillId="58" borderId="8" applyNumberFormat="0" applyAlignment="0" applyProtection="0"/>
    <xf numFmtId="0" fontId="55" fillId="0" borderId="10" applyNumberFormat="0" applyFill="0" applyAlignment="0" applyProtection="0"/>
    <xf numFmtId="0" fontId="56" fillId="59" borderId="11" applyNumberFormat="0" applyAlignment="0" applyProtection="0"/>
    <xf numFmtId="0" fontId="53" fillId="60" borderId="0" applyNumberFormat="0" applyBorder="0" applyAlignment="0" applyProtection="0"/>
    <xf numFmtId="0" fontId="53" fillId="61" borderId="0" applyNumberFormat="0" applyBorder="0" applyAlignment="0" applyProtection="0"/>
    <xf numFmtId="0" fontId="53" fillId="62" borderId="0" applyNumberFormat="0" applyBorder="0" applyAlignment="0" applyProtection="0"/>
    <xf numFmtId="0" fontId="53" fillId="63" borderId="0" applyNumberFormat="0" applyBorder="0" applyAlignment="0" applyProtection="0"/>
    <xf numFmtId="0" fontId="53" fillId="64" borderId="0" applyNumberFormat="0" applyBorder="0" applyAlignment="0" applyProtection="0"/>
    <xf numFmtId="0" fontId="53" fillId="65" borderId="0" applyNumberFormat="0" applyBorder="0" applyAlignment="0" applyProtection="0"/>
    <xf numFmtId="0" fontId="58" fillId="67" borderId="0" applyNumberFormat="0" applyBorder="0" applyAlignment="0" applyProtection="0"/>
    <xf numFmtId="0" fontId="52" fillId="0" borderId="0" applyNumberFormat="0" applyFont="0" applyBorder="0" applyProtection="0"/>
    <xf numFmtId="0" fontId="52" fillId="0" borderId="0" applyNumberFormat="0" applyFont="0" applyBorder="0" applyProtection="0"/>
    <xf numFmtId="0" fontId="52" fillId="68" borderId="12" applyNumberFormat="0" applyFont="0" applyAlignment="0" applyProtection="0"/>
    <xf numFmtId="0" fontId="60" fillId="0" borderId="0" applyNumberFormat="0" applyFill="0" applyBorder="0" applyAlignment="0" applyProtection="0"/>
    <xf numFmtId="0" fontId="61" fillId="0" borderId="0" applyNumberFormat="0" applyFill="0" applyBorder="0" applyAlignment="0" applyProtection="0"/>
    <xf numFmtId="0" fontId="62" fillId="0" borderId="0" applyNumberFormat="0" applyFill="0" applyBorder="0" applyAlignment="0" applyProtection="0"/>
    <xf numFmtId="0" fontId="63" fillId="0" borderId="14" applyNumberFormat="0" applyFill="0" applyAlignment="0" applyProtection="0"/>
    <xf numFmtId="0" fontId="64" fillId="0" borderId="18" applyNumberFormat="0" applyFill="0" applyAlignment="0" applyProtection="0"/>
    <xf numFmtId="0" fontId="65" fillId="0" borderId="16" applyNumberFormat="0" applyFill="0" applyAlignment="0" applyProtection="0"/>
    <xf numFmtId="0" fontId="65" fillId="0" borderId="0" applyNumberFormat="0" applyFill="0" applyBorder="0" applyAlignment="0" applyProtection="0"/>
    <xf numFmtId="0" fontId="66" fillId="0" borderId="17" applyNumberFormat="0" applyFill="0" applyAlignment="0" applyProtection="0"/>
    <xf numFmtId="0" fontId="67" fillId="69" borderId="0" applyNumberFormat="0" applyBorder="0" applyAlignment="0" applyProtection="0"/>
    <xf numFmtId="0" fontId="68" fillId="70" borderId="0" applyNumberFormat="0" applyBorder="0" applyAlignment="0" applyProtection="0"/>
    <xf numFmtId="0" fontId="8" fillId="0" borderId="0"/>
    <xf numFmtId="0" fontId="51" fillId="0" borderId="0"/>
    <xf numFmtId="0" fontId="3" fillId="0" borderId="0"/>
    <xf numFmtId="0" fontId="3" fillId="0" borderId="0"/>
    <xf numFmtId="0" fontId="3" fillId="0" borderId="0"/>
    <xf numFmtId="0" fontId="12" fillId="0" borderId="0"/>
    <xf numFmtId="9" fontId="4" fillId="0" borderId="0" applyFont="0" applyFill="0" applyBorder="0" applyAlignment="0" applyProtection="0"/>
    <xf numFmtId="0" fontId="12" fillId="0" borderId="0"/>
    <xf numFmtId="9" fontId="1" fillId="0" borderId="0" applyFont="0" applyFill="0" applyBorder="0" applyAlignment="0" applyProtection="0"/>
    <xf numFmtId="9" fontId="1" fillId="0" borderId="0" applyFont="0" applyFill="0" applyBorder="0" applyAlignment="0" applyProtection="0"/>
    <xf numFmtId="0" fontId="69" fillId="0" borderId="0"/>
    <xf numFmtId="0" fontId="1" fillId="0" borderId="0"/>
    <xf numFmtId="0" fontId="3" fillId="0" borderId="0"/>
    <xf numFmtId="0" fontId="3" fillId="0" borderId="0"/>
    <xf numFmtId="0" fontId="3" fillId="0" borderId="0"/>
    <xf numFmtId="0" fontId="12" fillId="0" borderId="0"/>
    <xf numFmtId="0" fontId="7"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67" fillId="69"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4"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5"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6"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8"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4" fillId="89"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1"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92"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87"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0"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4" fillId="93"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4"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1"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2"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70" fillId="97" borderId="0" applyNumberFormat="0" applyBorder="0" applyAlignment="0" applyProtection="0"/>
    <xf numFmtId="0" fontId="17" fillId="50" borderId="0" applyNumberFormat="0" applyBorder="0" applyAlignment="0" applyProtection="0"/>
    <xf numFmtId="0" fontId="53" fillId="50" borderId="0" applyNumberFormat="0" applyBorder="0" applyAlignment="0" applyProtection="0"/>
    <xf numFmtId="0" fontId="17" fillId="51" borderId="0" applyNumberFormat="0" applyBorder="0" applyAlignment="0" applyProtection="0"/>
    <xf numFmtId="0" fontId="53" fillId="51" borderId="0" applyNumberFormat="0" applyBorder="0" applyAlignment="0" applyProtection="0"/>
    <xf numFmtId="0" fontId="17" fillId="45" borderId="0" applyNumberFormat="0" applyBorder="0" applyAlignment="0" applyProtection="0"/>
    <xf numFmtId="0" fontId="53" fillId="52" borderId="0" applyNumberFormat="0" applyBorder="0" applyAlignment="0" applyProtection="0"/>
    <xf numFmtId="0" fontId="17" fillId="53" borderId="0" applyNumberFormat="0" applyBorder="0" applyAlignment="0" applyProtection="0"/>
    <xf numFmtId="0" fontId="53" fillId="54" borderId="0" applyNumberFormat="0" applyBorder="0" applyAlignment="0" applyProtection="0"/>
    <xf numFmtId="0" fontId="17" fillId="55" borderId="0" applyNumberFormat="0" applyBorder="0" applyAlignment="0" applyProtection="0"/>
    <xf numFmtId="0" fontId="53" fillId="55" borderId="0" applyNumberFormat="0" applyBorder="0" applyAlignment="0" applyProtection="0"/>
    <xf numFmtId="0" fontId="17" fillId="56" borderId="0" applyNumberFormat="0" applyBorder="0" applyAlignment="0" applyProtection="0"/>
    <xf numFmtId="0" fontId="53" fillId="57"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8"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99"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100"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5"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96"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0" fillId="101"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71" fillId="85" borderId="0" applyNumberFormat="0" applyBorder="0" applyAlignment="0" applyProtection="0"/>
    <xf numFmtId="0" fontId="18" fillId="58" borderId="8" applyNumberFormat="0" applyAlignment="0" applyProtection="0"/>
    <xf numFmtId="0" fontId="54" fillId="58" borderId="8"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72" fillId="102" borderId="19" applyNumberFormat="0" applyAlignment="0" applyProtection="0"/>
    <xf numFmtId="0" fontId="19" fillId="0" borderId="10" applyNumberFormat="0" applyFill="0" applyAlignment="0" applyProtection="0"/>
    <xf numFmtId="0" fontId="55" fillId="0" borderId="10" applyNumberFormat="0" applyFill="0" applyAlignment="0" applyProtection="0"/>
    <xf numFmtId="0" fontId="20" fillId="59" borderId="11" applyNumberFormat="0" applyAlignment="0" applyProtection="0"/>
    <xf numFmtId="0" fontId="56" fillId="59" borderId="1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73" fillId="103" borderId="21" applyNumberFormat="0" applyAlignment="0" applyProtection="0"/>
    <xf numFmtId="0" fontId="17" fillId="60" borderId="0" applyNumberFormat="0" applyBorder="0" applyAlignment="0" applyProtection="0"/>
    <xf numFmtId="0" fontId="53" fillId="60" borderId="0" applyNumberFormat="0" applyBorder="0" applyAlignment="0" applyProtection="0"/>
    <xf numFmtId="0" fontId="17" fillId="61" borderId="0" applyNumberFormat="0" applyBorder="0" applyAlignment="0" applyProtection="0"/>
    <xf numFmtId="0" fontId="53" fillId="61" borderId="0" applyNumberFormat="0" applyBorder="0" applyAlignment="0" applyProtection="0"/>
    <xf numFmtId="0" fontId="17" fillId="62" borderId="0" applyNumberFormat="0" applyBorder="0" applyAlignment="0" applyProtection="0"/>
    <xf numFmtId="0" fontId="53" fillId="62" borderId="0" applyNumberFormat="0" applyBorder="0" applyAlignment="0" applyProtection="0"/>
    <xf numFmtId="0" fontId="17" fillId="63" borderId="0" applyNumberFormat="0" applyBorder="0" applyAlignment="0" applyProtection="0"/>
    <xf numFmtId="0" fontId="53" fillId="63" borderId="0" applyNumberFormat="0" applyBorder="0" applyAlignment="0" applyProtection="0"/>
    <xf numFmtId="0" fontId="17" fillId="64" borderId="0" applyNumberFormat="0" applyBorder="0" applyAlignment="0" applyProtection="0"/>
    <xf numFmtId="0" fontId="53" fillId="64" borderId="0" applyNumberFormat="0" applyBorder="0" applyAlignment="0" applyProtection="0"/>
    <xf numFmtId="0" fontId="17" fillId="65" borderId="0" applyNumberFormat="0" applyBorder="0" applyAlignment="0" applyProtection="0"/>
    <xf numFmtId="0" fontId="53" fillId="65" borderId="0" applyNumberFormat="0" applyBorder="0" applyAlignment="0" applyProtection="0"/>
    <xf numFmtId="43" fontId="11" fillId="0" borderId="0" applyFont="0" applyFill="0" applyBorder="0" applyAlignment="0" applyProtection="0"/>
    <xf numFmtId="166"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6"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43" fontId="4" fillId="0" borderId="0" applyFon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5" fillId="86" borderId="0" applyNumberFormat="0" applyBorder="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13" fillId="0" borderId="5"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41" fillId="0" borderId="5"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6" fillId="0" borderId="22"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7" fillId="0" borderId="23"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24" applyNumberFormat="0" applyFill="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8" fillId="0" borderId="0" applyNumberFormat="0" applyFill="0" applyBorder="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21" fillId="66" borderId="8" applyNumberFormat="0" applyAlignment="0" applyProtection="0"/>
    <xf numFmtId="0" fontId="57" fillId="66" borderId="8"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79" fillId="89" borderId="19" applyNumberFormat="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0" fontId="80" fillId="0" borderId="20" applyNumberFormat="0" applyFill="0" applyAlignment="0" applyProtection="0"/>
    <xf numFmtId="167" fontId="11" fillId="0" borderId="0" applyFont="0" applyFill="0" applyBorder="0" applyAlignment="0" applyProtection="0"/>
    <xf numFmtId="167" fontId="11" fillId="0" borderId="0" applyFont="0" applyFill="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81" fillId="104" borderId="0" applyNumberFormat="0" applyBorder="0" applyAlignment="0" applyProtection="0"/>
    <xf numFmtId="0" fontId="22" fillId="67" borderId="0" applyNumberFormat="0" applyBorder="0" applyAlignment="0" applyProtection="0"/>
    <xf numFmtId="0" fontId="58" fillId="67" borderId="0" applyNumberFormat="0" applyBorder="0" applyAlignment="0" applyProtection="0"/>
    <xf numFmtId="0" fontId="12" fillId="0" borderId="0"/>
    <xf numFmtId="0" fontId="7" fillId="0" borderId="0"/>
    <xf numFmtId="0" fontId="1" fillId="0" borderId="0"/>
    <xf numFmtId="0" fontId="3" fillId="0" borderId="0"/>
    <xf numFmtId="0" fontId="12" fillId="0" borderId="0"/>
    <xf numFmtId="0" fontId="7" fillId="0" borderId="0"/>
    <xf numFmtId="0" fontId="1" fillId="0" borderId="0"/>
    <xf numFmtId="0" fontId="3" fillId="0" borderId="0"/>
    <xf numFmtId="0" fontId="12" fillId="0" borderId="0"/>
    <xf numFmtId="0" fontId="3" fillId="0" borderId="0"/>
    <xf numFmtId="0" fontId="3" fillId="0" borderId="0"/>
    <xf numFmtId="0" fontId="1" fillId="0" borderId="0"/>
    <xf numFmtId="0" fontId="12" fillId="0" borderId="0"/>
    <xf numFmtId="0" fontId="7" fillId="0" borderId="0"/>
    <xf numFmtId="0" fontId="1" fillId="0" borderId="0"/>
    <xf numFmtId="0" fontId="8" fillId="0" borderId="0"/>
    <xf numFmtId="0" fontId="1" fillId="0" borderId="0"/>
    <xf numFmtId="0" fontId="8" fillId="0" borderId="0"/>
    <xf numFmtId="0" fontId="12" fillId="0" borderId="0"/>
    <xf numFmtId="0" fontId="7" fillId="0" borderId="0"/>
    <xf numFmtId="0" fontId="12" fillId="0" borderId="0"/>
    <xf numFmtId="0" fontId="8" fillId="0" borderId="0"/>
    <xf numFmtId="0" fontId="12" fillId="0" borderId="0"/>
    <xf numFmtId="0" fontId="7" fillId="0" borderId="0"/>
    <xf numFmtId="0" fontId="7" fillId="0" borderId="0"/>
    <xf numFmtId="0" fontId="3" fillId="0" borderId="0"/>
    <xf numFmtId="0" fontId="7" fillId="0" borderId="0"/>
    <xf numFmtId="0" fontId="1" fillId="0" borderId="0"/>
    <xf numFmtId="0" fontId="7" fillId="0" borderId="0"/>
    <xf numFmtId="0" fontId="1" fillId="0" borderId="0"/>
    <xf numFmtId="0" fontId="7" fillId="0" borderId="0"/>
    <xf numFmtId="0" fontId="7" fillId="0" borderId="0"/>
    <xf numFmtId="0" fontId="11" fillId="0" borderId="0"/>
    <xf numFmtId="0" fontId="12" fillId="0" borderId="0"/>
    <xf numFmtId="0" fontId="11" fillId="0" borderId="0"/>
    <xf numFmtId="0" fontId="3" fillId="0" borderId="0"/>
    <xf numFmtId="0" fontId="11" fillId="0" borderId="0"/>
    <xf numFmtId="0" fontId="51" fillId="0" borderId="0"/>
    <xf numFmtId="0" fontId="3" fillId="0" borderId="0"/>
    <xf numFmtId="0" fontId="3" fillId="0" borderId="0"/>
    <xf numFmtId="0" fontId="11" fillId="0" borderId="0"/>
    <xf numFmtId="0" fontId="51" fillId="0" borderId="0"/>
    <xf numFmtId="0" fontId="1" fillId="0" borderId="0"/>
    <xf numFmtId="0" fontId="3" fillId="0" borderId="0"/>
    <xf numFmtId="0" fontId="3" fillId="0" borderId="0"/>
    <xf numFmtId="0" fontId="3" fillId="0" borderId="0"/>
    <xf numFmtId="0" fontId="7" fillId="0" borderId="0"/>
    <xf numFmtId="0" fontId="3" fillId="0" borderId="0"/>
    <xf numFmtId="0" fontId="1" fillId="0" borderId="0"/>
    <xf numFmtId="0" fontId="3" fillId="0" borderId="0"/>
    <xf numFmtId="0" fontId="1" fillId="0" borderId="0"/>
    <xf numFmtId="0" fontId="3" fillId="0" borderId="0"/>
    <xf numFmtId="0" fontId="3" fillId="0" borderId="0"/>
    <xf numFmtId="0" fontId="8" fillId="0" borderId="0"/>
    <xf numFmtId="0" fontId="7" fillId="0" borderId="0"/>
    <xf numFmtId="0" fontId="8" fillId="0" borderId="0"/>
    <xf numFmtId="0" fontId="7" fillId="0" borderId="0"/>
    <xf numFmtId="0" fontId="12" fillId="0" borderId="0"/>
    <xf numFmtId="0" fontId="34" fillId="0" borderId="0"/>
    <xf numFmtId="0" fontId="12" fillId="0" borderId="0"/>
    <xf numFmtId="0" fontId="1" fillId="0" borderId="0"/>
    <xf numFmtId="0" fontId="16" fillId="0" borderId="0"/>
    <xf numFmtId="0" fontId="16" fillId="0" borderId="0"/>
    <xf numFmtId="0" fontId="7" fillId="0" borderId="0"/>
    <xf numFmtId="0" fontId="7" fillId="0" borderId="0"/>
    <xf numFmtId="0" fontId="12" fillId="0" borderId="0"/>
    <xf numFmtId="0" fontId="1" fillId="0" borderId="0"/>
    <xf numFmtId="0" fontId="7" fillId="0" borderId="0"/>
    <xf numFmtId="0" fontId="7" fillId="0" borderId="0"/>
    <xf numFmtId="0" fontId="34" fillId="0" borderId="0"/>
    <xf numFmtId="0" fontId="1" fillId="0" borderId="0"/>
    <xf numFmtId="0" fontId="7" fillId="0" borderId="0"/>
    <xf numFmtId="0" fontId="3" fillId="0" borderId="0"/>
    <xf numFmtId="0" fontId="34" fillId="0" borderId="0"/>
    <xf numFmtId="0" fontId="34" fillId="0" borderId="0"/>
    <xf numFmtId="0" fontId="7" fillId="0" borderId="0"/>
    <xf numFmtId="0" fontId="3" fillId="0" borderId="0"/>
    <xf numFmtId="0" fontId="1" fillId="0" borderId="0"/>
    <xf numFmtId="0" fontId="3" fillId="0" borderId="0"/>
    <xf numFmtId="0" fontId="3" fillId="0" borderId="0"/>
    <xf numFmtId="0" fontId="12" fillId="0" borderId="0"/>
    <xf numFmtId="0" fontId="52" fillId="0" borderId="0"/>
    <xf numFmtId="0" fontId="7" fillId="0" borderId="0"/>
    <xf numFmtId="0" fontId="69" fillId="0" borderId="0"/>
    <xf numFmtId="0" fontId="12" fillId="0" borderId="0"/>
    <xf numFmtId="0" fontId="3" fillId="0" borderId="0"/>
    <xf numFmtId="0" fontId="12" fillId="0" borderId="0"/>
    <xf numFmtId="0" fontId="7" fillId="0" borderId="0"/>
    <xf numFmtId="0" fontId="3" fillId="0" borderId="0"/>
    <xf numFmtId="0" fontId="12" fillId="0" borderId="0"/>
    <xf numFmtId="0" fontId="7" fillId="0" borderId="0"/>
    <xf numFmtId="0" fontId="12" fillId="0" borderId="0"/>
    <xf numFmtId="0" fontId="1" fillId="0" borderId="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23" fillId="0" borderId="0" applyNumberFormat="0" applyBorder="0" applyProtection="0"/>
    <xf numFmtId="0" fontId="23"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7" fillId="105" borderId="25" applyNumberFormat="0" applyFon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24" fillId="58" borderId="9" applyNumberFormat="0" applyAlignment="0" applyProtection="0"/>
    <xf numFmtId="0" fontId="59" fillId="58" borderId="9"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0" fontId="82" fillId="102" borderId="26"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1" fillId="0" borderId="0" applyFont="0" applyFill="0" applyBorder="0" applyAlignment="0" applyProtection="0"/>
    <xf numFmtId="9" fontId="4"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1" fillId="0" borderId="0" applyFont="0" applyFill="0" applyBorder="0" applyAlignment="0" applyProtection="0"/>
    <xf numFmtId="9" fontId="7" fillId="0" borderId="0" applyFont="0" applyFill="0" applyBorder="0" applyAlignment="0" applyProtection="0"/>
    <xf numFmtId="9" fontId="11" fillId="0" borderId="0" applyFont="0" applyFill="0" applyBorder="0" applyAlignment="0" applyProtection="0"/>
    <xf numFmtId="9" fontId="1" fillId="0" borderId="0" applyFont="0" applyFill="0" applyBorder="0" applyAlignment="0" applyProtection="0"/>
    <xf numFmtId="0" fontId="25" fillId="0" borderId="0" applyNumberFormat="0" applyFill="0" applyBorder="0" applyAlignment="0" applyProtection="0"/>
    <xf numFmtId="0" fontId="60" fillId="0" borderId="0" applyNumberFormat="0" applyFill="0" applyBorder="0" applyAlignment="0" applyProtection="0"/>
    <xf numFmtId="0" fontId="26" fillId="0" borderId="0" applyNumberFormat="0" applyFill="0" applyBorder="0" applyAlignment="0" applyProtection="0"/>
    <xf numFmtId="0" fontId="61" fillId="0" borderId="0" applyNumberFormat="0" applyFill="0" applyBorder="0" applyAlignment="0" applyProtection="0"/>
    <xf numFmtId="0" fontId="86"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83" fillId="0" borderId="0" applyNumberFormat="0" applyFill="0" applyBorder="0" applyAlignment="0" applyProtection="0"/>
    <xf numFmtId="0" fontId="28" fillId="0" borderId="14" applyNumberFormat="0" applyFill="0" applyAlignment="0" applyProtection="0"/>
    <xf numFmtId="0" fontId="63" fillId="0" borderId="14" applyNumberFormat="0" applyFill="0" applyAlignment="0" applyProtection="0"/>
    <xf numFmtId="0" fontId="29" fillId="0" borderId="15" applyNumberFormat="0" applyFill="0" applyAlignment="0" applyProtection="0"/>
    <xf numFmtId="0" fontId="64" fillId="0" borderId="15" applyNumberFormat="0" applyFill="0" applyAlignment="0" applyProtection="0"/>
    <xf numFmtId="0" fontId="30" fillId="0" borderId="16" applyNumberFormat="0" applyFill="0" applyAlignment="0" applyProtection="0"/>
    <xf numFmtId="0" fontId="65" fillId="0" borderId="16" applyNumberFormat="0" applyFill="0" applyAlignment="0" applyProtection="0"/>
    <xf numFmtId="0" fontId="30" fillId="0" borderId="0" applyNumberFormat="0" applyFill="0" applyBorder="0" applyAlignment="0" applyProtection="0"/>
    <xf numFmtId="0" fontId="65" fillId="0" borderId="0" applyNumberFormat="0" applyFill="0" applyBorder="0" applyAlignment="0" applyProtection="0"/>
    <xf numFmtId="0" fontId="27" fillId="0" borderId="0" applyNumberFormat="0" applyFill="0" applyBorder="0" applyAlignment="0" applyProtection="0"/>
    <xf numFmtId="0" fontId="62" fillId="0" borderId="0" applyNumberFormat="0" applyFill="0" applyBorder="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31" fillId="0" borderId="17" applyNumberFormat="0" applyFill="0" applyAlignment="0" applyProtection="0"/>
    <xf numFmtId="0" fontId="66" fillId="0" borderId="17" applyNumberFormat="0" applyFill="0" applyAlignment="0" applyProtection="0"/>
    <xf numFmtId="0" fontId="32" fillId="69" borderId="0" applyNumberFormat="0" applyBorder="0" applyAlignment="0" applyProtection="0"/>
    <xf numFmtId="0" fontId="67" fillId="69" borderId="0" applyNumberFormat="0" applyBorder="0" applyAlignment="0" applyProtection="0"/>
    <xf numFmtId="0" fontId="33" fillId="70" borderId="0" applyNumberFormat="0" applyBorder="0" applyAlignment="0" applyProtection="0"/>
    <xf numFmtId="0" fontId="68" fillId="70" borderId="0" applyNumberFormat="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0" fontId="85" fillId="0" borderId="0" applyNumberForma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165" fontId="1" fillId="0" borderId="0" applyFont="0" applyFill="0" applyBorder="0" applyAlignment="0" applyProtection="0"/>
    <xf numFmtId="165" fontId="3" fillId="0" borderId="0" applyFont="0" applyFill="0" applyBorder="0" applyAlignment="0" applyProtection="0"/>
    <xf numFmtId="165" fontId="1" fillId="0" borderId="0" applyFont="0" applyFill="0" applyBorder="0" applyAlignment="0" applyProtection="0"/>
    <xf numFmtId="168" fontId="1" fillId="0" borderId="0" applyFont="0" applyFill="0" applyBorder="0" applyAlignment="0" applyProtection="0"/>
    <xf numFmtId="0" fontId="87" fillId="0" borderId="0" applyNumberFormat="0" applyFill="0" applyBorder="0" applyAlignment="0" applyProtection="0"/>
    <xf numFmtId="0" fontId="1" fillId="0" borderId="0"/>
    <xf numFmtId="0" fontId="3" fillId="0" borderId="0"/>
    <xf numFmtId="0" fontId="7" fillId="0" borderId="0"/>
    <xf numFmtId="0" fontId="7" fillId="0" borderId="0"/>
    <xf numFmtId="0" fontId="1" fillId="0" borderId="0"/>
    <xf numFmtId="0" fontId="12" fillId="0" borderId="0"/>
    <xf numFmtId="0" fontId="8" fillId="0" borderId="0"/>
    <xf numFmtId="0" fontId="3" fillId="0" borderId="0"/>
    <xf numFmtId="0" fontId="7" fillId="0" borderId="0"/>
    <xf numFmtId="0" fontId="1" fillId="0" borderId="0"/>
    <xf numFmtId="0" fontId="7" fillId="0" borderId="0"/>
    <xf numFmtId="0" fontId="69" fillId="0" borderId="0"/>
    <xf numFmtId="0" fontId="12" fillId="0" borderId="0"/>
    <xf numFmtId="0" fontId="3" fillId="0" borderId="0"/>
    <xf numFmtId="0" fontId="7" fillId="0" borderId="0"/>
    <xf numFmtId="0" fontId="8" fillId="0" borderId="0"/>
    <xf numFmtId="0" fontId="7" fillId="0" borderId="0"/>
    <xf numFmtId="9" fontId="1" fillId="0" borderId="0" applyFont="0" applyFill="0" applyBorder="0" applyAlignment="0" applyProtection="0"/>
    <xf numFmtId="0" fontId="7"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4" fillId="34"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4" fillId="36"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4" fillId="38"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4" fillId="40"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1" borderId="0" applyNumberFormat="0" applyFont="0" applyBorder="0" applyAlignment="0" applyProtection="0"/>
    <xf numFmtId="0" fontId="4" fillId="41"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4" borderId="0" applyNumberFormat="0" applyFont="0" applyBorder="0" applyAlignment="0" applyProtection="0"/>
    <xf numFmtId="0" fontId="4"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4" fillId="46"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8" borderId="0" applyNumberFormat="0" applyFont="0" applyBorder="0" applyAlignment="0" applyProtection="0"/>
    <xf numFmtId="0" fontId="4" fillId="48"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53" fillId="50" borderId="0" applyNumberFormat="0" applyBorder="0" applyAlignment="0" applyProtection="0"/>
    <xf numFmtId="0" fontId="17" fillId="50" borderId="0" applyNumberFormat="0" applyBorder="0" applyAlignment="0" applyProtection="0"/>
    <xf numFmtId="0" fontId="53" fillId="79" borderId="0" applyNumberFormat="0" applyBorder="0" applyAlignment="0" applyProtection="0"/>
    <xf numFmtId="0" fontId="17" fillId="51" borderId="0" applyNumberFormat="0" applyBorder="0" applyAlignment="0" applyProtection="0"/>
    <xf numFmtId="0" fontId="53" fillId="80" borderId="0" applyNumberFormat="0" applyBorder="0" applyAlignment="0" applyProtection="0"/>
    <xf numFmtId="0" fontId="17" fillId="45" borderId="0" applyNumberFormat="0" applyBorder="0" applyAlignment="0" applyProtection="0"/>
    <xf numFmtId="0" fontId="53" fillId="81" borderId="0" applyNumberFormat="0" applyBorder="0" applyAlignment="0" applyProtection="0"/>
    <xf numFmtId="0" fontId="17" fillId="53" borderId="0" applyNumberFormat="0" applyBorder="0" applyAlignment="0" applyProtection="0"/>
    <xf numFmtId="0" fontId="53" fillId="82" borderId="0" applyNumberFormat="0" applyBorder="0" applyAlignment="0" applyProtection="0"/>
    <xf numFmtId="0" fontId="17" fillId="55" borderId="0" applyNumberFormat="0" applyBorder="0" applyAlignment="0" applyProtection="0"/>
    <xf numFmtId="0" fontId="53" fillId="83" borderId="0" applyNumberFormat="0" applyBorder="0" applyAlignment="0" applyProtection="0"/>
    <xf numFmtId="0" fontId="17" fillId="56" borderId="0" applyNumberFormat="0" applyBorder="0" applyAlignment="0" applyProtection="0"/>
    <xf numFmtId="0" fontId="54" fillId="58" borderId="8" applyNumberFormat="0" applyAlignment="0" applyProtection="0"/>
    <xf numFmtId="0" fontId="18" fillId="58" borderId="8" applyNumberFormat="0" applyAlignment="0" applyProtection="0"/>
    <xf numFmtId="0" fontId="55" fillId="0" borderId="10" applyNumberFormat="0" applyFill="0" applyAlignment="0" applyProtection="0"/>
    <xf numFmtId="0" fontId="19" fillId="0" borderId="10" applyNumberFormat="0" applyFill="0" applyAlignment="0" applyProtection="0"/>
    <xf numFmtId="0" fontId="56" fillId="59" borderId="11" applyNumberFormat="0" applyAlignment="0" applyProtection="0"/>
    <xf numFmtId="0" fontId="20" fillId="59" borderId="11" applyNumberFormat="0" applyAlignment="0" applyProtection="0"/>
    <xf numFmtId="0" fontId="53" fillId="60" borderId="0" applyNumberFormat="0" applyBorder="0" applyAlignment="0" applyProtection="0"/>
    <xf numFmtId="0" fontId="17" fillId="60" borderId="0" applyNumberFormat="0" applyBorder="0" applyAlignment="0" applyProtection="0"/>
    <xf numFmtId="0" fontId="53" fillId="61" borderId="0" applyNumberFormat="0" applyBorder="0" applyAlignment="0" applyProtection="0"/>
    <xf numFmtId="0" fontId="17" fillId="61" borderId="0" applyNumberFormat="0" applyBorder="0" applyAlignment="0" applyProtection="0"/>
    <xf numFmtId="0" fontId="53" fillId="62" borderId="0" applyNumberFormat="0" applyBorder="0" applyAlignment="0" applyProtection="0"/>
    <xf numFmtId="0" fontId="17" fillId="62" borderId="0" applyNumberFormat="0" applyBorder="0" applyAlignment="0" applyProtection="0"/>
    <xf numFmtId="0" fontId="53" fillId="63" borderId="0" applyNumberFormat="0" applyBorder="0" applyAlignment="0" applyProtection="0"/>
    <xf numFmtId="0" fontId="17" fillId="63" borderId="0" applyNumberFormat="0" applyBorder="0" applyAlignment="0" applyProtection="0"/>
    <xf numFmtId="0" fontId="53" fillId="64" borderId="0" applyNumberFormat="0" applyBorder="0" applyAlignment="0" applyProtection="0"/>
    <xf numFmtId="0" fontId="17" fillId="64" borderId="0" applyNumberFormat="0" applyBorder="0" applyAlignment="0" applyProtection="0"/>
    <xf numFmtId="0" fontId="53" fillId="65" borderId="0" applyNumberFormat="0" applyBorder="0" applyAlignment="0" applyProtection="0"/>
    <xf numFmtId="0" fontId="17" fillId="65" borderId="0" applyNumberFormat="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168"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8"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0" fontId="21" fillId="66" borderId="8" applyNumberFormat="0" applyAlignment="0" applyProtection="0"/>
    <xf numFmtId="167" fontId="11" fillId="0" borderId="0" applyFont="0" applyFill="0" applyBorder="0" applyAlignment="0" applyProtection="0"/>
    <xf numFmtId="167" fontId="11" fillId="0" borderId="0" applyFont="0" applyFill="0" applyBorder="0" applyAlignment="0" applyProtection="0"/>
    <xf numFmtId="0" fontId="58" fillId="67" borderId="0" applyNumberFormat="0" applyBorder="0" applyAlignment="0" applyProtection="0"/>
    <xf numFmtId="0" fontId="22" fillId="67" borderId="0" applyNumberFormat="0" applyBorder="0" applyAlignment="0" applyProtection="0"/>
    <xf numFmtId="0" fontId="3" fillId="0" borderId="0"/>
    <xf numFmtId="0" fontId="3" fillId="0" borderId="0"/>
    <xf numFmtId="0" fontId="3" fillId="0" borderId="0"/>
    <xf numFmtId="0" fontId="3" fillId="0" borderId="0"/>
    <xf numFmtId="0" fontId="12" fillId="0" borderId="0"/>
    <xf numFmtId="0" fontId="7" fillId="0" borderId="0"/>
    <xf numFmtId="0" fontId="1" fillId="0" borderId="0"/>
    <xf numFmtId="0" fontId="3"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7"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7" fillId="0" borderId="0"/>
    <xf numFmtId="0" fontId="7" fillId="0" borderId="0"/>
    <xf numFmtId="0" fontId="1" fillId="0" borderId="0"/>
    <xf numFmtId="0" fontId="3" fillId="0" borderId="0"/>
    <xf numFmtId="0" fontId="3" fillId="0" borderId="0"/>
    <xf numFmtId="0" fontId="3" fillId="0" borderId="0"/>
    <xf numFmtId="0" fontId="3" fillId="0" borderId="0"/>
    <xf numFmtId="0" fontId="11" fillId="0" borderId="0"/>
    <xf numFmtId="0" fontId="3" fillId="0" borderId="0"/>
    <xf numFmtId="0" fontId="3" fillId="0" borderId="0"/>
    <xf numFmtId="0" fontId="12" fillId="0" borderId="0"/>
    <xf numFmtId="0" fontId="3" fillId="0" borderId="0"/>
    <xf numFmtId="0" fontId="7" fillId="0" borderId="0"/>
    <xf numFmtId="0" fontId="7" fillId="0" borderId="0"/>
    <xf numFmtId="0" fontId="3" fillId="0" borderId="0"/>
    <xf numFmtId="0" fontId="52" fillId="0" borderId="0"/>
    <xf numFmtId="0" fontId="52" fillId="0" borderId="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23" fillId="0" borderId="0" applyNumberFormat="0" applyBorder="0" applyProtection="0"/>
    <xf numFmtId="0" fontId="88" fillId="0" borderId="0" applyNumberFormat="0" applyBorder="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24" fillId="58" borderId="9" applyNumberForma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0" fontId="60" fillId="0" borderId="0" applyNumberFormat="0" applyFill="0" applyBorder="0" applyAlignment="0" applyProtection="0"/>
    <xf numFmtId="0" fontId="25" fillId="0" borderId="0" applyNumberFormat="0" applyFill="0" applyBorder="0" applyAlignment="0" applyProtection="0"/>
    <xf numFmtId="0" fontId="61" fillId="0" borderId="0" applyNumberFormat="0" applyFill="0" applyBorder="0" applyAlignment="0" applyProtection="0"/>
    <xf numFmtId="0" fontId="26" fillId="0" borderId="0" applyNumberFormat="0" applyFill="0" applyBorder="0" applyAlignment="0" applyProtection="0"/>
    <xf numFmtId="0" fontId="63" fillId="0" borderId="14" applyNumberFormat="0" applyFill="0" applyAlignment="0" applyProtection="0"/>
    <xf numFmtId="0" fontId="28" fillId="0" borderId="14" applyNumberFormat="0" applyFill="0" applyAlignment="0" applyProtection="0"/>
    <xf numFmtId="0" fontId="64" fillId="0" borderId="18" applyNumberFormat="0" applyFill="0" applyAlignment="0" applyProtection="0"/>
    <xf numFmtId="0" fontId="29" fillId="0" borderId="15" applyNumberFormat="0" applyFill="0" applyAlignment="0" applyProtection="0"/>
    <xf numFmtId="0" fontId="65" fillId="0" borderId="16" applyNumberFormat="0" applyFill="0" applyAlignment="0" applyProtection="0"/>
    <xf numFmtId="0" fontId="30" fillId="0" borderId="16" applyNumberFormat="0" applyFill="0" applyAlignment="0" applyProtection="0"/>
    <xf numFmtId="0" fontId="65" fillId="0" borderId="0" applyNumberFormat="0" applyFill="0" applyBorder="0" applyAlignment="0" applyProtection="0"/>
    <xf numFmtId="0" fontId="30" fillId="0" borderId="0" applyNumberFormat="0" applyFill="0" applyBorder="0" applyAlignment="0" applyProtection="0"/>
    <xf numFmtId="0" fontId="62" fillId="0" borderId="0" applyNumberFormat="0" applyFill="0" applyBorder="0" applyAlignment="0" applyProtection="0"/>
    <xf numFmtId="0" fontId="27" fillId="0" borderId="0" applyNumberFormat="0" applyFill="0" applyBorder="0" applyAlignment="0" applyProtection="0"/>
    <xf numFmtId="0" fontId="66" fillId="0" borderId="17" applyNumberFormat="0" applyFill="0" applyAlignment="0" applyProtection="0"/>
    <xf numFmtId="0" fontId="31" fillId="0" borderId="17" applyNumberFormat="0" applyFill="0" applyAlignment="0" applyProtection="0"/>
    <xf numFmtId="0" fontId="67" fillId="69" borderId="0" applyNumberFormat="0" applyBorder="0" applyAlignment="0" applyProtection="0"/>
    <xf numFmtId="0" fontId="32" fillId="69" borderId="0" applyNumberFormat="0" applyBorder="0" applyAlignment="0" applyProtection="0"/>
    <xf numFmtId="0" fontId="68" fillId="70" borderId="0" applyNumberFormat="0" applyBorder="0" applyAlignment="0" applyProtection="0"/>
    <xf numFmtId="0" fontId="33" fillId="70" borderId="0" applyNumberFormat="0" applyBorder="0" applyAlignment="0" applyProtection="0"/>
    <xf numFmtId="0" fontId="8" fillId="0" borderId="0"/>
    <xf numFmtId="0" fontId="7" fillId="0" borderId="0"/>
    <xf numFmtId="0" fontId="7" fillId="0" borderId="0"/>
    <xf numFmtId="0" fontId="7" fillId="0" borderId="0"/>
    <xf numFmtId="0" fontId="7" fillId="0" borderId="0"/>
    <xf numFmtId="165" fontId="1" fillId="0" borderId="0" applyFont="0" applyFill="0" applyBorder="0" applyAlignment="0" applyProtection="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165" fontId="1"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8" borderId="12" applyNumberFormat="0" applyFont="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43" fontId="3" fillId="0" borderId="0" applyFont="0" applyFill="0" applyBorder="0" applyAlignment="0" applyProtection="0"/>
    <xf numFmtId="165" fontId="3" fillId="0" borderId="0" applyFont="0" applyFill="0" applyBorder="0" applyAlignment="0" applyProtection="0"/>
    <xf numFmtId="0" fontId="3" fillId="0" borderId="0"/>
    <xf numFmtId="0" fontId="3" fillId="0" borderId="0"/>
    <xf numFmtId="0" fontId="3" fillId="0" borderId="0"/>
    <xf numFmtId="0" fontId="3" fillId="10"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7" fillId="0" borderId="0"/>
    <xf numFmtId="0" fontId="1" fillId="0" borderId="0"/>
    <xf numFmtId="0" fontId="7" fillId="0" borderId="0"/>
    <xf numFmtId="0" fontId="89" fillId="0" borderId="0"/>
    <xf numFmtId="0" fontId="1" fillId="0" borderId="0"/>
    <xf numFmtId="0" fontId="5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2" fillId="0" borderId="0"/>
    <xf numFmtId="9" fontId="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0" fontId="1" fillId="0" borderId="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0" fontId="12" fillId="0" borderId="0"/>
    <xf numFmtId="43" fontId="4" fillId="0" borderId="0" applyFont="0" applyFill="0" applyBorder="0" applyAlignment="0" applyProtection="0"/>
    <xf numFmtId="0" fontId="3" fillId="10"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18" borderId="0" applyNumberFormat="0" applyBorder="0" applyAlignment="0" applyProtection="0"/>
    <xf numFmtId="0" fontId="3" fillId="22" borderId="0" applyNumberFormat="0" applyBorder="0" applyAlignment="0" applyProtection="0"/>
    <xf numFmtId="0" fontId="3" fillId="22" borderId="0" applyNumberFormat="0" applyBorder="0" applyAlignment="0" applyProtection="0"/>
    <xf numFmtId="0" fontId="3" fillId="26" borderId="0" applyNumberFormat="0" applyBorder="0" applyAlignment="0" applyProtection="0"/>
    <xf numFmtId="0" fontId="3" fillId="26" borderId="0" applyNumberFormat="0" applyBorder="0" applyAlignment="0" applyProtection="0"/>
    <xf numFmtId="0" fontId="3" fillId="30" borderId="0" applyNumberFormat="0" applyBorder="0" applyAlignment="0" applyProtection="0"/>
    <xf numFmtId="0" fontId="3" fillId="30" borderId="0" applyNumberForma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4" fillId="71"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4"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3"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4" fillId="72"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6"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5"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4" fillId="73"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8"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7"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4" fillId="74"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40"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39"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4" fillId="75"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1"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4"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11" fillId="42" borderId="0" applyNumberFormat="0" applyFont="0" applyBorder="0" applyAlignment="0" applyProtection="0"/>
    <xf numFmtId="0" fontId="3" fillId="11"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5"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3" borderId="0" applyNumberFormat="0" applyBorder="0" applyAlignment="0" applyProtection="0"/>
    <xf numFmtId="0" fontId="3" fillId="23" borderId="0" applyNumberFormat="0" applyBorder="0" applyAlignment="0" applyProtection="0"/>
    <xf numFmtId="0" fontId="3" fillId="27" borderId="0" applyNumberFormat="0" applyBorder="0" applyAlignment="0" applyProtection="0"/>
    <xf numFmtId="0" fontId="3" fillId="27" borderId="0" applyNumberFormat="0" applyBorder="0" applyAlignment="0" applyProtection="0"/>
    <xf numFmtId="0" fontId="3" fillId="31" borderId="0" applyNumberFormat="0" applyBorder="0" applyAlignment="0" applyProtection="0"/>
    <xf numFmtId="0" fontId="3" fillId="31" borderId="0" applyNumberForma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4"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3"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4" fillId="76"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4"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4" fillId="77"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6"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5"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4"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7"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4" fillId="7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8"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4"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0" fontId="11" fillId="49" borderId="0" applyNumberFormat="0" applyFont="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166" fontId="11" fillId="0" borderId="0" applyFont="0" applyFill="0" applyBorder="0" applyAlignment="0" applyProtection="0"/>
    <xf numFmtId="43"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168" fontId="4"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165"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43"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0" fontId="14" fillId="0" borderId="0" applyNumberFormat="0" applyFill="0" applyBorder="0" applyAlignment="0" applyProtection="0">
      <alignment vertical="top"/>
      <protection locked="0"/>
    </xf>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167" fontId="11" fillId="0" borderId="0" applyFont="0" applyFill="0" applyBorder="0" applyAlignment="0" applyProtection="0"/>
    <xf numFmtId="0" fontId="3" fillId="0" borderId="0"/>
    <xf numFmtId="0" fontId="3" fillId="0" borderId="0"/>
    <xf numFmtId="0" fontId="8" fillId="0" borderId="0"/>
    <xf numFmtId="0" fontId="7" fillId="0" borderId="0"/>
    <xf numFmtId="0" fontId="1" fillId="0" borderId="0"/>
    <xf numFmtId="0" fontId="1" fillId="0" borderId="0"/>
    <xf numFmtId="0" fontId="3" fillId="0" borderId="0"/>
    <xf numFmtId="0" fontId="3" fillId="0" borderId="0"/>
    <xf numFmtId="0" fontId="1" fillId="0" borderId="0"/>
    <xf numFmtId="0" fontId="3"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1" fillId="0" borderId="0"/>
    <xf numFmtId="0" fontId="1" fillId="0" borderId="0"/>
    <xf numFmtId="0" fontId="7" fillId="0" borderId="0"/>
    <xf numFmtId="0" fontId="1"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4"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11" fillId="0" borderId="0" applyNumberFormat="0" applyFont="0" applyBorder="0" applyProtection="0"/>
    <xf numFmtId="0" fontId="3" fillId="0" borderId="0"/>
    <xf numFmtId="0" fontId="3" fillId="0" borderId="0"/>
    <xf numFmtId="0" fontId="16" fillId="0" borderId="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4"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6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0" fontId="11" fillId="8" borderId="12" applyNumberFormat="0" applyFont="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1"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86" fillId="0" borderId="0" applyNumberFormat="0" applyFill="0" applyBorder="0" applyAlignment="0" applyProtection="0"/>
    <xf numFmtId="0" fontId="86" fillId="0" borderId="0" applyNumberFormat="0" applyFill="0" applyBorder="0" applyAlignment="0" applyProtection="0"/>
    <xf numFmtId="0" fontId="1" fillId="0" borderId="0"/>
    <xf numFmtId="0" fontId="1" fillId="0" borderId="0"/>
    <xf numFmtId="0" fontId="1" fillId="0" borderId="0"/>
    <xf numFmtId="0" fontId="5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0" fontId="1" fillId="0" borderId="0"/>
    <xf numFmtId="0" fontId="1" fillId="0" borderId="0"/>
    <xf numFmtId="0" fontId="1" fillId="0" borderId="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0" fontId="1" fillId="0" borderId="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165" fontId="4" fillId="0" borderId="0" applyFont="0" applyFill="0" applyBorder="0" applyAlignment="0" applyProtection="0"/>
    <xf numFmtId="165" fontId="11" fillId="0" borderId="0" applyFont="0" applyFill="0" applyBorder="0" applyAlignment="0" applyProtection="0"/>
    <xf numFmtId="0" fontId="1" fillId="0" borderId="0"/>
  </cellStyleXfs>
  <cellXfs count="123">
    <xf numFmtId="0" fontId="0" fillId="0" borderId="0" xfId="0"/>
    <xf numFmtId="9" fontId="5" fillId="0" borderId="1" xfId="1" applyFont="1" applyFill="1" applyBorder="1" applyAlignment="1">
      <alignment horizontal="center" wrapText="1"/>
    </xf>
    <xf numFmtId="9" fontId="5" fillId="0" borderId="1" xfId="5" applyFont="1" applyFill="1" applyBorder="1" applyAlignment="1">
      <alignment horizontal="center" wrapText="1"/>
    </xf>
    <xf numFmtId="9" fontId="5" fillId="0" borderId="1" xfId="15" applyFont="1" applyFill="1" applyBorder="1" applyAlignment="1">
      <alignment horizontal="center" wrapText="1"/>
    </xf>
    <xf numFmtId="9" fontId="6" fillId="0" borderId="1" xfId="13" applyFont="1" applyFill="1" applyBorder="1" applyAlignment="1">
      <alignment horizontal="center" wrapText="1"/>
    </xf>
    <xf numFmtId="9" fontId="5" fillId="0" borderId="1" xfId="13" applyFont="1" applyFill="1" applyBorder="1" applyAlignment="1">
      <alignment horizontal="center" wrapText="1"/>
    </xf>
    <xf numFmtId="9" fontId="5" fillId="0" borderId="1" xfId="19" applyFont="1" applyFill="1" applyBorder="1" applyAlignment="1">
      <alignment horizontal="center" wrapText="1"/>
    </xf>
    <xf numFmtId="9" fontId="5" fillId="0" borderId="1" xfId="20" applyFont="1" applyFill="1" applyBorder="1" applyAlignment="1">
      <alignment horizontal="center" wrapText="1"/>
    </xf>
    <xf numFmtId="0" fontId="5" fillId="0" borderId="1" xfId="16" applyFont="1" applyFill="1" applyBorder="1" applyAlignment="1" applyProtection="1">
      <alignment horizontal="left" wrapText="1"/>
    </xf>
    <xf numFmtId="9" fontId="5" fillId="0" borderId="1" xfId="27" applyFont="1" applyFill="1" applyBorder="1" applyAlignment="1">
      <alignment horizontal="center" wrapText="1"/>
    </xf>
    <xf numFmtId="0" fontId="5" fillId="0" borderId="1" xfId="0" applyFont="1" applyFill="1" applyBorder="1" applyAlignment="1">
      <alignment horizontal="center" wrapText="1"/>
    </xf>
    <xf numFmtId="4" fontId="5" fillId="0" borderId="1" xfId="0" applyNumberFormat="1" applyFont="1" applyFill="1" applyBorder="1" applyAlignment="1">
      <alignment horizontal="center" wrapText="1"/>
    </xf>
    <xf numFmtId="9" fontId="5" fillId="0" borderId="1" xfId="0" applyNumberFormat="1" applyFont="1" applyFill="1" applyBorder="1" applyAlignment="1">
      <alignment horizontal="center" wrapText="1"/>
    </xf>
    <xf numFmtId="0" fontId="5" fillId="0" borderId="1" xfId="0" applyFont="1" applyFill="1" applyBorder="1" applyAlignment="1">
      <alignment horizontal="left" wrapText="1"/>
    </xf>
    <xf numFmtId="0" fontId="5" fillId="0" borderId="2" xfId="0" applyFont="1" applyFill="1" applyBorder="1" applyAlignment="1">
      <alignment horizontal="left" wrapText="1"/>
    </xf>
    <xf numFmtId="0" fontId="5" fillId="0" borderId="1" xfId="23" applyFont="1" applyFill="1" applyBorder="1" applyAlignment="1">
      <alignment horizontal="left" wrapText="1"/>
    </xf>
    <xf numFmtId="0" fontId="5" fillId="0" borderId="1" xfId="2" applyFont="1" applyFill="1" applyBorder="1" applyAlignment="1">
      <alignment horizontal="left" wrapText="1"/>
    </xf>
    <xf numFmtId="0" fontId="5" fillId="0" borderId="1" xfId="3" applyFont="1" applyFill="1" applyBorder="1" applyAlignment="1">
      <alignment horizontal="left" wrapText="1"/>
    </xf>
    <xf numFmtId="49" fontId="5" fillId="0" borderId="1" xfId="7" applyNumberFormat="1" applyFont="1" applyFill="1" applyBorder="1" applyAlignment="1">
      <alignment horizontal="left" wrapText="1"/>
    </xf>
    <xf numFmtId="9" fontId="5" fillId="0" borderId="1" xfId="3" applyNumberFormat="1" applyFont="1" applyFill="1" applyBorder="1" applyAlignment="1">
      <alignment horizontal="center" wrapText="1"/>
    </xf>
    <xf numFmtId="4" fontId="5" fillId="0" borderId="1" xfId="2" applyNumberFormat="1" applyFont="1" applyFill="1" applyBorder="1" applyAlignment="1">
      <alignment horizontal="center" wrapText="1"/>
    </xf>
    <xf numFmtId="0" fontId="5" fillId="0" borderId="1" xfId="2" applyFont="1" applyFill="1" applyBorder="1" applyAlignment="1">
      <alignment horizontal="center" wrapText="1"/>
    </xf>
    <xf numFmtId="49" fontId="5" fillId="0" borderId="1" xfId="7" applyNumberFormat="1" applyFont="1" applyFill="1" applyBorder="1" applyAlignment="1">
      <alignment horizontal="center" wrapText="1"/>
    </xf>
    <xf numFmtId="0" fontId="5" fillId="0" borderId="1" xfId="11" applyFont="1" applyFill="1" applyBorder="1" applyAlignment="1">
      <alignment horizontal="center" wrapText="1"/>
    </xf>
    <xf numFmtId="0" fontId="6" fillId="0" borderId="1" xfId="2" applyFont="1" applyFill="1" applyBorder="1" applyAlignment="1">
      <alignment horizontal="center" wrapText="1"/>
    </xf>
    <xf numFmtId="0" fontId="5" fillId="0" borderId="1" xfId="3" applyFont="1" applyFill="1" applyBorder="1" applyAlignment="1">
      <alignment horizontal="center" wrapText="1"/>
    </xf>
    <xf numFmtId="0" fontId="5" fillId="0" borderId="0" xfId="0" applyFont="1" applyFill="1" applyAlignment="1">
      <alignment wrapText="1"/>
    </xf>
    <xf numFmtId="49" fontId="5" fillId="0" borderId="1" xfId="22" applyNumberFormat="1" applyFont="1" applyFill="1" applyBorder="1" applyAlignment="1">
      <alignment horizontal="center" wrapText="1"/>
    </xf>
    <xf numFmtId="9" fontId="5" fillId="0" borderId="2" xfId="0" applyNumberFormat="1" applyFont="1" applyFill="1" applyBorder="1" applyAlignment="1">
      <alignment horizontal="center" wrapText="1"/>
    </xf>
    <xf numFmtId="0" fontId="5" fillId="0" borderId="1" xfId="23" applyFont="1" applyFill="1" applyBorder="1" applyAlignment="1">
      <alignment horizontal="center" wrapText="1"/>
    </xf>
    <xf numFmtId="0" fontId="6" fillId="0" borderId="1" xfId="0" applyFont="1" applyFill="1" applyBorder="1" applyAlignment="1">
      <alignment horizontal="center" wrapText="1"/>
    </xf>
    <xf numFmtId="4" fontId="2" fillId="0" borderId="1" xfId="2" applyNumberFormat="1" applyFont="1" applyFill="1" applyBorder="1" applyAlignment="1">
      <alignment horizontal="center" wrapText="1"/>
    </xf>
    <xf numFmtId="2" fontId="5" fillId="0" borderId="1" xfId="0" applyNumberFormat="1" applyFont="1" applyFill="1" applyBorder="1" applyAlignment="1">
      <alignment horizontal="center" wrapText="1"/>
    </xf>
    <xf numFmtId="4" fontId="5" fillId="0" borderId="1" xfId="10" applyNumberFormat="1" applyFont="1" applyFill="1" applyBorder="1" applyAlignment="1">
      <alignment horizontal="center" wrapText="1"/>
    </xf>
    <xf numFmtId="4" fontId="5" fillId="0" borderId="1" xfId="18" applyNumberFormat="1" applyFont="1" applyFill="1" applyBorder="1" applyAlignment="1">
      <alignment horizontal="center" wrapText="1"/>
    </xf>
    <xf numFmtId="4" fontId="5" fillId="0" borderId="1" xfId="3" applyNumberFormat="1" applyFont="1" applyFill="1" applyBorder="1" applyAlignment="1">
      <alignment horizontal="center" wrapText="1"/>
    </xf>
    <xf numFmtId="4" fontId="5" fillId="0" borderId="1" xfId="4" applyNumberFormat="1" applyFont="1" applyFill="1" applyBorder="1" applyAlignment="1">
      <alignment horizontal="center" wrapText="1"/>
    </xf>
    <xf numFmtId="2" fontId="5" fillId="0" borderId="1" xfId="2" applyNumberFormat="1" applyFont="1" applyFill="1" applyBorder="1" applyAlignment="1">
      <alignment horizontal="center" wrapText="1"/>
    </xf>
    <xf numFmtId="0" fontId="5" fillId="0" borderId="1" xfId="8" applyFont="1" applyFill="1" applyBorder="1" applyAlignment="1">
      <alignment horizontal="center" wrapText="1"/>
    </xf>
    <xf numFmtId="4" fontId="5" fillId="0" borderId="1" xfId="0" quotePrefix="1" applyNumberFormat="1" applyFont="1" applyFill="1" applyBorder="1" applyAlignment="1">
      <alignment horizontal="center" wrapText="1"/>
    </xf>
    <xf numFmtId="2" fontId="5" fillId="0" borderId="1" xfId="3" applyNumberFormat="1" applyFont="1" applyFill="1" applyBorder="1" applyAlignment="1">
      <alignment horizontal="center" wrapText="1"/>
    </xf>
    <xf numFmtId="4" fontId="5" fillId="0" borderId="1" xfId="7" applyNumberFormat="1" applyFont="1" applyFill="1" applyBorder="1" applyAlignment="1">
      <alignment horizontal="center" wrapText="1"/>
    </xf>
    <xf numFmtId="4" fontId="5" fillId="0" borderId="1" xfId="22" applyNumberFormat="1" applyFont="1" applyFill="1" applyBorder="1" applyAlignment="1">
      <alignment horizontal="center" wrapText="1"/>
    </xf>
    <xf numFmtId="2" fontId="2" fillId="0" borderId="1" xfId="2" applyNumberFormat="1" applyFont="1" applyFill="1" applyBorder="1" applyAlignment="1">
      <alignment horizontal="center" wrapText="1"/>
    </xf>
    <xf numFmtId="49" fontId="2" fillId="0" borderId="1" xfId="0" applyNumberFormat="1" applyFont="1" applyFill="1" applyBorder="1" applyAlignment="1">
      <alignment horizontal="center" wrapText="1"/>
    </xf>
    <xf numFmtId="0" fontId="2" fillId="0" borderId="1" xfId="0" applyFont="1" applyFill="1" applyBorder="1" applyAlignment="1">
      <alignment horizontal="center" wrapText="1"/>
    </xf>
    <xf numFmtId="49" fontId="5" fillId="0" borderId="1" xfId="0" applyNumberFormat="1" applyFont="1" applyFill="1" applyBorder="1" applyAlignment="1">
      <alignment horizontal="left" wrapText="1"/>
    </xf>
    <xf numFmtId="0" fontId="5" fillId="0" borderId="1" xfId="4" applyFont="1" applyFill="1" applyBorder="1" applyAlignment="1">
      <alignment horizontal="center" wrapText="1"/>
    </xf>
    <xf numFmtId="49" fontId="5" fillId="0" borderId="1" xfId="2" applyNumberFormat="1" applyFont="1" applyFill="1" applyBorder="1" applyAlignment="1">
      <alignment horizontal="left" wrapText="1"/>
    </xf>
    <xf numFmtId="49" fontId="6" fillId="0" borderId="1" xfId="2" applyNumberFormat="1" applyFont="1" applyFill="1" applyBorder="1" applyAlignment="1">
      <alignment horizontal="left" wrapText="1"/>
    </xf>
    <xf numFmtId="0" fontId="6" fillId="0" borderId="1" xfId="2" applyFont="1" applyFill="1" applyBorder="1" applyAlignment="1">
      <alignment horizontal="left" wrapText="1"/>
    </xf>
    <xf numFmtId="0" fontId="6" fillId="0" borderId="1" xfId="0" applyFont="1" applyFill="1" applyBorder="1" applyAlignment="1">
      <alignment horizontal="left" wrapText="1"/>
    </xf>
    <xf numFmtId="9" fontId="6" fillId="0" borderId="1" xfId="0" applyNumberFormat="1" applyFont="1" applyFill="1" applyBorder="1" applyAlignment="1">
      <alignment horizontal="center" wrapText="1"/>
    </xf>
    <xf numFmtId="0" fontId="5" fillId="0" borderId="1" xfId="6" applyFont="1" applyFill="1" applyBorder="1" applyAlignment="1">
      <alignment horizontal="left" wrapText="1"/>
    </xf>
    <xf numFmtId="0" fontId="5" fillId="0" borderId="1" xfId="6" applyFont="1" applyFill="1" applyBorder="1" applyAlignment="1">
      <alignment horizontal="center" wrapText="1"/>
    </xf>
    <xf numFmtId="0" fontId="6" fillId="0" borderId="2" xfId="0" applyFont="1" applyFill="1" applyBorder="1" applyAlignment="1">
      <alignment horizontal="left" wrapText="1"/>
    </xf>
    <xf numFmtId="0" fontId="5" fillId="0" borderId="1" xfId="7" applyFont="1" applyFill="1" applyBorder="1" applyAlignment="1">
      <alignment horizontal="left" wrapText="1"/>
    </xf>
    <xf numFmtId="0" fontId="5" fillId="0" borderId="1" xfId="7" applyFont="1" applyFill="1" applyBorder="1" applyAlignment="1">
      <alignment horizontal="center" wrapText="1"/>
    </xf>
    <xf numFmtId="49" fontId="6" fillId="0" borderId="1" xfId="0" applyNumberFormat="1" applyFont="1" applyFill="1" applyBorder="1" applyAlignment="1">
      <alignment horizontal="left" wrapText="1"/>
    </xf>
    <xf numFmtId="0" fontId="6" fillId="0" borderId="1" xfId="53" applyFont="1" applyFill="1" applyBorder="1" applyAlignment="1">
      <alignment horizontal="left" wrapText="1"/>
    </xf>
    <xf numFmtId="0" fontId="6" fillId="0" borderId="1" xfId="53" applyFont="1" applyFill="1" applyBorder="1" applyAlignment="1">
      <alignment horizontal="center" wrapText="1"/>
    </xf>
    <xf numFmtId="49" fontId="5" fillId="0" borderId="1" xfId="0" applyNumberFormat="1" applyFont="1" applyFill="1" applyBorder="1" applyAlignment="1">
      <alignment horizontal="center" wrapText="1"/>
    </xf>
    <xf numFmtId="164" fontId="5" fillId="0" borderId="1" xfId="0" applyNumberFormat="1" applyFont="1" applyFill="1" applyBorder="1" applyAlignment="1">
      <alignment horizontal="left" wrapText="1"/>
    </xf>
    <xf numFmtId="164" fontId="5" fillId="0" borderId="1" xfId="0" applyNumberFormat="1" applyFont="1" applyFill="1" applyBorder="1" applyAlignment="1">
      <alignment horizontal="center" wrapText="1"/>
    </xf>
    <xf numFmtId="0" fontId="5" fillId="0" borderId="1" xfId="11" applyFont="1" applyFill="1" applyBorder="1" applyAlignment="1">
      <alignment horizontal="left" wrapText="1"/>
    </xf>
    <xf numFmtId="0" fontId="5" fillId="0" borderId="1" xfId="9" applyFont="1" applyFill="1" applyBorder="1" applyAlignment="1">
      <alignment horizontal="center" wrapText="1"/>
    </xf>
    <xf numFmtId="1" fontId="5" fillId="0" borderId="1" xfId="0" applyNumberFormat="1" applyFont="1" applyFill="1" applyBorder="1" applyAlignment="1">
      <alignment horizontal="left" wrapText="1"/>
    </xf>
    <xf numFmtId="1" fontId="6" fillId="0" borderId="1" xfId="0" applyNumberFormat="1" applyFont="1" applyFill="1" applyBorder="1" applyAlignment="1">
      <alignment horizontal="left" wrapText="1"/>
    </xf>
    <xf numFmtId="4" fontId="5" fillId="0" borderId="1" xfId="0" applyNumberFormat="1" applyFont="1" applyFill="1" applyBorder="1" applyAlignment="1">
      <alignment horizontal="left" wrapText="1"/>
    </xf>
    <xf numFmtId="49" fontId="6" fillId="0" borderId="1" xfId="0" applyNumberFormat="1" applyFont="1" applyFill="1" applyBorder="1" applyAlignment="1">
      <alignment horizontal="center" wrapText="1"/>
    </xf>
    <xf numFmtId="0" fontId="5" fillId="0" borderId="1" xfId="53" applyFont="1" applyFill="1" applyBorder="1" applyAlignment="1">
      <alignment horizontal="left" wrapText="1"/>
    </xf>
    <xf numFmtId="0" fontId="5" fillId="0" borderId="1" xfId="53" applyFont="1" applyFill="1" applyBorder="1" applyAlignment="1">
      <alignment horizontal="center" wrapText="1"/>
    </xf>
    <xf numFmtId="0" fontId="5" fillId="0" borderId="1" xfId="17" applyFont="1" applyFill="1" applyBorder="1" applyAlignment="1">
      <alignment horizontal="center" wrapText="1"/>
    </xf>
    <xf numFmtId="0" fontId="5" fillId="0" borderId="1" xfId="18" applyFont="1" applyFill="1" applyBorder="1" applyAlignment="1">
      <alignment horizontal="left" wrapText="1"/>
    </xf>
    <xf numFmtId="0" fontId="5" fillId="0" borderId="1" xfId="18" applyFont="1" applyFill="1" applyBorder="1" applyAlignment="1">
      <alignment horizontal="center" wrapText="1"/>
    </xf>
    <xf numFmtId="49" fontId="5" fillId="0" borderId="1" xfId="11" applyNumberFormat="1" applyFont="1" applyFill="1" applyBorder="1" applyAlignment="1">
      <alignment horizontal="left" wrapText="1"/>
    </xf>
    <xf numFmtId="0" fontId="5" fillId="0" borderId="1" xfId="4" applyFont="1" applyFill="1" applyBorder="1" applyAlignment="1">
      <alignment horizontal="left" wrapText="1"/>
    </xf>
    <xf numFmtId="2" fontId="5" fillId="0" borderId="1" xfId="4" applyNumberFormat="1" applyFont="1" applyFill="1" applyBorder="1" applyAlignment="1">
      <alignment horizontal="left" wrapText="1"/>
    </xf>
    <xf numFmtId="2" fontId="5" fillId="0" borderId="1" xfId="4" applyNumberFormat="1" applyFont="1" applyFill="1" applyBorder="1" applyAlignment="1">
      <alignment horizontal="center" wrapText="1"/>
    </xf>
    <xf numFmtId="2" fontId="5" fillId="0" borderId="1" xfId="2" applyNumberFormat="1" applyFont="1" applyFill="1" applyBorder="1" applyAlignment="1">
      <alignment horizontal="left" wrapText="1"/>
    </xf>
    <xf numFmtId="49" fontId="5" fillId="0" borderId="1" xfId="3" applyNumberFormat="1" applyFont="1" applyFill="1" applyBorder="1" applyAlignment="1">
      <alignment horizontal="left" wrapText="1"/>
    </xf>
    <xf numFmtId="164" fontId="5" fillId="0" borderId="1" xfId="3" applyNumberFormat="1" applyFont="1" applyFill="1" applyBorder="1" applyAlignment="1">
      <alignment horizontal="left" wrapText="1"/>
    </xf>
    <xf numFmtId="49" fontId="5" fillId="0" borderId="1" xfId="3" applyNumberFormat="1" applyFont="1" applyFill="1" applyBorder="1" applyAlignment="1">
      <alignment horizontal="center" wrapText="1"/>
    </xf>
    <xf numFmtId="49" fontId="5" fillId="0" borderId="1" xfId="2" applyNumberFormat="1" applyFont="1" applyFill="1" applyBorder="1" applyAlignment="1">
      <alignment horizontal="center" wrapText="1"/>
    </xf>
    <xf numFmtId="49" fontId="5" fillId="0" borderId="1" xfId="4" applyNumberFormat="1" applyFont="1" applyFill="1" applyBorder="1" applyAlignment="1">
      <alignment horizontal="left" wrapText="1"/>
    </xf>
    <xf numFmtId="164" fontId="5" fillId="0" borderId="1" xfId="4" applyNumberFormat="1" applyFont="1" applyFill="1" applyBorder="1" applyAlignment="1">
      <alignment horizontal="left" wrapText="1"/>
    </xf>
    <xf numFmtId="164" fontId="5" fillId="0" borderId="1" xfId="4" applyNumberFormat="1" applyFont="1" applyFill="1" applyBorder="1" applyAlignment="1">
      <alignment horizontal="center" wrapText="1"/>
    </xf>
    <xf numFmtId="49" fontId="5" fillId="0" borderId="1" xfId="4" applyNumberFormat="1" applyFont="1" applyFill="1" applyBorder="1" applyAlignment="1">
      <alignment horizontal="center" wrapText="1"/>
    </xf>
    <xf numFmtId="0" fontId="5" fillId="0" borderId="1" xfId="21" applyFont="1" applyFill="1" applyBorder="1" applyAlignment="1">
      <alignment horizontal="left" wrapText="1"/>
    </xf>
    <xf numFmtId="9" fontId="5" fillId="0" borderId="1" xfId="4" applyNumberFormat="1" applyFont="1" applyFill="1" applyBorder="1" applyAlignment="1">
      <alignment horizontal="left" wrapText="1"/>
    </xf>
    <xf numFmtId="2" fontId="5" fillId="0" borderId="1" xfId="3" applyNumberFormat="1" applyFont="1" applyFill="1" applyBorder="1" applyAlignment="1">
      <alignment horizontal="left" wrapText="1"/>
    </xf>
    <xf numFmtId="2" fontId="5" fillId="0" borderId="1" xfId="22" applyNumberFormat="1" applyFont="1" applyFill="1" applyBorder="1" applyAlignment="1">
      <alignment horizontal="left" wrapText="1"/>
    </xf>
    <xf numFmtId="9" fontId="5" fillId="0" borderId="1" xfId="0" applyNumberFormat="1" applyFont="1" applyFill="1" applyBorder="1" applyAlignment="1">
      <alignment horizontal="left" wrapText="1"/>
    </xf>
    <xf numFmtId="0" fontId="5" fillId="0" borderId="2" xfId="0" applyFont="1" applyFill="1" applyBorder="1" applyAlignment="1">
      <alignment horizontal="center" wrapText="1"/>
    </xf>
    <xf numFmtId="164" fontId="5" fillId="0" borderId="2" xfId="0" applyNumberFormat="1" applyFont="1" applyFill="1" applyBorder="1" applyAlignment="1">
      <alignment horizontal="left" wrapText="1"/>
    </xf>
    <xf numFmtId="49" fontId="5" fillId="0" borderId="3" xfId="0" applyNumberFormat="1" applyFont="1" applyFill="1" applyBorder="1" applyAlignment="1">
      <alignment horizontal="center" wrapText="1"/>
    </xf>
    <xf numFmtId="9" fontId="5" fillId="0" borderId="3" xfId="0" applyNumberFormat="1" applyFont="1" applyFill="1" applyBorder="1" applyAlignment="1">
      <alignment horizontal="center" wrapText="1"/>
    </xf>
    <xf numFmtId="49" fontId="5" fillId="0" borderId="3" xfId="0" applyNumberFormat="1" applyFont="1" applyFill="1" applyBorder="1" applyAlignment="1">
      <alignment horizontal="left" wrapText="1"/>
    </xf>
    <xf numFmtId="4" fontId="5" fillId="0" borderId="1" xfId="8" applyNumberFormat="1" applyFont="1" applyFill="1" applyBorder="1" applyAlignment="1">
      <alignment horizontal="left" wrapText="1"/>
    </xf>
    <xf numFmtId="4" fontId="5" fillId="0" borderId="1" xfId="8" applyNumberFormat="1" applyFont="1" applyFill="1" applyBorder="1" applyAlignment="1">
      <alignment horizontal="center" wrapText="1"/>
    </xf>
    <xf numFmtId="9" fontId="5" fillId="0" borderId="3" xfId="0" applyNumberFormat="1" applyFont="1" applyFill="1" applyBorder="1" applyAlignment="1">
      <alignment horizontal="left" wrapText="1"/>
    </xf>
    <xf numFmtId="0" fontId="5" fillId="0" borderId="1" xfId="22" applyFont="1" applyFill="1" applyBorder="1" applyAlignment="1">
      <alignment horizontal="center" wrapText="1"/>
    </xf>
    <xf numFmtId="0" fontId="5" fillId="0" borderId="0" xfId="0" applyFont="1" applyFill="1" applyAlignment="1">
      <alignment horizontal="left" wrapText="1"/>
    </xf>
    <xf numFmtId="0" fontId="5" fillId="0" borderId="0" xfId="0" applyFont="1" applyFill="1" applyAlignment="1">
      <alignment horizontal="center" wrapText="1"/>
    </xf>
    <xf numFmtId="0" fontId="2" fillId="0" borderId="0" xfId="0" applyFont="1" applyFill="1" applyAlignment="1">
      <alignment horizontal="center" wrapText="1"/>
    </xf>
    <xf numFmtId="9" fontId="5" fillId="0" borderId="1" xfId="2" applyNumberFormat="1" applyFont="1" applyFill="1" applyBorder="1" applyAlignment="1">
      <alignment horizontal="center" wrapText="1"/>
    </xf>
    <xf numFmtId="0" fontId="6" fillId="0" borderId="0" xfId="0" applyFont="1" applyFill="1" applyAlignment="1">
      <alignment wrapText="1"/>
    </xf>
    <xf numFmtId="49" fontId="5" fillId="0" borderId="0" xfId="0" applyNumberFormat="1" applyFont="1" applyFill="1" applyAlignment="1">
      <alignment wrapText="1"/>
    </xf>
    <xf numFmtId="4" fontId="5" fillId="0" borderId="1" xfId="52" applyNumberFormat="1" applyFont="1" applyFill="1" applyBorder="1" applyAlignment="1">
      <alignment horizontal="center" wrapText="1"/>
    </xf>
    <xf numFmtId="0" fontId="5" fillId="0" borderId="1" xfId="14" applyFont="1" applyFill="1" applyBorder="1" applyAlignment="1">
      <alignment horizontal="center" wrapText="1"/>
    </xf>
    <xf numFmtId="4" fontId="5" fillId="0" borderId="1" xfId="11" applyNumberFormat="1" applyFont="1" applyFill="1" applyBorder="1" applyAlignment="1">
      <alignment horizontal="center" wrapText="1"/>
    </xf>
    <xf numFmtId="0" fontId="5" fillId="0" borderId="4" xfId="12" applyFont="1" applyFill="1" applyBorder="1" applyAlignment="1">
      <alignment horizontal="center" wrapText="1"/>
    </xf>
    <xf numFmtId="0" fontId="5" fillId="0" borderId="1" xfId="12" applyFont="1" applyFill="1" applyBorder="1" applyAlignment="1">
      <alignment horizontal="center" wrapText="1"/>
    </xf>
    <xf numFmtId="9" fontId="5" fillId="0" borderId="1" xfId="7" applyNumberFormat="1" applyFont="1" applyFill="1" applyBorder="1" applyAlignment="1">
      <alignment horizontal="center" wrapText="1"/>
    </xf>
    <xf numFmtId="4" fontId="5" fillId="0" borderId="3" xfId="0" applyNumberFormat="1" applyFont="1" applyFill="1" applyBorder="1" applyAlignment="1">
      <alignment horizontal="center" wrapText="1"/>
    </xf>
    <xf numFmtId="4" fontId="5" fillId="0" borderId="2" xfId="0" applyNumberFormat="1" applyFont="1" applyFill="1" applyBorder="1" applyAlignment="1">
      <alignment horizontal="center" wrapText="1"/>
    </xf>
    <xf numFmtId="49" fontId="5" fillId="0" borderId="3" xfId="24" applyNumberFormat="1" applyFont="1" applyFill="1" applyBorder="1" applyAlignment="1">
      <alignment horizontal="center" wrapText="1"/>
    </xf>
    <xf numFmtId="4" fontId="5" fillId="0" borderId="1" xfId="25" applyNumberFormat="1" applyFont="1" applyFill="1" applyBorder="1" applyAlignment="1">
      <alignment horizontal="center" wrapText="1"/>
    </xf>
    <xf numFmtId="4" fontId="5" fillId="0" borderId="1" xfId="26" applyNumberFormat="1" applyFont="1" applyFill="1" applyBorder="1" applyAlignment="1">
      <alignment horizontal="center" wrapText="1"/>
    </xf>
    <xf numFmtId="4" fontId="5" fillId="0" borderId="0" xfId="0" applyNumberFormat="1" applyFont="1" applyFill="1" applyAlignment="1">
      <alignment horizontal="center" wrapText="1"/>
    </xf>
    <xf numFmtId="49" fontId="5" fillId="0" borderId="1" xfId="23" applyNumberFormat="1" applyFont="1" applyFill="1" applyBorder="1" applyAlignment="1">
      <alignment horizontal="left" wrapText="1"/>
    </xf>
    <xf numFmtId="0" fontId="10" fillId="0" borderId="1" xfId="0" applyFont="1" applyFill="1" applyBorder="1" applyAlignment="1">
      <alignment horizontal="left" wrapText="1"/>
    </xf>
    <xf numFmtId="4" fontId="5" fillId="0" borderId="1" xfId="3" applyNumberFormat="1" applyFont="1" applyFill="1" applyBorder="1" applyAlignment="1">
      <alignment horizontal="left" wrapText="1"/>
    </xf>
  </cellXfs>
  <cellStyles count="12291">
    <cellStyle name="20% - Accent1 2" xfId="231" xr:uid="{00000000-0005-0000-0000-000000000000}"/>
    <cellStyle name="20% - Accent1 2 10" xfId="382" xr:uid="{00000000-0005-0000-0000-000001000000}"/>
    <cellStyle name="20% - Accent1 2 10 2" xfId="383" xr:uid="{00000000-0005-0000-0000-000002000000}"/>
    <cellStyle name="20% - Accent1 2 11" xfId="384" xr:uid="{00000000-0005-0000-0000-000003000000}"/>
    <cellStyle name="20% - Accent1 2 11 2" xfId="385" xr:uid="{00000000-0005-0000-0000-000004000000}"/>
    <cellStyle name="20% - Accent1 2 12" xfId="386" xr:uid="{00000000-0005-0000-0000-000005000000}"/>
    <cellStyle name="20% - Accent1 2 12 2" xfId="387" xr:uid="{00000000-0005-0000-0000-000006000000}"/>
    <cellStyle name="20% - Accent1 2 13" xfId="388" xr:uid="{00000000-0005-0000-0000-000007000000}"/>
    <cellStyle name="20% - Accent1 2 13 2" xfId="389" xr:uid="{00000000-0005-0000-0000-000008000000}"/>
    <cellStyle name="20% - Accent1 2 14" xfId="390" xr:uid="{00000000-0005-0000-0000-000009000000}"/>
    <cellStyle name="20% - Accent1 2 14 2" xfId="391" xr:uid="{00000000-0005-0000-0000-00000A000000}"/>
    <cellStyle name="20% - Accent1 2 15" xfId="392" xr:uid="{00000000-0005-0000-0000-00000B000000}"/>
    <cellStyle name="20% - Accent1 2 15 2" xfId="393" xr:uid="{00000000-0005-0000-0000-00000C000000}"/>
    <cellStyle name="20% - Accent1 2 16" xfId="394" xr:uid="{00000000-0005-0000-0000-00000D000000}"/>
    <cellStyle name="20% - Accent1 2 16 2" xfId="395" xr:uid="{00000000-0005-0000-0000-00000E000000}"/>
    <cellStyle name="20% - Accent1 2 17" xfId="396" xr:uid="{00000000-0005-0000-0000-00000F000000}"/>
    <cellStyle name="20% - Accent1 2 17 2" xfId="397" xr:uid="{00000000-0005-0000-0000-000010000000}"/>
    <cellStyle name="20% - Accent1 2 18" xfId="2434" xr:uid="{00000000-0005-0000-0000-000011000000}"/>
    <cellStyle name="20% - Accent1 2 18 2" xfId="2822" xr:uid="{00000000-0005-0000-0000-000011000000}"/>
    <cellStyle name="20% - Accent1 2 19" xfId="2747" xr:uid="{00000000-0005-0000-0000-000000000000}"/>
    <cellStyle name="20% - Accent1 2 2" xfId="359" xr:uid="{00000000-0005-0000-0000-000012000000}"/>
    <cellStyle name="20% - Accent1 2 2 2" xfId="399" xr:uid="{00000000-0005-0000-0000-000013000000}"/>
    <cellStyle name="20% - Accent1 2 2 3" xfId="398" xr:uid="{00000000-0005-0000-0000-000014000000}"/>
    <cellStyle name="20% - Accent1 2 2 4" xfId="2772" xr:uid="{00000000-0005-0000-0000-000001000000}"/>
    <cellStyle name="20% - Accent1 2 2 5" xfId="11684" xr:uid="{00000000-0005-0000-0000-000018000000}"/>
    <cellStyle name="20% - Accent1 2 20" xfId="11685" xr:uid="{00000000-0005-0000-0000-000019000000}"/>
    <cellStyle name="20% - Accent1 2 3" xfId="400" xr:uid="{00000000-0005-0000-0000-000015000000}"/>
    <cellStyle name="20% - Accent1 2 3 2" xfId="401" xr:uid="{00000000-0005-0000-0000-000016000000}"/>
    <cellStyle name="20% - Accent1 2 4" xfId="402" xr:uid="{00000000-0005-0000-0000-000017000000}"/>
    <cellStyle name="20% - Accent1 2 4 2" xfId="403" xr:uid="{00000000-0005-0000-0000-000018000000}"/>
    <cellStyle name="20% - Accent1 2 5" xfId="404" xr:uid="{00000000-0005-0000-0000-000019000000}"/>
    <cellStyle name="20% - Accent1 2 5 2" xfId="405" xr:uid="{00000000-0005-0000-0000-00001A000000}"/>
    <cellStyle name="20% - Accent1 2 6" xfId="406" xr:uid="{00000000-0005-0000-0000-00001B000000}"/>
    <cellStyle name="20% - Accent1 2 6 2" xfId="407" xr:uid="{00000000-0005-0000-0000-00001C000000}"/>
    <cellStyle name="20% - Accent1 2 7" xfId="408" xr:uid="{00000000-0005-0000-0000-00001D000000}"/>
    <cellStyle name="20% - Accent1 2 7 2" xfId="409" xr:uid="{00000000-0005-0000-0000-00001E000000}"/>
    <cellStyle name="20% - Accent1 2 8" xfId="410" xr:uid="{00000000-0005-0000-0000-00001F000000}"/>
    <cellStyle name="20% - Accent1 2 8 2" xfId="411" xr:uid="{00000000-0005-0000-0000-000020000000}"/>
    <cellStyle name="20% - Accent1 2 9" xfId="412" xr:uid="{00000000-0005-0000-0000-000021000000}"/>
    <cellStyle name="20% - Accent1 2 9 2" xfId="413" xr:uid="{00000000-0005-0000-0000-000022000000}"/>
    <cellStyle name="20% - Accent1 3 10" xfId="414" xr:uid="{00000000-0005-0000-0000-000023000000}"/>
    <cellStyle name="20% - Accent1 3 10 2" xfId="415" xr:uid="{00000000-0005-0000-0000-000024000000}"/>
    <cellStyle name="20% - Accent1 3 11" xfId="416" xr:uid="{00000000-0005-0000-0000-000025000000}"/>
    <cellStyle name="20% - Accent1 3 11 2" xfId="417" xr:uid="{00000000-0005-0000-0000-000026000000}"/>
    <cellStyle name="20% - Accent1 3 12" xfId="418" xr:uid="{00000000-0005-0000-0000-000027000000}"/>
    <cellStyle name="20% - Accent1 3 12 2" xfId="419" xr:uid="{00000000-0005-0000-0000-000028000000}"/>
    <cellStyle name="20% - Accent1 3 13" xfId="420" xr:uid="{00000000-0005-0000-0000-000029000000}"/>
    <cellStyle name="20% - Accent1 3 13 2" xfId="421" xr:uid="{00000000-0005-0000-0000-00002A000000}"/>
    <cellStyle name="20% - Accent1 3 14" xfId="422" xr:uid="{00000000-0005-0000-0000-00002B000000}"/>
    <cellStyle name="20% - Accent1 3 14 2" xfId="423" xr:uid="{00000000-0005-0000-0000-00002C000000}"/>
    <cellStyle name="20% - Accent1 3 15" xfId="424" xr:uid="{00000000-0005-0000-0000-00002D000000}"/>
    <cellStyle name="20% - Accent1 3 15 2" xfId="425" xr:uid="{00000000-0005-0000-0000-00002E000000}"/>
    <cellStyle name="20% - Accent1 3 16" xfId="426" xr:uid="{00000000-0005-0000-0000-00002F000000}"/>
    <cellStyle name="20% - Accent1 3 16 2" xfId="427" xr:uid="{00000000-0005-0000-0000-000030000000}"/>
    <cellStyle name="20% - Accent1 3 17" xfId="428" xr:uid="{00000000-0005-0000-0000-000031000000}"/>
    <cellStyle name="20% - Accent1 3 17 2" xfId="429" xr:uid="{00000000-0005-0000-0000-000032000000}"/>
    <cellStyle name="20% - Accent1 3 2" xfId="430" xr:uid="{00000000-0005-0000-0000-000033000000}"/>
    <cellStyle name="20% - Accent1 3 2 2" xfId="431" xr:uid="{00000000-0005-0000-0000-000034000000}"/>
    <cellStyle name="20% - Accent1 3 3" xfId="432" xr:uid="{00000000-0005-0000-0000-000035000000}"/>
    <cellStyle name="20% - Accent1 3 3 2" xfId="433" xr:uid="{00000000-0005-0000-0000-000036000000}"/>
    <cellStyle name="20% - Accent1 3 4" xfId="434" xr:uid="{00000000-0005-0000-0000-000037000000}"/>
    <cellStyle name="20% - Accent1 3 4 2" xfId="435" xr:uid="{00000000-0005-0000-0000-000038000000}"/>
    <cellStyle name="20% - Accent1 3 5" xfId="436" xr:uid="{00000000-0005-0000-0000-000039000000}"/>
    <cellStyle name="20% - Accent1 3 5 2" xfId="437" xr:uid="{00000000-0005-0000-0000-00003A000000}"/>
    <cellStyle name="20% - Accent1 3 6" xfId="438" xr:uid="{00000000-0005-0000-0000-00003B000000}"/>
    <cellStyle name="20% - Accent1 3 6 2" xfId="439" xr:uid="{00000000-0005-0000-0000-00003C000000}"/>
    <cellStyle name="20% - Accent1 3 7" xfId="440" xr:uid="{00000000-0005-0000-0000-00003D000000}"/>
    <cellStyle name="20% - Accent1 3 7 2" xfId="441" xr:uid="{00000000-0005-0000-0000-00003E000000}"/>
    <cellStyle name="20% - Accent1 3 8" xfId="442" xr:uid="{00000000-0005-0000-0000-00003F000000}"/>
    <cellStyle name="20% - Accent1 3 8 2" xfId="443" xr:uid="{00000000-0005-0000-0000-000040000000}"/>
    <cellStyle name="20% - Accent1 3 9" xfId="444" xr:uid="{00000000-0005-0000-0000-000041000000}"/>
    <cellStyle name="20% - Accent1 3 9 2" xfId="445" xr:uid="{00000000-0005-0000-0000-000042000000}"/>
    <cellStyle name="20% - Accent2 2" xfId="232" xr:uid="{00000000-0005-0000-0000-000043000000}"/>
    <cellStyle name="20% - Accent2 2 10" xfId="446" xr:uid="{00000000-0005-0000-0000-000044000000}"/>
    <cellStyle name="20% - Accent2 2 10 2" xfId="447" xr:uid="{00000000-0005-0000-0000-000045000000}"/>
    <cellStyle name="20% - Accent2 2 11" xfId="448" xr:uid="{00000000-0005-0000-0000-000046000000}"/>
    <cellStyle name="20% - Accent2 2 11 2" xfId="449" xr:uid="{00000000-0005-0000-0000-000047000000}"/>
    <cellStyle name="20% - Accent2 2 12" xfId="450" xr:uid="{00000000-0005-0000-0000-000048000000}"/>
    <cellStyle name="20% - Accent2 2 12 2" xfId="451" xr:uid="{00000000-0005-0000-0000-000049000000}"/>
    <cellStyle name="20% - Accent2 2 13" xfId="452" xr:uid="{00000000-0005-0000-0000-00004A000000}"/>
    <cellStyle name="20% - Accent2 2 13 2" xfId="453" xr:uid="{00000000-0005-0000-0000-00004B000000}"/>
    <cellStyle name="20% - Accent2 2 14" xfId="454" xr:uid="{00000000-0005-0000-0000-00004C000000}"/>
    <cellStyle name="20% - Accent2 2 14 2" xfId="455" xr:uid="{00000000-0005-0000-0000-00004D000000}"/>
    <cellStyle name="20% - Accent2 2 15" xfId="456" xr:uid="{00000000-0005-0000-0000-00004E000000}"/>
    <cellStyle name="20% - Accent2 2 15 2" xfId="457" xr:uid="{00000000-0005-0000-0000-00004F000000}"/>
    <cellStyle name="20% - Accent2 2 16" xfId="458" xr:uid="{00000000-0005-0000-0000-000050000000}"/>
    <cellStyle name="20% - Accent2 2 16 2" xfId="459" xr:uid="{00000000-0005-0000-0000-000051000000}"/>
    <cellStyle name="20% - Accent2 2 17" xfId="460" xr:uid="{00000000-0005-0000-0000-000052000000}"/>
    <cellStyle name="20% - Accent2 2 17 2" xfId="461" xr:uid="{00000000-0005-0000-0000-000053000000}"/>
    <cellStyle name="20% - Accent2 2 18" xfId="2435" xr:uid="{00000000-0005-0000-0000-000054000000}"/>
    <cellStyle name="20% - Accent2 2 18 2" xfId="2823" xr:uid="{00000000-0005-0000-0000-000054000000}"/>
    <cellStyle name="20% - Accent2 2 19" xfId="2748" xr:uid="{00000000-0005-0000-0000-000002000000}"/>
    <cellStyle name="20% - Accent2 2 2" xfId="360" xr:uid="{00000000-0005-0000-0000-000055000000}"/>
    <cellStyle name="20% - Accent2 2 2 2" xfId="463" xr:uid="{00000000-0005-0000-0000-000056000000}"/>
    <cellStyle name="20% - Accent2 2 2 3" xfId="462" xr:uid="{00000000-0005-0000-0000-000057000000}"/>
    <cellStyle name="20% - Accent2 2 2 4" xfId="2773" xr:uid="{00000000-0005-0000-0000-000003000000}"/>
    <cellStyle name="20% - Accent2 2 2 5" xfId="11686" xr:uid="{00000000-0005-0000-0000-000060000000}"/>
    <cellStyle name="20% - Accent2 2 20" xfId="11687" xr:uid="{00000000-0005-0000-0000-000061000000}"/>
    <cellStyle name="20% - Accent2 2 3" xfId="464" xr:uid="{00000000-0005-0000-0000-000058000000}"/>
    <cellStyle name="20% - Accent2 2 3 2" xfId="465" xr:uid="{00000000-0005-0000-0000-000059000000}"/>
    <cellStyle name="20% - Accent2 2 4" xfId="466" xr:uid="{00000000-0005-0000-0000-00005A000000}"/>
    <cellStyle name="20% - Accent2 2 4 2" xfId="467" xr:uid="{00000000-0005-0000-0000-00005B000000}"/>
    <cellStyle name="20% - Accent2 2 5" xfId="468" xr:uid="{00000000-0005-0000-0000-00005C000000}"/>
    <cellStyle name="20% - Accent2 2 5 2" xfId="469" xr:uid="{00000000-0005-0000-0000-00005D000000}"/>
    <cellStyle name="20% - Accent2 2 6" xfId="470" xr:uid="{00000000-0005-0000-0000-00005E000000}"/>
    <cellStyle name="20% - Accent2 2 6 2" xfId="471" xr:uid="{00000000-0005-0000-0000-00005F000000}"/>
    <cellStyle name="20% - Accent2 2 7" xfId="472" xr:uid="{00000000-0005-0000-0000-000060000000}"/>
    <cellStyle name="20% - Accent2 2 7 2" xfId="473" xr:uid="{00000000-0005-0000-0000-000061000000}"/>
    <cellStyle name="20% - Accent2 2 8" xfId="474" xr:uid="{00000000-0005-0000-0000-000062000000}"/>
    <cellStyle name="20% - Accent2 2 8 2" xfId="475" xr:uid="{00000000-0005-0000-0000-000063000000}"/>
    <cellStyle name="20% - Accent2 2 9" xfId="476" xr:uid="{00000000-0005-0000-0000-000064000000}"/>
    <cellStyle name="20% - Accent2 2 9 2" xfId="477" xr:uid="{00000000-0005-0000-0000-000065000000}"/>
    <cellStyle name="20% - Accent2 3 10" xfId="478" xr:uid="{00000000-0005-0000-0000-000066000000}"/>
    <cellStyle name="20% - Accent2 3 10 2" xfId="479" xr:uid="{00000000-0005-0000-0000-000067000000}"/>
    <cellStyle name="20% - Accent2 3 11" xfId="480" xr:uid="{00000000-0005-0000-0000-000068000000}"/>
    <cellStyle name="20% - Accent2 3 11 2" xfId="481" xr:uid="{00000000-0005-0000-0000-000069000000}"/>
    <cellStyle name="20% - Accent2 3 12" xfId="482" xr:uid="{00000000-0005-0000-0000-00006A000000}"/>
    <cellStyle name="20% - Accent2 3 12 2" xfId="483" xr:uid="{00000000-0005-0000-0000-00006B000000}"/>
    <cellStyle name="20% - Accent2 3 13" xfId="484" xr:uid="{00000000-0005-0000-0000-00006C000000}"/>
    <cellStyle name="20% - Accent2 3 13 2" xfId="485" xr:uid="{00000000-0005-0000-0000-00006D000000}"/>
    <cellStyle name="20% - Accent2 3 14" xfId="486" xr:uid="{00000000-0005-0000-0000-00006E000000}"/>
    <cellStyle name="20% - Accent2 3 14 2" xfId="487" xr:uid="{00000000-0005-0000-0000-00006F000000}"/>
    <cellStyle name="20% - Accent2 3 15" xfId="488" xr:uid="{00000000-0005-0000-0000-000070000000}"/>
    <cellStyle name="20% - Accent2 3 15 2" xfId="489" xr:uid="{00000000-0005-0000-0000-000071000000}"/>
    <cellStyle name="20% - Accent2 3 16" xfId="490" xr:uid="{00000000-0005-0000-0000-000072000000}"/>
    <cellStyle name="20% - Accent2 3 16 2" xfId="491" xr:uid="{00000000-0005-0000-0000-000073000000}"/>
    <cellStyle name="20% - Accent2 3 17" xfId="492" xr:uid="{00000000-0005-0000-0000-000074000000}"/>
    <cellStyle name="20% - Accent2 3 17 2" xfId="493" xr:uid="{00000000-0005-0000-0000-000075000000}"/>
    <cellStyle name="20% - Accent2 3 2" xfId="494" xr:uid="{00000000-0005-0000-0000-000076000000}"/>
    <cellStyle name="20% - Accent2 3 2 2" xfId="495" xr:uid="{00000000-0005-0000-0000-000077000000}"/>
    <cellStyle name="20% - Accent2 3 3" xfId="496" xr:uid="{00000000-0005-0000-0000-000078000000}"/>
    <cellStyle name="20% - Accent2 3 3 2" xfId="497" xr:uid="{00000000-0005-0000-0000-000079000000}"/>
    <cellStyle name="20% - Accent2 3 4" xfId="498" xr:uid="{00000000-0005-0000-0000-00007A000000}"/>
    <cellStyle name="20% - Accent2 3 4 2" xfId="499" xr:uid="{00000000-0005-0000-0000-00007B000000}"/>
    <cellStyle name="20% - Accent2 3 5" xfId="500" xr:uid="{00000000-0005-0000-0000-00007C000000}"/>
    <cellStyle name="20% - Accent2 3 5 2" xfId="501" xr:uid="{00000000-0005-0000-0000-00007D000000}"/>
    <cellStyle name="20% - Accent2 3 6" xfId="502" xr:uid="{00000000-0005-0000-0000-00007E000000}"/>
    <cellStyle name="20% - Accent2 3 6 2" xfId="503" xr:uid="{00000000-0005-0000-0000-00007F000000}"/>
    <cellStyle name="20% - Accent2 3 7" xfId="504" xr:uid="{00000000-0005-0000-0000-000080000000}"/>
    <cellStyle name="20% - Accent2 3 7 2" xfId="505" xr:uid="{00000000-0005-0000-0000-000081000000}"/>
    <cellStyle name="20% - Accent2 3 8" xfId="506" xr:uid="{00000000-0005-0000-0000-000082000000}"/>
    <cellStyle name="20% - Accent2 3 8 2" xfId="507" xr:uid="{00000000-0005-0000-0000-000083000000}"/>
    <cellStyle name="20% - Accent2 3 9" xfId="508" xr:uid="{00000000-0005-0000-0000-000084000000}"/>
    <cellStyle name="20% - Accent2 3 9 2" xfId="509" xr:uid="{00000000-0005-0000-0000-000085000000}"/>
    <cellStyle name="20% - Accent3 2" xfId="233" xr:uid="{00000000-0005-0000-0000-000086000000}"/>
    <cellStyle name="20% - Accent3 2 10" xfId="510" xr:uid="{00000000-0005-0000-0000-000087000000}"/>
    <cellStyle name="20% - Accent3 2 10 2" xfId="511" xr:uid="{00000000-0005-0000-0000-000088000000}"/>
    <cellStyle name="20% - Accent3 2 11" xfId="512" xr:uid="{00000000-0005-0000-0000-000089000000}"/>
    <cellStyle name="20% - Accent3 2 11 2" xfId="513" xr:uid="{00000000-0005-0000-0000-00008A000000}"/>
    <cellStyle name="20% - Accent3 2 12" xfId="514" xr:uid="{00000000-0005-0000-0000-00008B000000}"/>
    <cellStyle name="20% - Accent3 2 12 2" xfId="515" xr:uid="{00000000-0005-0000-0000-00008C000000}"/>
    <cellStyle name="20% - Accent3 2 13" xfId="516" xr:uid="{00000000-0005-0000-0000-00008D000000}"/>
    <cellStyle name="20% - Accent3 2 13 2" xfId="517" xr:uid="{00000000-0005-0000-0000-00008E000000}"/>
    <cellStyle name="20% - Accent3 2 14" xfId="518" xr:uid="{00000000-0005-0000-0000-00008F000000}"/>
    <cellStyle name="20% - Accent3 2 14 2" xfId="519" xr:uid="{00000000-0005-0000-0000-000090000000}"/>
    <cellStyle name="20% - Accent3 2 15" xfId="520" xr:uid="{00000000-0005-0000-0000-000091000000}"/>
    <cellStyle name="20% - Accent3 2 15 2" xfId="521" xr:uid="{00000000-0005-0000-0000-000092000000}"/>
    <cellStyle name="20% - Accent3 2 16" xfId="522" xr:uid="{00000000-0005-0000-0000-000093000000}"/>
    <cellStyle name="20% - Accent3 2 16 2" xfId="523" xr:uid="{00000000-0005-0000-0000-000094000000}"/>
    <cellStyle name="20% - Accent3 2 17" xfId="524" xr:uid="{00000000-0005-0000-0000-000095000000}"/>
    <cellStyle name="20% - Accent3 2 17 2" xfId="525" xr:uid="{00000000-0005-0000-0000-000096000000}"/>
    <cellStyle name="20% - Accent3 2 18" xfId="2436" xr:uid="{00000000-0005-0000-0000-000097000000}"/>
    <cellStyle name="20% - Accent3 2 18 2" xfId="2824" xr:uid="{00000000-0005-0000-0000-000097000000}"/>
    <cellStyle name="20% - Accent3 2 19" xfId="2749" xr:uid="{00000000-0005-0000-0000-000004000000}"/>
    <cellStyle name="20% - Accent3 2 2" xfId="361" xr:uid="{00000000-0005-0000-0000-000098000000}"/>
    <cellStyle name="20% - Accent3 2 2 2" xfId="527" xr:uid="{00000000-0005-0000-0000-000099000000}"/>
    <cellStyle name="20% - Accent3 2 2 3" xfId="526" xr:uid="{00000000-0005-0000-0000-00009A000000}"/>
    <cellStyle name="20% - Accent3 2 2 4" xfId="2774" xr:uid="{00000000-0005-0000-0000-000005000000}"/>
    <cellStyle name="20% - Accent3 2 2 5" xfId="11688" xr:uid="{00000000-0005-0000-0000-0000A8000000}"/>
    <cellStyle name="20% - Accent3 2 20" xfId="11689" xr:uid="{00000000-0005-0000-0000-0000A9000000}"/>
    <cellStyle name="20% - Accent3 2 3" xfId="528" xr:uid="{00000000-0005-0000-0000-00009B000000}"/>
    <cellStyle name="20% - Accent3 2 3 2" xfId="529" xr:uid="{00000000-0005-0000-0000-00009C000000}"/>
    <cellStyle name="20% - Accent3 2 4" xfId="530" xr:uid="{00000000-0005-0000-0000-00009D000000}"/>
    <cellStyle name="20% - Accent3 2 4 2" xfId="531" xr:uid="{00000000-0005-0000-0000-00009E000000}"/>
    <cellStyle name="20% - Accent3 2 5" xfId="532" xr:uid="{00000000-0005-0000-0000-00009F000000}"/>
    <cellStyle name="20% - Accent3 2 5 2" xfId="533" xr:uid="{00000000-0005-0000-0000-0000A0000000}"/>
    <cellStyle name="20% - Accent3 2 6" xfId="534" xr:uid="{00000000-0005-0000-0000-0000A1000000}"/>
    <cellStyle name="20% - Accent3 2 6 2" xfId="535" xr:uid="{00000000-0005-0000-0000-0000A2000000}"/>
    <cellStyle name="20% - Accent3 2 7" xfId="536" xr:uid="{00000000-0005-0000-0000-0000A3000000}"/>
    <cellStyle name="20% - Accent3 2 7 2" xfId="537" xr:uid="{00000000-0005-0000-0000-0000A4000000}"/>
    <cellStyle name="20% - Accent3 2 8" xfId="538" xr:uid="{00000000-0005-0000-0000-0000A5000000}"/>
    <cellStyle name="20% - Accent3 2 8 2" xfId="539" xr:uid="{00000000-0005-0000-0000-0000A6000000}"/>
    <cellStyle name="20% - Accent3 2 9" xfId="540" xr:uid="{00000000-0005-0000-0000-0000A7000000}"/>
    <cellStyle name="20% - Accent3 2 9 2" xfId="541" xr:uid="{00000000-0005-0000-0000-0000A8000000}"/>
    <cellStyle name="20% - Accent3 3 10" xfId="542" xr:uid="{00000000-0005-0000-0000-0000A9000000}"/>
    <cellStyle name="20% - Accent3 3 10 2" xfId="543" xr:uid="{00000000-0005-0000-0000-0000AA000000}"/>
    <cellStyle name="20% - Accent3 3 11" xfId="544" xr:uid="{00000000-0005-0000-0000-0000AB000000}"/>
    <cellStyle name="20% - Accent3 3 11 2" xfId="545" xr:uid="{00000000-0005-0000-0000-0000AC000000}"/>
    <cellStyle name="20% - Accent3 3 12" xfId="546" xr:uid="{00000000-0005-0000-0000-0000AD000000}"/>
    <cellStyle name="20% - Accent3 3 12 2" xfId="547" xr:uid="{00000000-0005-0000-0000-0000AE000000}"/>
    <cellStyle name="20% - Accent3 3 13" xfId="548" xr:uid="{00000000-0005-0000-0000-0000AF000000}"/>
    <cellStyle name="20% - Accent3 3 13 2" xfId="549" xr:uid="{00000000-0005-0000-0000-0000B0000000}"/>
    <cellStyle name="20% - Accent3 3 14" xfId="550" xr:uid="{00000000-0005-0000-0000-0000B1000000}"/>
    <cellStyle name="20% - Accent3 3 14 2" xfId="551" xr:uid="{00000000-0005-0000-0000-0000B2000000}"/>
    <cellStyle name="20% - Accent3 3 15" xfId="552" xr:uid="{00000000-0005-0000-0000-0000B3000000}"/>
    <cellStyle name="20% - Accent3 3 15 2" xfId="553" xr:uid="{00000000-0005-0000-0000-0000B4000000}"/>
    <cellStyle name="20% - Accent3 3 16" xfId="554" xr:uid="{00000000-0005-0000-0000-0000B5000000}"/>
    <cellStyle name="20% - Accent3 3 16 2" xfId="555" xr:uid="{00000000-0005-0000-0000-0000B6000000}"/>
    <cellStyle name="20% - Accent3 3 17" xfId="556" xr:uid="{00000000-0005-0000-0000-0000B7000000}"/>
    <cellStyle name="20% - Accent3 3 17 2" xfId="557" xr:uid="{00000000-0005-0000-0000-0000B8000000}"/>
    <cellStyle name="20% - Accent3 3 2" xfId="558" xr:uid="{00000000-0005-0000-0000-0000B9000000}"/>
    <cellStyle name="20% - Accent3 3 2 2" xfId="559" xr:uid="{00000000-0005-0000-0000-0000BA000000}"/>
    <cellStyle name="20% - Accent3 3 3" xfId="560" xr:uid="{00000000-0005-0000-0000-0000BB000000}"/>
    <cellStyle name="20% - Accent3 3 3 2" xfId="561" xr:uid="{00000000-0005-0000-0000-0000BC000000}"/>
    <cellStyle name="20% - Accent3 3 4" xfId="562" xr:uid="{00000000-0005-0000-0000-0000BD000000}"/>
    <cellStyle name="20% - Accent3 3 4 2" xfId="563" xr:uid="{00000000-0005-0000-0000-0000BE000000}"/>
    <cellStyle name="20% - Accent3 3 5" xfId="564" xr:uid="{00000000-0005-0000-0000-0000BF000000}"/>
    <cellStyle name="20% - Accent3 3 5 2" xfId="565" xr:uid="{00000000-0005-0000-0000-0000C0000000}"/>
    <cellStyle name="20% - Accent3 3 6" xfId="566" xr:uid="{00000000-0005-0000-0000-0000C1000000}"/>
    <cellStyle name="20% - Accent3 3 6 2" xfId="567" xr:uid="{00000000-0005-0000-0000-0000C2000000}"/>
    <cellStyle name="20% - Accent3 3 7" xfId="568" xr:uid="{00000000-0005-0000-0000-0000C3000000}"/>
    <cellStyle name="20% - Accent3 3 7 2" xfId="569" xr:uid="{00000000-0005-0000-0000-0000C4000000}"/>
    <cellStyle name="20% - Accent3 3 8" xfId="570" xr:uid="{00000000-0005-0000-0000-0000C5000000}"/>
    <cellStyle name="20% - Accent3 3 8 2" xfId="571" xr:uid="{00000000-0005-0000-0000-0000C6000000}"/>
    <cellStyle name="20% - Accent3 3 9" xfId="572" xr:uid="{00000000-0005-0000-0000-0000C7000000}"/>
    <cellStyle name="20% - Accent3 3 9 2" xfId="573" xr:uid="{00000000-0005-0000-0000-0000C8000000}"/>
    <cellStyle name="20% - Accent4 2" xfId="234" xr:uid="{00000000-0005-0000-0000-0000C9000000}"/>
    <cellStyle name="20% - Accent4 2 10" xfId="574" xr:uid="{00000000-0005-0000-0000-0000CA000000}"/>
    <cellStyle name="20% - Accent4 2 10 2" xfId="575" xr:uid="{00000000-0005-0000-0000-0000CB000000}"/>
    <cellStyle name="20% - Accent4 2 11" xfId="576" xr:uid="{00000000-0005-0000-0000-0000CC000000}"/>
    <cellStyle name="20% - Accent4 2 11 2" xfId="577" xr:uid="{00000000-0005-0000-0000-0000CD000000}"/>
    <cellStyle name="20% - Accent4 2 12" xfId="578" xr:uid="{00000000-0005-0000-0000-0000CE000000}"/>
    <cellStyle name="20% - Accent4 2 12 2" xfId="579" xr:uid="{00000000-0005-0000-0000-0000CF000000}"/>
    <cellStyle name="20% - Accent4 2 13" xfId="580" xr:uid="{00000000-0005-0000-0000-0000D0000000}"/>
    <cellStyle name="20% - Accent4 2 13 2" xfId="581" xr:uid="{00000000-0005-0000-0000-0000D1000000}"/>
    <cellStyle name="20% - Accent4 2 14" xfId="582" xr:uid="{00000000-0005-0000-0000-0000D2000000}"/>
    <cellStyle name="20% - Accent4 2 14 2" xfId="583" xr:uid="{00000000-0005-0000-0000-0000D3000000}"/>
    <cellStyle name="20% - Accent4 2 15" xfId="584" xr:uid="{00000000-0005-0000-0000-0000D4000000}"/>
    <cellStyle name="20% - Accent4 2 15 2" xfId="585" xr:uid="{00000000-0005-0000-0000-0000D5000000}"/>
    <cellStyle name="20% - Accent4 2 16" xfId="586" xr:uid="{00000000-0005-0000-0000-0000D6000000}"/>
    <cellStyle name="20% - Accent4 2 16 2" xfId="587" xr:uid="{00000000-0005-0000-0000-0000D7000000}"/>
    <cellStyle name="20% - Accent4 2 17" xfId="588" xr:uid="{00000000-0005-0000-0000-0000D8000000}"/>
    <cellStyle name="20% - Accent4 2 17 2" xfId="589" xr:uid="{00000000-0005-0000-0000-0000D9000000}"/>
    <cellStyle name="20% - Accent4 2 18" xfId="2437" xr:uid="{00000000-0005-0000-0000-0000DA000000}"/>
    <cellStyle name="20% - Accent4 2 18 2" xfId="2825" xr:uid="{00000000-0005-0000-0000-0000DA000000}"/>
    <cellStyle name="20% - Accent4 2 19" xfId="2750" xr:uid="{00000000-0005-0000-0000-000006000000}"/>
    <cellStyle name="20% - Accent4 2 2" xfId="362" xr:uid="{00000000-0005-0000-0000-0000DB000000}"/>
    <cellStyle name="20% - Accent4 2 2 2" xfId="591" xr:uid="{00000000-0005-0000-0000-0000DC000000}"/>
    <cellStyle name="20% - Accent4 2 2 3" xfId="590" xr:uid="{00000000-0005-0000-0000-0000DD000000}"/>
    <cellStyle name="20% - Accent4 2 2 4" xfId="2775" xr:uid="{00000000-0005-0000-0000-000007000000}"/>
    <cellStyle name="20% - Accent4 2 2 5" xfId="11690" xr:uid="{00000000-0005-0000-0000-0000F0000000}"/>
    <cellStyle name="20% - Accent4 2 20" xfId="11691" xr:uid="{00000000-0005-0000-0000-0000F1000000}"/>
    <cellStyle name="20% - Accent4 2 3" xfId="592" xr:uid="{00000000-0005-0000-0000-0000DE000000}"/>
    <cellStyle name="20% - Accent4 2 3 2" xfId="593" xr:uid="{00000000-0005-0000-0000-0000DF000000}"/>
    <cellStyle name="20% - Accent4 2 4" xfId="594" xr:uid="{00000000-0005-0000-0000-0000E0000000}"/>
    <cellStyle name="20% - Accent4 2 4 2" xfId="595" xr:uid="{00000000-0005-0000-0000-0000E1000000}"/>
    <cellStyle name="20% - Accent4 2 5" xfId="596" xr:uid="{00000000-0005-0000-0000-0000E2000000}"/>
    <cellStyle name="20% - Accent4 2 5 2" xfId="597" xr:uid="{00000000-0005-0000-0000-0000E3000000}"/>
    <cellStyle name="20% - Accent4 2 6" xfId="598" xr:uid="{00000000-0005-0000-0000-0000E4000000}"/>
    <cellStyle name="20% - Accent4 2 6 2" xfId="599" xr:uid="{00000000-0005-0000-0000-0000E5000000}"/>
    <cellStyle name="20% - Accent4 2 7" xfId="600" xr:uid="{00000000-0005-0000-0000-0000E6000000}"/>
    <cellStyle name="20% - Accent4 2 7 2" xfId="601" xr:uid="{00000000-0005-0000-0000-0000E7000000}"/>
    <cellStyle name="20% - Accent4 2 8" xfId="602" xr:uid="{00000000-0005-0000-0000-0000E8000000}"/>
    <cellStyle name="20% - Accent4 2 8 2" xfId="603" xr:uid="{00000000-0005-0000-0000-0000E9000000}"/>
    <cellStyle name="20% - Accent4 2 9" xfId="604" xr:uid="{00000000-0005-0000-0000-0000EA000000}"/>
    <cellStyle name="20% - Accent4 2 9 2" xfId="605" xr:uid="{00000000-0005-0000-0000-0000EB000000}"/>
    <cellStyle name="20% - Accent4 3 10" xfId="606" xr:uid="{00000000-0005-0000-0000-0000EC000000}"/>
    <cellStyle name="20% - Accent4 3 10 2" xfId="607" xr:uid="{00000000-0005-0000-0000-0000ED000000}"/>
    <cellStyle name="20% - Accent4 3 11" xfId="608" xr:uid="{00000000-0005-0000-0000-0000EE000000}"/>
    <cellStyle name="20% - Accent4 3 11 2" xfId="609" xr:uid="{00000000-0005-0000-0000-0000EF000000}"/>
    <cellStyle name="20% - Accent4 3 12" xfId="610" xr:uid="{00000000-0005-0000-0000-0000F0000000}"/>
    <cellStyle name="20% - Accent4 3 12 2" xfId="611" xr:uid="{00000000-0005-0000-0000-0000F1000000}"/>
    <cellStyle name="20% - Accent4 3 13" xfId="612" xr:uid="{00000000-0005-0000-0000-0000F2000000}"/>
    <cellStyle name="20% - Accent4 3 13 2" xfId="613" xr:uid="{00000000-0005-0000-0000-0000F3000000}"/>
    <cellStyle name="20% - Accent4 3 14" xfId="614" xr:uid="{00000000-0005-0000-0000-0000F4000000}"/>
    <cellStyle name="20% - Accent4 3 14 2" xfId="615" xr:uid="{00000000-0005-0000-0000-0000F5000000}"/>
    <cellStyle name="20% - Accent4 3 15" xfId="616" xr:uid="{00000000-0005-0000-0000-0000F6000000}"/>
    <cellStyle name="20% - Accent4 3 15 2" xfId="617" xr:uid="{00000000-0005-0000-0000-0000F7000000}"/>
    <cellStyle name="20% - Accent4 3 16" xfId="618" xr:uid="{00000000-0005-0000-0000-0000F8000000}"/>
    <cellStyle name="20% - Accent4 3 16 2" xfId="619" xr:uid="{00000000-0005-0000-0000-0000F9000000}"/>
    <cellStyle name="20% - Accent4 3 17" xfId="620" xr:uid="{00000000-0005-0000-0000-0000FA000000}"/>
    <cellStyle name="20% - Accent4 3 17 2" xfId="621" xr:uid="{00000000-0005-0000-0000-0000FB000000}"/>
    <cellStyle name="20% - Accent4 3 2" xfId="622" xr:uid="{00000000-0005-0000-0000-0000FC000000}"/>
    <cellStyle name="20% - Accent4 3 2 2" xfId="623" xr:uid="{00000000-0005-0000-0000-0000FD000000}"/>
    <cellStyle name="20% - Accent4 3 3" xfId="624" xr:uid="{00000000-0005-0000-0000-0000FE000000}"/>
    <cellStyle name="20% - Accent4 3 3 2" xfId="625" xr:uid="{00000000-0005-0000-0000-0000FF000000}"/>
    <cellStyle name="20% - Accent4 3 4" xfId="626" xr:uid="{00000000-0005-0000-0000-000000010000}"/>
    <cellStyle name="20% - Accent4 3 4 2" xfId="627" xr:uid="{00000000-0005-0000-0000-000001010000}"/>
    <cellStyle name="20% - Accent4 3 5" xfId="628" xr:uid="{00000000-0005-0000-0000-000002010000}"/>
    <cellStyle name="20% - Accent4 3 5 2" xfId="629" xr:uid="{00000000-0005-0000-0000-000003010000}"/>
    <cellStyle name="20% - Accent4 3 6" xfId="630" xr:uid="{00000000-0005-0000-0000-000004010000}"/>
    <cellStyle name="20% - Accent4 3 6 2" xfId="631" xr:uid="{00000000-0005-0000-0000-000005010000}"/>
    <cellStyle name="20% - Accent4 3 7" xfId="632" xr:uid="{00000000-0005-0000-0000-000006010000}"/>
    <cellStyle name="20% - Accent4 3 7 2" xfId="633" xr:uid="{00000000-0005-0000-0000-000007010000}"/>
    <cellStyle name="20% - Accent4 3 8" xfId="634" xr:uid="{00000000-0005-0000-0000-000008010000}"/>
    <cellStyle name="20% - Accent4 3 8 2" xfId="635" xr:uid="{00000000-0005-0000-0000-000009010000}"/>
    <cellStyle name="20% - Accent4 3 9" xfId="636" xr:uid="{00000000-0005-0000-0000-00000A010000}"/>
    <cellStyle name="20% - Accent4 3 9 2" xfId="637" xr:uid="{00000000-0005-0000-0000-00000B010000}"/>
    <cellStyle name="20% - Accent5 2" xfId="235" xr:uid="{00000000-0005-0000-0000-00000C010000}"/>
    <cellStyle name="20% - Accent5 2 10" xfId="638" xr:uid="{00000000-0005-0000-0000-00000D010000}"/>
    <cellStyle name="20% - Accent5 2 10 2" xfId="639" xr:uid="{00000000-0005-0000-0000-00000E010000}"/>
    <cellStyle name="20% - Accent5 2 11" xfId="640" xr:uid="{00000000-0005-0000-0000-00000F010000}"/>
    <cellStyle name="20% - Accent5 2 11 2" xfId="641" xr:uid="{00000000-0005-0000-0000-000010010000}"/>
    <cellStyle name="20% - Accent5 2 12" xfId="642" xr:uid="{00000000-0005-0000-0000-000011010000}"/>
    <cellStyle name="20% - Accent5 2 12 2" xfId="643" xr:uid="{00000000-0005-0000-0000-000012010000}"/>
    <cellStyle name="20% - Accent5 2 13" xfId="644" xr:uid="{00000000-0005-0000-0000-000013010000}"/>
    <cellStyle name="20% - Accent5 2 13 2" xfId="645" xr:uid="{00000000-0005-0000-0000-000014010000}"/>
    <cellStyle name="20% - Accent5 2 14" xfId="646" xr:uid="{00000000-0005-0000-0000-000015010000}"/>
    <cellStyle name="20% - Accent5 2 14 2" xfId="647" xr:uid="{00000000-0005-0000-0000-000016010000}"/>
    <cellStyle name="20% - Accent5 2 15" xfId="648" xr:uid="{00000000-0005-0000-0000-000017010000}"/>
    <cellStyle name="20% - Accent5 2 15 2" xfId="649" xr:uid="{00000000-0005-0000-0000-000018010000}"/>
    <cellStyle name="20% - Accent5 2 16" xfId="650" xr:uid="{00000000-0005-0000-0000-000019010000}"/>
    <cellStyle name="20% - Accent5 2 16 2" xfId="651" xr:uid="{00000000-0005-0000-0000-00001A010000}"/>
    <cellStyle name="20% - Accent5 2 17" xfId="652" xr:uid="{00000000-0005-0000-0000-00001B010000}"/>
    <cellStyle name="20% - Accent5 2 17 2" xfId="653" xr:uid="{00000000-0005-0000-0000-00001C010000}"/>
    <cellStyle name="20% - Accent5 2 18" xfId="2438" xr:uid="{00000000-0005-0000-0000-00001D010000}"/>
    <cellStyle name="20% - Accent5 2 18 2" xfId="2826" xr:uid="{00000000-0005-0000-0000-00001D010000}"/>
    <cellStyle name="20% - Accent5 2 19" xfId="2751" xr:uid="{00000000-0005-0000-0000-000008000000}"/>
    <cellStyle name="20% - Accent5 2 2" xfId="363" xr:uid="{00000000-0005-0000-0000-00001E010000}"/>
    <cellStyle name="20% - Accent5 2 2 2" xfId="655" xr:uid="{00000000-0005-0000-0000-00001F010000}"/>
    <cellStyle name="20% - Accent5 2 2 3" xfId="654" xr:uid="{00000000-0005-0000-0000-000020010000}"/>
    <cellStyle name="20% - Accent5 2 2 4" xfId="2776" xr:uid="{00000000-0005-0000-0000-000009000000}"/>
    <cellStyle name="20% - Accent5 2 2 5" xfId="11692" xr:uid="{00000000-0005-0000-0000-000038010000}"/>
    <cellStyle name="20% - Accent5 2 20" xfId="11693" xr:uid="{00000000-0005-0000-0000-000039010000}"/>
    <cellStyle name="20% - Accent5 2 3" xfId="656" xr:uid="{00000000-0005-0000-0000-000021010000}"/>
    <cellStyle name="20% - Accent5 2 3 2" xfId="657" xr:uid="{00000000-0005-0000-0000-000022010000}"/>
    <cellStyle name="20% - Accent5 2 4" xfId="658" xr:uid="{00000000-0005-0000-0000-000023010000}"/>
    <cellStyle name="20% - Accent5 2 4 2" xfId="659" xr:uid="{00000000-0005-0000-0000-000024010000}"/>
    <cellStyle name="20% - Accent5 2 5" xfId="660" xr:uid="{00000000-0005-0000-0000-000025010000}"/>
    <cellStyle name="20% - Accent5 2 5 2" xfId="661" xr:uid="{00000000-0005-0000-0000-000026010000}"/>
    <cellStyle name="20% - Accent5 2 6" xfId="662" xr:uid="{00000000-0005-0000-0000-000027010000}"/>
    <cellStyle name="20% - Accent5 2 6 2" xfId="663" xr:uid="{00000000-0005-0000-0000-000028010000}"/>
    <cellStyle name="20% - Accent5 2 7" xfId="664" xr:uid="{00000000-0005-0000-0000-000029010000}"/>
    <cellStyle name="20% - Accent5 2 7 2" xfId="665" xr:uid="{00000000-0005-0000-0000-00002A010000}"/>
    <cellStyle name="20% - Accent5 2 8" xfId="666" xr:uid="{00000000-0005-0000-0000-00002B010000}"/>
    <cellStyle name="20% - Accent5 2 8 2" xfId="667" xr:uid="{00000000-0005-0000-0000-00002C010000}"/>
    <cellStyle name="20% - Accent5 2 9" xfId="668" xr:uid="{00000000-0005-0000-0000-00002D010000}"/>
    <cellStyle name="20% - Accent5 2 9 2" xfId="669" xr:uid="{00000000-0005-0000-0000-00002E010000}"/>
    <cellStyle name="20% - Accent5 3 10" xfId="670" xr:uid="{00000000-0005-0000-0000-00002F010000}"/>
    <cellStyle name="20% - Accent5 3 10 2" xfId="671" xr:uid="{00000000-0005-0000-0000-000030010000}"/>
    <cellStyle name="20% - Accent5 3 11" xfId="672" xr:uid="{00000000-0005-0000-0000-000031010000}"/>
    <cellStyle name="20% - Accent5 3 11 2" xfId="673" xr:uid="{00000000-0005-0000-0000-000032010000}"/>
    <cellStyle name="20% - Accent5 3 12" xfId="674" xr:uid="{00000000-0005-0000-0000-000033010000}"/>
    <cellStyle name="20% - Accent5 3 12 2" xfId="675" xr:uid="{00000000-0005-0000-0000-000034010000}"/>
    <cellStyle name="20% - Accent5 3 13" xfId="676" xr:uid="{00000000-0005-0000-0000-000035010000}"/>
    <cellStyle name="20% - Accent5 3 13 2" xfId="677" xr:uid="{00000000-0005-0000-0000-000036010000}"/>
    <cellStyle name="20% - Accent5 3 14" xfId="678" xr:uid="{00000000-0005-0000-0000-000037010000}"/>
    <cellStyle name="20% - Accent5 3 14 2" xfId="679" xr:uid="{00000000-0005-0000-0000-000038010000}"/>
    <cellStyle name="20% - Accent5 3 15" xfId="680" xr:uid="{00000000-0005-0000-0000-000039010000}"/>
    <cellStyle name="20% - Accent5 3 15 2" xfId="681" xr:uid="{00000000-0005-0000-0000-00003A010000}"/>
    <cellStyle name="20% - Accent5 3 16" xfId="682" xr:uid="{00000000-0005-0000-0000-00003B010000}"/>
    <cellStyle name="20% - Accent5 3 16 2" xfId="683" xr:uid="{00000000-0005-0000-0000-00003C010000}"/>
    <cellStyle name="20% - Accent5 3 17" xfId="684" xr:uid="{00000000-0005-0000-0000-00003D010000}"/>
    <cellStyle name="20% - Accent5 3 17 2" xfId="685" xr:uid="{00000000-0005-0000-0000-00003E010000}"/>
    <cellStyle name="20% - Accent5 3 2" xfId="686" xr:uid="{00000000-0005-0000-0000-00003F010000}"/>
    <cellStyle name="20% - Accent5 3 2 2" xfId="687" xr:uid="{00000000-0005-0000-0000-000040010000}"/>
    <cellStyle name="20% - Accent5 3 3" xfId="688" xr:uid="{00000000-0005-0000-0000-000041010000}"/>
    <cellStyle name="20% - Accent5 3 3 2" xfId="689" xr:uid="{00000000-0005-0000-0000-000042010000}"/>
    <cellStyle name="20% - Accent5 3 4" xfId="690" xr:uid="{00000000-0005-0000-0000-000043010000}"/>
    <cellStyle name="20% - Accent5 3 4 2" xfId="691" xr:uid="{00000000-0005-0000-0000-000044010000}"/>
    <cellStyle name="20% - Accent5 3 5" xfId="692" xr:uid="{00000000-0005-0000-0000-000045010000}"/>
    <cellStyle name="20% - Accent5 3 5 2" xfId="693" xr:uid="{00000000-0005-0000-0000-000046010000}"/>
    <cellStyle name="20% - Accent5 3 6" xfId="694" xr:uid="{00000000-0005-0000-0000-000047010000}"/>
    <cellStyle name="20% - Accent5 3 6 2" xfId="695" xr:uid="{00000000-0005-0000-0000-000048010000}"/>
    <cellStyle name="20% - Accent5 3 7" xfId="696" xr:uid="{00000000-0005-0000-0000-000049010000}"/>
    <cellStyle name="20% - Accent5 3 7 2" xfId="697" xr:uid="{00000000-0005-0000-0000-00004A010000}"/>
    <cellStyle name="20% - Accent5 3 8" xfId="698" xr:uid="{00000000-0005-0000-0000-00004B010000}"/>
    <cellStyle name="20% - Accent5 3 8 2" xfId="699" xr:uid="{00000000-0005-0000-0000-00004C010000}"/>
    <cellStyle name="20% - Accent5 3 9" xfId="700" xr:uid="{00000000-0005-0000-0000-00004D010000}"/>
    <cellStyle name="20% - Accent5 3 9 2" xfId="701" xr:uid="{00000000-0005-0000-0000-00004E010000}"/>
    <cellStyle name="20% - Accent6 2" xfId="236" xr:uid="{00000000-0005-0000-0000-00004F010000}"/>
    <cellStyle name="20% - Accent6 2 10" xfId="702" xr:uid="{00000000-0005-0000-0000-000050010000}"/>
    <cellStyle name="20% - Accent6 2 10 2" xfId="703" xr:uid="{00000000-0005-0000-0000-000051010000}"/>
    <cellStyle name="20% - Accent6 2 11" xfId="704" xr:uid="{00000000-0005-0000-0000-000052010000}"/>
    <cellStyle name="20% - Accent6 2 11 2" xfId="705" xr:uid="{00000000-0005-0000-0000-000053010000}"/>
    <cellStyle name="20% - Accent6 2 12" xfId="706" xr:uid="{00000000-0005-0000-0000-000054010000}"/>
    <cellStyle name="20% - Accent6 2 12 2" xfId="707" xr:uid="{00000000-0005-0000-0000-000055010000}"/>
    <cellStyle name="20% - Accent6 2 13" xfId="708" xr:uid="{00000000-0005-0000-0000-000056010000}"/>
    <cellStyle name="20% - Accent6 2 13 2" xfId="709" xr:uid="{00000000-0005-0000-0000-000057010000}"/>
    <cellStyle name="20% - Accent6 2 14" xfId="710" xr:uid="{00000000-0005-0000-0000-000058010000}"/>
    <cellStyle name="20% - Accent6 2 14 2" xfId="711" xr:uid="{00000000-0005-0000-0000-000059010000}"/>
    <cellStyle name="20% - Accent6 2 15" xfId="712" xr:uid="{00000000-0005-0000-0000-00005A010000}"/>
    <cellStyle name="20% - Accent6 2 15 2" xfId="713" xr:uid="{00000000-0005-0000-0000-00005B010000}"/>
    <cellStyle name="20% - Accent6 2 16" xfId="714" xr:uid="{00000000-0005-0000-0000-00005C010000}"/>
    <cellStyle name="20% - Accent6 2 16 2" xfId="715" xr:uid="{00000000-0005-0000-0000-00005D010000}"/>
    <cellStyle name="20% - Accent6 2 17" xfId="716" xr:uid="{00000000-0005-0000-0000-00005E010000}"/>
    <cellStyle name="20% - Accent6 2 17 2" xfId="717" xr:uid="{00000000-0005-0000-0000-00005F010000}"/>
    <cellStyle name="20% - Accent6 2 18" xfId="2439" xr:uid="{00000000-0005-0000-0000-000060010000}"/>
    <cellStyle name="20% - Accent6 2 18 2" xfId="2827" xr:uid="{00000000-0005-0000-0000-000060010000}"/>
    <cellStyle name="20% - Accent6 2 19" xfId="2752" xr:uid="{00000000-0005-0000-0000-00000A000000}"/>
    <cellStyle name="20% - Accent6 2 2" xfId="364" xr:uid="{00000000-0005-0000-0000-000061010000}"/>
    <cellStyle name="20% - Accent6 2 2 2" xfId="719" xr:uid="{00000000-0005-0000-0000-000062010000}"/>
    <cellStyle name="20% - Accent6 2 2 3" xfId="718" xr:uid="{00000000-0005-0000-0000-000063010000}"/>
    <cellStyle name="20% - Accent6 2 2 4" xfId="2777" xr:uid="{00000000-0005-0000-0000-00000B000000}"/>
    <cellStyle name="20% - Accent6 2 2 5" xfId="11694" xr:uid="{00000000-0005-0000-0000-000080010000}"/>
    <cellStyle name="20% - Accent6 2 20" xfId="11695" xr:uid="{00000000-0005-0000-0000-000081010000}"/>
    <cellStyle name="20% - Accent6 2 3" xfId="720" xr:uid="{00000000-0005-0000-0000-000064010000}"/>
    <cellStyle name="20% - Accent6 2 3 2" xfId="721" xr:uid="{00000000-0005-0000-0000-000065010000}"/>
    <cellStyle name="20% - Accent6 2 4" xfId="722" xr:uid="{00000000-0005-0000-0000-000066010000}"/>
    <cellStyle name="20% - Accent6 2 4 2" xfId="723" xr:uid="{00000000-0005-0000-0000-000067010000}"/>
    <cellStyle name="20% - Accent6 2 5" xfId="724" xr:uid="{00000000-0005-0000-0000-000068010000}"/>
    <cellStyle name="20% - Accent6 2 5 2" xfId="725" xr:uid="{00000000-0005-0000-0000-000069010000}"/>
    <cellStyle name="20% - Accent6 2 6" xfId="726" xr:uid="{00000000-0005-0000-0000-00006A010000}"/>
    <cellStyle name="20% - Accent6 2 6 2" xfId="727" xr:uid="{00000000-0005-0000-0000-00006B010000}"/>
    <cellStyle name="20% - Accent6 2 7" xfId="728" xr:uid="{00000000-0005-0000-0000-00006C010000}"/>
    <cellStyle name="20% - Accent6 2 7 2" xfId="729" xr:uid="{00000000-0005-0000-0000-00006D010000}"/>
    <cellStyle name="20% - Accent6 2 8" xfId="730" xr:uid="{00000000-0005-0000-0000-00006E010000}"/>
    <cellStyle name="20% - Accent6 2 8 2" xfId="731" xr:uid="{00000000-0005-0000-0000-00006F010000}"/>
    <cellStyle name="20% - Accent6 2 9" xfId="732" xr:uid="{00000000-0005-0000-0000-000070010000}"/>
    <cellStyle name="20% - Accent6 2 9 2" xfId="733" xr:uid="{00000000-0005-0000-0000-000071010000}"/>
    <cellStyle name="20% - Accent6 3 10" xfId="734" xr:uid="{00000000-0005-0000-0000-000072010000}"/>
    <cellStyle name="20% - Accent6 3 10 2" xfId="735" xr:uid="{00000000-0005-0000-0000-000073010000}"/>
    <cellStyle name="20% - Accent6 3 11" xfId="736" xr:uid="{00000000-0005-0000-0000-000074010000}"/>
    <cellStyle name="20% - Accent6 3 11 2" xfId="737" xr:uid="{00000000-0005-0000-0000-000075010000}"/>
    <cellStyle name="20% - Accent6 3 12" xfId="738" xr:uid="{00000000-0005-0000-0000-000076010000}"/>
    <cellStyle name="20% - Accent6 3 12 2" xfId="739" xr:uid="{00000000-0005-0000-0000-000077010000}"/>
    <cellStyle name="20% - Accent6 3 13" xfId="740" xr:uid="{00000000-0005-0000-0000-000078010000}"/>
    <cellStyle name="20% - Accent6 3 13 2" xfId="741" xr:uid="{00000000-0005-0000-0000-000079010000}"/>
    <cellStyle name="20% - Accent6 3 14" xfId="742" xr:uid="{00000000-0005-0000-0000-00007A010000}"/>
    <cellStyle name="20% - Accent6 3 14 2" xfId="743" xr:uid="{00000000-0005-0000-0000-00007B010000}"/>
    <cellStyle name="20% - Accent6 3 15" xfId="744" xr:uid="{00000000-0005-0000-0000-00007C010000}"/>
    <cellStyle name="20% - Accent6 3 15 2" xfId="745" xr:uid="{00000000-0005-0000-0000-00007D010000}"/>
    <cellStyle name="20% - Accent6 3 16" xfId="746" xr:uid="{00000000-0005-0000-0000-00007E010000}"/>
    <cellStyle name="20% - Accent6 3 16 2" xfId="747" xr:uid="{00000000-0005-0000-0000-00007F010000}"/>
    <cellStyle name="20% - Accent6 3 17" xfId="748" xr:uid="{00000000-0005-0000-0000-000080010000}"/>
    <cellStyle name="20% - Accent6 3 17 2" xfId="749" xr:uid="{00000000-0005-0000-0000-000081010000}"/>
    <cellStyle name="20% - Accent6 3 2" xfId="750" xr:uid="{00000000-0005-0000-0000-000082010000}"/>
    <cellStyle name="20% - Accent6 3 2 2" xfId="751" xr:uid="{00000000-0005-0000-0000-000083010000}"/>
    <cellStyle name="20% - Accent6 3 3" xfId="752" xr:uid="{00000000-0005-0000-0000-000084010000}"/>
    <cellStyle name="20% - Accent6 3 3 2" xfId="753" xr:uid="{00000000-0005-0000-0000-000085010000}"/>
    <cellStyle name="20% - Accent6 3 4" xfId="754" xr:uid="{00000000-0005-0000-0000-000086010000}"/>
    <cellStyle name="20% - Accent6 3 4 2" xfId="755" xr:uid="{00000000-0005-0000-0000-000087010000}"/>
    <cellStyle name="20% - Accent6 3 5" xfId="756" xr:uid="{00000000-0005-0000-0000-000088010000}"/>
    <cellStyle name="20% - Accent6 3 5 2" xfId="757" xr:uid="{00000000-0005-0000-0000-000089010000}"/>
    <cellStyle name="20% - Accent6 3 6" xfId="758" xr:uid="{00000000-0005-0000-0000-00008A010000}"/>
    <cellStyle name="20% - Accent6 3 6 2" xfId="759" xr:uid="{00000000-0005-0000-0000-00008B010000}"/>
    <cellStyle name="20% - Accent6 3 7" xfId="760" xr:uid="{00000000-0005-0000-0000-00008C010000}"/>
    <cellStyle name="20% - Accent6 3 7 2" xfId="761" xr:uid="{00000000-0005-0000-0000-00008D010000}"/>
    <cellStyle name="20% - Accent6 3 8" xfId="762" xr:uid="{00000000-0005-0000-0000-00008E010000}"/>
    <cellStyle name="20% - Accent6 3 8 2" xfId="763" xr:uid="{00000000-0005-0000-0000-00008F010000}"/>
    <cellStyle name="20% - Accent6 3 9" xfId="764" xr:uid="{00000000-0005-0000-0000-000090010000}"/>
    <cellStyle name="20% - Accent6 3 9 2" xfId="765" xr:uid="{00000000-0005-0000-0000-000091010000}"/>
    <cellStyle name="20% - Colore 1" xfId="61" xr:uid="{00000000-0005-0000-0000-000092010000}"/>
    <cellStyle name="20% - Colore 1 10" xfId="62" xr:uid="{00000000-0005-0000-0000-000093010000}"/>
    <cellStyle name="20% - Colore 1 10 2" xfId="767" xr:uid="{00000000-0005-0000-0000-000094010000}"/>
    <cellStyle name="20% - Colore 1 10 3" xfId="2440" xr:uid="{00000000-0005-0000-0000-000095010000}"/>
    <cellStyle name="20% - Colore 1 10 4" xfId="11696" xr:uid="{00000000-0005-0000-0000-0000B4010000}"/>
    <cellStyle name="20% - Colore 1 10 4 2" xfId="11697" xr:uid="{00000000-0005-0000-0000-0000B5010000}"/>
    <cellStyle name="20% - Colore 1 10 5" xfId="11698" xr:uid="{00000000-0005-0000-0000-0000B6010000}"/>
    <cellStyle name="20% - Colore 1 11" xfId="63" xr:uid="{00000000-0005-0000-0000-000096010000}"/>
    <cellStyle name="20% - Colore 1 11 2" xfId="768" xr:uid="{00000000-0005-0000-0000-000097010000}"/>
    <cellStyle name="20% - Colore 1 11 3" xfId="2441" xr:uid="{00000000-0005-0000-0000-000098010000}"/>
    <cellStyle name="20% - Colore 1 11 4" xfId="11699" xr:uid="{00000000-0005-0000-0000-0000BA010000}"/>
    <cellStyle name="20% - Colore 1 11 4 2" xfId="11700" xr:uid="{00000000-0005-0000-0000-0000BB010000}"/>
    <cellStyle name="20% - Colore 1 11 5" xfId="11701" xr:uid="{00000000-0005-0000-0000-0000BC010000}"/>
    <cellStyle name="20% - Colore 1 12" xfId="64" xr:uid="{00000000-0005-0000-0000-000099010000}"/>
    <cellStyle name="20% - Colore 1 12 2" xfId="769" xr:uid="{00000000-0005-0000-0000-00009A010000}"/>
    <cellStyle name="20% - Colore 1 12 3" xfId="2442" xr:uid="{00000000-0005-0000-0000-00009B010000}"/>
    <cellStyle name="20% - Colore 1 12 4" xfId="11702" xr:uid="{00000000-0005-0000-0000-0000C0010000}"/>
    <cellStyle name="20% - Colore 1 12 4 2" xfId="11703" xr:uid="{00000000-0005-0000-0000-0000C1010000}"/>
    <cellStyle name="20% - Colore 1 12 5" xfId="11704" xr:uid="{00000000-0005-0000-0000-0000C2010000}"/>
    <cellStyle name="20% - Colore 1 13" xfId="65" xr:uid="{00000000-0005-0000-0000-00009C010000}"/>
    <cellStyle name="20% - Colore 1 13 2" xfId="770" xr:uid="{00000000-0005-0000-0000-00009D010000}"/>
    <cellStyle name="20% - Colore 1 13 3" xfId="2443" xr:uid="{00000000-0005-0000-0000-00009E010000}"/>
    <cellStyle name="20% - Colore 1 13 4" xfId="11705" xr:uid="{00000000-0005-0000-0000-0000C6010000}"/>
    <cellStyle name="20% - Colore 1 13 4 2" xfId="11706" xr:uid="{00000000-0005-0000-0000-0000C7010000}"/>
    <cellStyle name="20% - Colore 1 13 5" xfId="11707" xr:uid="{00000000-0005-0000-0000-0000C8010000}"/>
    <cellStyle name="20% - Colore 1 14" xfId="66" xr:uid="{00000000-0005-0000-0000-00009F010000}"/>
    <cellStyle name="20% - Colore 1 14 2" xfId="771" xr:uid="{00000000-0005-0000-0000-0000A0010000}"/>
    <cellStyle name="20% - Colore 1 14 3" xfId="2444" xr:uid="{00000000-0005-0000-0000-0000A1010000}"/>
    <cellStyle name="20% - Colore 1 14 4" xfId="11708" xr:uid="{00000000-0005-0000-0000-0000CC010000}"/>
    <cellStyle name="20% - Colore 1 14 4 2" xfId="11709" xr:uid="{00000000-0005-0000-0000-0000CD010000}"/>
    <cellStyle name="20% - Colore 1 14 5" xfId="11710" xr:uid="{00000000-0005-0000-0000-0000CE010000}"/>
    <cellStyle name="20% - Colore 1 15" xfId="300" xr:uid="{00000000-0005-0000-0000-0000A2010000}"/>
    <cellStyle name="20% - Colore 1 15 2" xfId="772" xr:uid="{00000000-0005-0000-0000-0000A3010000}"/>
    <cellStyle name="20% - Colore 1 15 2 2" xfId="2445" xr:uid="{00000000-0005-0000-0000-0000A4010000}"/>
    <cellStyle name="20% - Colore 1 15 3" xfId="2446" xr:uid="{00000000-0005-0000-0000-0000A5010000}"/>
    <cellStyle name="20% - Colore 1 15 4" xfId="11711" xr:uid="{00000000-0005-0000-0000-0000D3010000}"/>
    <cellStyle name="20% - Colore 1 15 4 2" xfId="11712" xr:uid="{00000000-0005-0000-0000-0000D4010000}"/>
    <cellStyle name="20% - Colore 1 15 5" xfId="11713" xr:uid="{00000000-0005-0000-0000-0000D5010000}"/>
    <cellStyle name="20% - Colore 1 16" xfId="773" xr:uid="{00000000-0005-0000-0000-0000A6010000}"/>
    <cellStyle name="20% - Colore 1 16 2" xfId="2447" xr:uid="{00000000-0005-0000-0000-0000A7010000}"/>
    <cellStyle name="20% - Colore 1 17" xfId="766" xr:uid="{00000000-0005-0000-0000-0000A8010000}"/>
    <cellStyle name="20% - Colore 1 18" xfId="2448" xr:uid="{00000000-0005-0000-0000-0000A9010000}"/>
    <cellStyle name="20% - Colore 1 19" xfId="2449" xr:uid="{00000000-0005-0000-0000-0000AA010000}"/>
    <cellStyle name="20% - Colore 1 2" xfId="67" xr:uid="{00000000-0005-0000-0000-0000AB010000}"/>
    <cellStyle name="20% - Colore 1 2 2" xfId="774" xr:uid="{00000000-0005-0000-0000-0000AC010000}"/>
    <cellStyle name="20% - Colore 1 2 3" xfId="2450" xr:uid="{00000000-0005-0000-0000-0000AD010000}"/>
    <cellStyle name="20% - Colore 1 2 4" xfId="11714" xr:uid="{00000000-0005-0000-0000-0000DE010000}"/>
    <cellStyle name="20% - Colore 1 2 4 2" xfId="11715" xr:uid="{00000000-0005-0000-0000-0000DF010000}"/>
    <cellStyle name="20% - Colore 1 2 5" xfId="11716" xr:uid="{00000000-0005-0000-0000-0000E0010000}"/>
    <cellStyle name="20% - Colore 1 20" xfId="11717" xr:uid="{00000000-0005-0000-0000-0000E1010000}"/>
    <cellStyle name="20% - Colore 1 20 2" xfId="11718" xr:uid="{00000000-0005-0000-0000-0000E2010000}"/>
    <cellStyle name="20% - Colore 1 21" xfId="11719" xr:uid="{00000000-0005-0000-0000-0000E3010000}"/>
    <cellStyle name="20% - Colore 1 3" xfId="68" xr:uid="{00000000-0005-0000-0000-0000AE010000}"/>
    <cellStyle name="20% - Colore 1 3 2" xfId="775" xr:uid="{00000000-0005-0000-0000-0000AF010000}"/>
    <cellStyle name="20% - Colore 1 3 3" xfId="2451" xr:uid="{00000000-0005-0000-0000-0000B0010000}"/>
    <cellStyle name="20% - Colore 1 3 4" xfId="11720" xr:uid="{00000000-0005-0000-0000-0000E7010000}"/>
    <cellStyle name="20% - Colore 1 3 4 2" xfId="11721" xr:uid="{00000000-0005-0000-0000-0000E8010000}"/>
    <cellStyle name="20% - Colore 1 3 5" xfId="11722" xr:uid="{00000000-0005-0000-0000-0000E9010000}"/>
    <cellStyle name="20% - Colore 1 4" xfId="69" xr:uid="{00000000-0005-0000-0000-0000B1010000}"/>
    <cellStyle name="20% - Colore 1 4 2" xfId="776" xr:uid="{00000000-0005-0000-0000-0000B2010000}"/>
    <cellStyle name="20% - Colore 1 4 3" xfId="2452" xr:uid="{00000000-0005-0000-0000-0000B3010000}"/>
    <cellStyle name="20% - Colore 1 4 4" xfId="11723" xr:uid="{00000000-0005-0000-0000-0000ED010000}"/>
    <cellStyle name="20% - Colore 1 4 4 2" xfId="11724" xr:uid="{00000000-0005-0000-0000-0000EE010000}"/>
    <cellStyle name="20% - Colore 1 4 5" xfId="11725" xr:uid="{00000000-0005-0000-0000-0000EF010000}"/>
    <cellStyle name="20% - Colore 1 5" xfId="70" xr:uid="{00000000-0005-0000-0000-0000B4010000}"/>
    <cellStyle name="20% - Colore 1 5 2" xfId="777" xr:uid="{00000000-0005-0000-0000-0000B5010000}"/>
    <cellStyle name="20% - Colore 1 5 3" xfId="2453" xr:uid="{00000000-0005-0000-0000-0000B6010000}"/>
    <cellStyle name="20% - Colore 1 5 4" xfId="11726" xr:uid="{00000000-0005-0000-0000-0000F3010000}"/>
    <cellStyle name="20% - Colore 1 5 4 2" xfId="11727" xr:uid="{00000000-0005-0000-0000-0000F4010000}"/>
    <cellStyle name="20% - Colore 1 5 5" xfId="11728" xr:uid="{00000000-0005-0000-0000-0000F5010000}"/>
    <cellStyle name="20% - Colore 1 6" xfId="71" xr:uid="{00000000-0005-0000-0000-0000B7010000}"/>
    <cellStyle name="20% - Colore 1 6 2" xfId="778" xr:uid="{00000000-0005-0000-0000-0000B8010000}"/>
    <cellStyle name="20% - Colore 1 6 3" xfId="2454" xr:uid="{00000000-0005-0000-0000-0000B9010000}"/>
    <cellStyle name="20% - Colore 1 6 4" xfId="11729" xr:uid="{00000000-0005-0000-0000-0000F9010000}"/>
    <cellStyle name="20% - Colore 1 6 4 2" xfId="11730" xr:uid="{00000000-0005-0000-0000-0000FA010000}"/>
    <cellStyle name="20% - Colore 1 6 5" xfId="11731" xr:uid="{00000000-0005-0000-0000-0000FB010000}"/>
    <cellStyle name="20% - Colore 1 7" xfId="72" xr:uid="{00000000-0005-0000-0000-0000BA010000}"/>
    <cellStyle name="20% - Colore 1 7 2" xfId="779" xr:uid="{00000000-0005-0000-0000-0000BB010000}"/>
    <cellStyle name="20% - Colore 1 7 3" xfId="2455" xr:uid="{00000000-0005-0000-0000-0000BC010000}"/>
    <cellStyle name="20% - Colore 1 7 4" xfId="11732" xr:uid="{00000000-0005-0000-0000-0000FF010000}"/>
    <cellStyle name="20% - Colore 1 7 4 2" xfId="11733" xr:uid="{00000000-0005-0000-0000-000000020000}"/>
    <cellStyle name="20% - Colore 1 7 5" xfId="11734" xr:uid="{00000000-0005-0000-0000-000001020000}"/>
    <cellStyle name="20% - Colore 1 8" xfId="73" xr:uid="{00000000-0005-0000-0000-0000BD010000}"/>
    <cellStyle name="20% - Colore 1 8 2" xfId="780" xr:uid="{00000000-0005-0000-0000-0000BE010000}"/>
    <cellStyle name="20% - Colore 1 8 3" xfId="2456" xr:uid="{00000000-0005-0000-0000-0000BF010000}"/>
    <cellStyle name="20% - Colore 1 8 4" xfId="11735" xr:uid="{00000000-0005-0000-0000-000005020000}"/>
    <cellStyle name="20% - Colore 1 8 4 2" xfId="11736" xr:uid="{00000000-0005-0000-0000-000006020000}"/>
    <cellStyle name="20% - Colore 1 8 5" xfId="11737" xr:uid="{00000000-0005-0000-0000-000007020000}"/>
    <cellStyle name="20% - Colore 1 9" xfId="74" xr:uid="{00000000-0005-0000-0000-0000C0010000}"/>
    <cellStyle name="20% - Colore 1 9 2" xfId="781" xr:uid="{00000000-0005-0000-0000-0000C1010000}"/>
    <cellStyle name="20% - Colore 1 9 3" xfId="2457" xr:uid="{00000000-0005-0000-0000-0000C2010000}"/>
    <cellStyle name="20% - Colore 1 9 4" xfId="11738" xr:uid="{00000000-0005-0000-0000-00000B020000}"/>
    <cellStyle name="20% - Colore 1 9 4 2" xfId="11739" xr:uid="{00000000-0005-0000-0000-00000C020000}"/>
    <cellStyle name="20% - Colore 1 9 5" xfId="11740" xr:uid="{00000000-0005-0000-0000-00000D020000}"/>
    <cellStyle name="20% - Colore 2" xfId="75" xr:uid="{00000000-0005-0000-0000-0000C3010000}"/>
    <cellStyle name="20% - Colore 2 10" xfId="76" xr:uid="{00000000-0005-0000-0000-0000C4010000}"/>
    <cellStyle name="20% - Colore 2 10 2" xfId="783" xr:uid="{00000000-0005-0000-0000-0000C5010000}"/>
    <cellStyle name="20% - Colore 2 10 3" xfId="2458" xr:uid="{00000000-0005-0000-0000-0000C6010000}"/>
    <cellStyle name="20% - Colore 2 10 4" xfId="11741" xr:uid="{00000000-0005-0000-0000-000012020000}"/>
    <cellStyle name="20% - Colore 2 10 4 2" xfId="11742" xr:uid="{00000000-0005-0000-0000-000013020000}"/>
    <cellStyle name="20% - Colore 2 10 5" xfId="11743" xr:uid="{00000000-0005-0000-0000-000014020000}"/>
    <cellStyle name="20% - Colore 2 11" xfId="77" xr:uid="{00000000-0005-0000-0000-0000C7010000}"/>
    <cellStyle name="20% - Colore 2 11 2" xfId="784" xr:uid="{00000000-0005-0000-0000-0000C8010000}"/>
    <cellStyle name="20% - Colore 2 11 3" xfId="2459" xr:uid="{00000000-0005-0000-0000-0000C9010000}"/>
    <cellStyle name="20% - Colore 2 11 4" xfId="11744" xr:uid="{00000000-0005-0000-0000-000018020000}"/>
    <cellStyle name="20% - Colore 2 11 4 2" xfId="11745" xr:uid="{00000000-0005-0000-0000-000019020000}"/>
    <cellStyle name="20% - Colore 2 11 5" xfId="11746" xr:uid="{00000000-0005-0000-0000-00001A020000}"/>
    <cellStyle name="20% - Colore 2 12" xfId="78" xr:uid="{00000000-0005-0000-0000-0000CA010000}"/>
    <cellStyle name="20% - Colore 2 12 2" xfId="785" xr:uid="{00000000-0005-0000-0000-0000CB010000}"/>
    <cellStyle name="20% - Colore 2 12 3" xfId="2460" xr:uid="{00000000-0005-0000-0000-0000CC010000}"/>
    <cellStyle name="20% - Colore 2 12 4" xfId="11747" xr:uid="{00000000-0005-0000-0000-00001E020000}"/>
    <cellStyle name="20% - Colore 2 12 4 2" xfId="11748" xr:uid="{00000000-0005-0000-0000-00001F020000}"/>
    <cellStyle name="20% - Colore 2 12 5" xfId="11749" xr:uid="{00000000-0005-0000-0000-000020020000}"/>
    <cellStyle name="20% - Colore 2 13" xfId="79" xr:uid="{00000000-0005-0000-0000-0000CD010000}"/>
    <cellStyle name="20% - Colore 2 13 2" xfId="786" xr:uid="{00000000-0005-0000-0000-0000CE010000}"/>
    <cellStyle name="20% - Colore 2 13 3" xfId="2461" xr:uid="{00000000-0005-0000-0000-0000CF010000}"/>
    <cellStyle name="20% - Colore 2 13 4" xfId="11750" xr:uid="{00000000-0005-0000-0000-000024020000}"/>
    <cellStyle name="20% - Colore 2 13 4 2" xfId="11751" xr:uid="{00000000-0005-0000-0000-000025020000}"/>
    <cellStyle name="20% - Colore 2 13 5" xfId="11752" xr:uid="{00000000-0005-0000-0000-000026020000}"/>
    <cellStyle name="20% - Colore 2 14" xfId="80" xr:uid="{00000000-0005-0000-0000-0000D0010000}"/>
    <cellStyle name="20% - Colore 2 14 2" xfId="787" xr:uid="{00000000-0005-0000-0000-0000D1010000}"/>
    <cellStyle name="20% - Colore 2 14 3" xfId="2462" xr:uid="{00000000-0005-0000-0000-0000D2010000}"/>
    <cellStyle name="20% - Colore 2 14 4" xfId="11753" xr:uid="{00000000-0005-0000-0000-00002A020000}"/>
    <cellStyle name="20% - Colore 2 14 4 2" xfId="11754" xr:uid="{00000000-0005-0000-0000-00002B020000}"/>
    <cellStyle name="20% - Colore 2 14 5" xfId="11755" xr:uid="{00000000-0005-0000-0000-00002C020000}"/>
    <cellStyle name="20% - Colore 2 15" xfId="301" xr:uid="{00000000-0005-0000-0000-0000D3010000}"/>
    <cellStyle name="20% - Colore 2 15 2" xfId="788" xr:uid="{00000000-0005-0000-0000-0000D4010000}"/>
    <cellStyle name="20% - Colore 2 15 2 2" xfId="2463" xr:uid="{00000000-0005-0000-0000-0000D5010000}"/>
    <cellStyle name="20% - Colore 2 15 3" xfId="2464" xr:uid="{00000000-0005-0000-0000-0000D6010000}"/>
    <cellStyle name="20% - Colore 2 15 4" xfId="11756" xr:uid="{00000000-0005-0000-0000-000031020000}"/>
    <cellStyle name="20% - Colore 2 15 4 2" xfId="11757" xr:uid="{00000000-0005-0000-0000-000032020000}"/>
    <cellStyle name="20% - Colore 2 15 5" xfId="11758" xr:uid="{00000000-0005-0000-0000-000033020000}"/>
    <cellStyle name="20% - Colore 2 16" xfId="789" xr:uid="{00000000-0005-0000-0000-0000D7010000}"/>
    <cellStyle name="20% - Colore 2 16 2" xfId="2465" xr:uid="{00000000-0005-0000-0000-0000D8010000}"/>
    <cellStyle name="20% - Colore 2 17" xfId="782" xr:uid="{00000000-0005-0000-0000-0000D9010000}"/>
    <cellStyle name="20% - Colore 2 18" xfId="2466" xr:uid="{00000000-0005-0000-0000-0000DA010000}"/>
    <cellStyle name="20% - Colore 2 19" xfId="2467" xr:uid="{00000000-0005-0000-0000-0000DB010000}"/>
    <cellStyle name="20% - Colore 2 2" xfId="81" xr:uid="{00000000-0005-0000-0000-0000DC010000}"/>
    <cellStyle name="20% - Colore 2 2 2" xfId="790" xr:uid="{00000000-0005-0000-0000-0000DD010000}"/>
    <cellStyle name="20% - Colore 2 2 3" xfId="2468" xr:uid="{00000000-0005-0000-0000-0000DE010000}"/>
    <cellStyle name="20% - Colore 2 2 4" xfId="11759" xr:uid="{00000000-0005-0000-0000-00003C020000}"/>
    <cellStyle name="20% - Colore 2 2 4 2" xfId="11760" xr:uid="{00000000-0005-0000-0000-00003D020000}"/>
    <cellStyle name="20% - Colore 2 2 5" xfId="11761" xr:uid="{00000000-0005-0000-0000-00003E020000}"/>
    <cellStyle name="20% - Colore 2 20" xfId="11762" xr:uid="{00000000-0005-0000-0000-00003F020000}"/>
    <cellStyle name="20% - Colore 2 20 2" xfId="11763" xr:uid="{00000000-0005-0000-0000-000040020000}"/>
    <cellStyle name="20% - Colore 2 21" xfId="11764" xr:uid="{00000000-0005-0000-0000-000041020000}"/>
    <cellStyle name="20% - Colore 2 3" xfId="82" xr:uid="{00000000-0005-0000-0000-0000DF010000}"/>
    <cellStyle name="20% - Colore 2 3 2" xfId="791" xr:uid="{00000000-0005-0000-0000-0000E0010000}"/>
    <cellStyle name="20% - Colore 2 3 3" xfId="2469" xr:uid="{00000000-0005-0000-0000-0000E1010000}"/>
    <cellStyle name="20% - Colore 2 3 4" xfId="11765" xr:uid="{00000000-0005-0000-0000-000045020000}"/>
    <cellStyle name="20% - Colore 2 3 4 2" xfId="11766" xr:uid="{00000000-0005-0000-0000-000046020000}"/>
    <cellStyle name="20% - Colore 2 3 5" xfId="11767" xr:uid="{00000000-0005-0000-0000-000047020000}"/>
    <cellStyle name="20% - Colore 2 4" xfId="83" xr:uid="{00000000-0005-0000-0000-0000E2010000}"/>
    <cellStyle name="20% - Colore 2 4 2" xfId="792" xr:uid="{00000000-0005-0000-0000-0000E3010000}"/>
    <cellStyle name="20% - Colore 2 4 3" xfId="2470" xr:uid="{00000000-0005-0000-0000-0000E4010000}"/>
    <cellStyle name="20% - Colore 2 4 4" xfId="11768" xr:uid="{00000000-0005-0000-0000-00004B020000}"/>
    <cellStyle name="20% - Colore 2 4 4 2" xfId="11769" xr:uid="{00000000-0005-0000-0000-00004C020000}"/>
    <cellStyle name="20% - Colore 2 4 5" xfId="11770" xr:uid="{00000000-0005-0000-0000-00004D020000}"/>
    <cellStyle name="20% - Colore 2 5" xfId="84" xr:uid="{00000000-0005-0000-0000-0000E5010000}"/>
    <cellStyle name="20% - Colore 2 5 2" xfId="793" xr:uid="{00000000-0005-0000-0000-0000E6010000}"/>
    <cellStyle name="20% - Colore 2 5 3" xfId="2471" xr:uid="{00000000-0005-0000-0000-0000E7010000}"/>
    <cellStyle name="20% - Colore 2 5 4" xfId="11771" xr:uid="{00000000-0005-0000-0000-000051020000}"/>
    <cellStyle name="20% - Colore 2 5 4 2" xfId="11772" xr:uid="{00000000-0005-0000-0000-000052020000}"/>
    <cellStyle name="20% - Colore 2 5 5" xfId="11773" xr:uid="{00000000-0005-0000-0000-000053020000}"/>
    <cellStyle name="20% - Colore 2 6" xfId="85" xr:uid="{00000000-0005-0000-0000-0000E8010000}"/>
    <cellStyle name="20% - Colore 2 6 2" xfId="794" xr:uid="{00000000-0005-0000-0000-0000E9010000}"/>
    <cellStyle name="20% - Colore 2 6 3" xfId="2472" xr:uid="{00000000-0005-0000-0000-0000EA010000}"/>
    <cellStyle name="20% - Colore 2 6 4" xfId="11774" xr:uid="{00000000-0005-0000-0000-000057020000}"/>
    <cellStyle name="20% - Colore 2 6 4 2" xfId="11775" xr:uid="{00000000-0005-0000-0000-000058020000}"/>
    <cellStyle name="20% - Colore 2 6 5" xfId="11776" xr:uid="{00000000-0005-0000-0000-000059020000}"/>
    <cellStyle name="20% - Colore 2 7" xfId="86" xr:uid="{00000000-0005-0000-0000-0000EB010000}"/>
    <cellStyle name="20% - Colore 2 7 2" xfId="795" xr:uid="{00000000-0005-0000-0000-0000EC010000}"/>
    <cellStyle name="20% - Colore 2 7 3" xfId="2473" xr:uid="{00000000-0005-0000-0000-0000ED010000}"/>
    <cellStyle name="20% - Colore 2 7 4" xfId="11777" xr:uid="{00000000-0005-0000-0000-00005D020000}"/>
    <cellStyle name="20% - Colore 2 7 4 2" xfId="11778" xr:uid="{00000000-0005-0000-0000-00005E020000}"/>
    <cellStyle name="20% - Colore 2 7 5" xfId="11779" xr:uid="{00000000-0005-0000-0000-00005F020000}"/>
    <cellStyle name="20% - Colore 2 8" xfId="87" xr:uid="{00000000-0005-0000-0000-0000EE010000}"/>
    <cellStyle name="20% - Colore 2 8 2" xfId="796" xr:uid="{00000000-0005-0000-0000-0000EF010000}"/>
    <cellStyle name="20% - Colore 2 8 3" xfId="2474" xr:uid="{00000000-0005-0000-0000-0000F0010000}"/>
    <cellStyle name="20% - Colore 2 8 4" xfId="11780" xr:uid="{00000000-0005-0000-0000-000063020000}"/>
    <cellStyle name="20% - Colore 2 8 4 2" xfId="11781" xr:uid="{00000000-0005-0000-0000-000064020000}"/>
    <cellStyle name="20% - Colore 2 8 5" xfId="11782" xr:uid="{00000000-0005-0000-0000-000065020000}"/>
    <cellStyle name="20% - Colore 2 9" xfId="88" xr:uid="{00000000-0005-0000-0000-0000F1010000}"/>
    <cellStyle name="20% - Colore 2 9 2" xfId="797" xr:uid="{00000000-0005-0000-0000-0000F2010000}"/>
    <cellStyle name="20% - Colore 2 9 3" xfId="2475" xr:uid="{00000000-0005-0000-0000-0000F3010000}"/>
    <cellStyle name="20% - Colore 2 9 4" xfId="11783" xr:uid="{00000000-0005-0000-0000-000069020000}"/>
    <cellStyle name="20% - Colore 2 9 4 2" xfId="11784" xr:uid="{00000000-0005-0000-0000-00006A020000}"/>
    <cellStyle name="20% - Colore 2 9 5" xfId="11785" xr:uid="{00000000-0005-0000-0000-00006B020000}"/>
    <cellStyle name="20% - Colore 3" xfId="89" xr:uid="{00000000-0005-0000-0000-0000F4010000}"/>
    <cellStyle name="20% - Colore 3 10" xfId="90" xr:uid="{00000000-0005-0000-0000-0000F5010000}"/>
    <cellStyle name="20% - Colore 3 10 2" xfId="799" xr:uid="{00000000-0005-0000-0000-0000F6010000}"/>
    <cellStyle name="20% - Colore 3 10 3" xfId="2476" xr:uid="{00000000-0005-0000-0000-0000F7010000}"/>
    <cellStyle name="20% - Colore 3 10 4" xfId="11786" xr:uid="{00000000-0005-0000-0000-000070020000}"/>
    <cellStyle name="20% - Colore 3 10 4 2" xfId="11787" xr:uid="{00000000-0005-0000-0000-000071020000}"/>
    <cellStyle name="20% - Colore 3 10 5" xfId="11788" xr:uid="{00000000-0005-0000-0000-000072020000}"/>
    <cellStyle name="20% - Colore 3 11" xfId="91" xr:uid="{00000000-0005-0000-0000-0000F8010000}"/>
    <cellStyle name="20% - Colore 3 11 2" xfId="800" xr:uid="{00000000-0005-0000-0000-0000F9010000}"/>
    <cellStyle name="20% - Colore 3 11 3" xfId="2477" xr:uid="{00000000-0005-0000-0000-0000FA010000}"/>
    <cellStyle name="20% - Colore 3 11 4" xfId="11789" xr:uid="{00000000-0005-0000-0000-000076020000}"/>
    <cellStyle name="20% - Colore 3 11 4 2" xfId="11790" xr:uid="{00000000-0005-0000-0000-000077020000}"/>
    <cellStyle name="20% - Colore 3 11 5" xfId="11791" xr:uid="{00000000-0005-0000-0000-000078020000}"/>
    <cellStyle name="20% - Colore 3 12" xfId="92" xr:uid="{00000000-0005-0000-0000-0000FB010000}"/>
    <cellStyle name="20% - Colore 3 12 2" xfId="801" xr:uid="{00000000-0005-0000-0000-0000FC010000}"/>
    <cellStyle name="20% - Colore 3 12 3" xfId="2478" xr:uid="{00000000-0005-0000-0000-0000FD010000}"/>
    <cellStyle name="20% - Colore 3 12 4" xfId="11792" xr:uid="{00000000-0005-0000-0000-00007C020000}"/>
    <cellStyle name="20% - Colore 3 12 4 2" xfId="11793" xr:uid="{00000000-0005-0000-0000-00007D020000}"/>
    <cellStyle name="20% - Colore 3 12 5" xfId="11794" xr:uid="{00000000-0005-0000-0000-00007E020000}"/>
    <cellStyle name="20% - Colore 3 13" xfId="93" xr:uid="{00000000-0005-0000-0000-0000FE010000}"/>
    <cellStyle name="20% - Colore 3 13 2" xfId="802" xr:uid="{00000000-0005-0000-0000-0000FF010000}"/>
    <cellStyle name="20% - Colore 3 13 3" xfId="2479" xr:uid="{00000000-0005-0000-0000-000000020000}"/>
    <cellStyle name="20% - Colore 3 13 4" xfId="11795" xr:uid="{00000000-0005-0000-0000-000082020000}"/>
    <cellStyle name="20% - Colore 3 13 4 2" xfId="11796" xr:uid="{00000000-0005-0000-0000-000083020000}"/>
    <cellStyle name="20% - Colore 3 13 5" xfId="11797" xr:uid="{00000000-0005-0000-0000-000084020000}"/>
    <cellStyle name="20% - Colore 3 14" xfId="94" xr:uid="{00000000-0005-0000-0000-000001020000}"/>
    <cellStyle name="20% - Colore 3 14 2" xfId="803" xr:uid="{00000000-0005-0000-0000-000002020000}"/>
    <cellStyle name="20% - Colore 3 14 3" xfId="2480" xr:uid="{00000000-0005-0000-0000-000003020000}"/>
    <cellStyle name="20% - Colore 3 14 4" xfId="11798" xr:uid="{00000000-0005-0000-0000-000088020000}"/>
    <cellStyle name="20% - Colore 3 14 4 2" xfId="11799" xr:uid="{00000000-0005-0000-0000-000089020000}"/>
    <cellStyle name="20% - Colore 3 14 5" xfId="11800" xr:uid="{00000000-0005-0000-0000-00008A020000}"/>
    <cellStyle name="20% - Colore 3 15" xfId="302" xr:uid="{00000000-0005-0000-0000-000004020000}"/>
    <cellStyle name="20% - Colore 3 15 2" xfId="804" xr:uid="{00000000-0005-0000-0000-000005020000}"/>
    <cellStyle name="20% - Colore 3 15 2 2" xfId="2481" xr:uid="{00000000-0005-0000-0000-000006020000}"/>
    <cellStyle name="20% - Colore 3 15 3" xfId="2482" xr:uid="{00000000-0005-0000-0000-000007020000}"/>
    <cellStyle name="20% - Colore 3 15 4" xfId="11801" xr:uid="{00000000-0005-0000-0000-00008F020000}"/>
    <cellStyle name="20% - Colore 3 15 4 2" xfId="11802" xr:uid="{00000000-0005-0000-0000-000090020000}"/>
    <cellStyle name="20% - Colore 3 15 5" xfId="11803" xr:uid="{00000000-0005-0000-0000-000091020000}"/>
    <cellStyle name="20% - Colore 3 16" xfId="805" xr:uid="{00000000-0005-0000-0000-000008020000}"/>
    <cellStyle name="20% - Colore 3 16 2" xfId="2483" xr:uid="{00000000-0005-0000-0000-000009020000}"/>
    <cellStyle name="20% - Colore 3 17" xfId="798" xr:uid="{00000000-0005-0000-0000-00000A020000}"/>
    <cellStyle name="20% - Colore 3 18" xfId="2484" xr:uid="{00000000-0005-0000-0000-00000B020000}"/>
    <cellStyle name="20% - Colore 3 19" xfId="2485" xr:uid="{00000000-0005-0000-0000-00000C020000}"/>
    <cellStyle name="20% - Colore 3 2" xfId="95" xr:uid="{00000000-0005-0000-0000-00000D020000}"/>
    <cellStyle name="20% - Colore 3 2 2" xfId="806" xr:uid="{00000000-0005-0000-0000-00000E020000}"/>
    <cellStyle name="20% - Colore 3 2 3" xfId="2486" xr:uid="{00000000-0005-0000-0000-00000F020000}"/>
    <cellStyle name="20% - Colore 3 2 4" xfId="11804" xr:uid="{00000000-0005-0000-0000-00009A020000}"/>
    <cellStyle name="20% - Colore 3 2 4 2" xfId="11805" xr:uid="{00000000-0005-0000-0000-00009B020000}"/>
    <cellStyle name="20% - Colore 3 2 5" xfId="11806" xr:uid="{00000000-0005-0000-0000-00009C020000}"/>
    <cellStyle name="20% - Colore 3 20" xfId="11807" xr:uid="{00000000-0005-0000-0000-00009D020000}"/>
    <cellStyle name="20% - Colore 3 20 2" xfId="11808" xr:uid="{00000000-0005-0000-0000-00009E020000}"/>
    <cellStyle name="20% - Colore 3 21" xfId="11809" xr:uid="{00000000-0005-0000-0000-00009F020000}"/>
    <cellStyle name="20% - Colore 3 3" xfId="96" xr:uid="{00000000-0005-0000-0000-000010020000}"/>
    <cellStyle name="20% - Colore 3 3 2" xfId="807" xr:uid="{00000000-0005-0000-0000-000011020000}"/>
    <cellStyle name="20% - Colore 3 3 3" xfId="2487" xr:uid="{00000000-0005-0000-0000-000012020000}"/>
    <cellStyle name="20% - Colore 3 3 4" xfId="11810" xr:uid="{00000000-0005-0000-0000-0000A3020000}"/>
    <cellStyle name="20% - Colore 3 3 4 2" xfId="11811" xr:uid="{00000000-0005-0000-0000-0000A4020000}"/>
    <cellStyle name="20% - Colore 3 3 5" xfId="11812" xr:uid="{00000000-0005-0000-0000-0000A5020000}"/>
    <cellStyle name="20% - Colore 3 4" xfId="97" xr:uid="{00000000-0005-0000-0000-000013020000}"/>
    <cellStyle name="20% - Colore 3 4 2" xfId="808" xr:uid="{00000000-0005-0000-0000-000014020000}"/>
    <cellStyle name="20% - Colore 3 4 3" xfId="2488" xr:uid="{00000000-0005-0000-0000-000015020000}"/>
    <cellStyle name="20% - Colore 3 4 4" xfId="11813" xr:uid="{00000000-0005-0000-0000-0000A9020000}"/>
    <cellStyle name="20% - Colore 3 4 4 2" xfId="11814" xr:uid="{00000000-0005-0000-0000-0000AA020000}"/>
    <cellStyle name="20% - Colore 3 4 5" xfId="11815" xr:uid="{00000000-0005-0000-0000-0000AB020000}"/>
    <cellStyle name="20% - Colore 3 5" xfId="98" xr:uid="{00000000-0005-0000-0000-000016020000}"/>
    <cellStyle name="20% - Colore 3 5 2" xfId="809" xr:uid="{00000000-0005-0000-0000-000017020000}"/>
    <cellStyle name="20% - Colore 3 5 3" xfId="2489" xr:uid="{00000000-0005-0000-0000-000018020000}"/>
    <cellStyle name="20% - Colore 3 5 4" xfId="11816" xr:uid="{00000000-0005-0000-0000-0000AF020000}"/>
    <cellStyle name="20% - Colore 3 5 4 2" xfId="11817" xr:uid="{00000000-0005-0000-0000-0000B0020000}"/>
    <cellStyle name="20% - Colore 3 5 5" xfId="11818" xr:uid="{00000000-0005-0000-0000-0000B1020000}"/>
    <cellStyle name="20% - Colore 3 6" xfId="99" xr:uid="{00000000-0005-0000-0000-000019020000}"/>
    <cellStyle name="20% - Colore 3 6 2" xfId="810" xr:uid="{00000000-0005-0000-0000-00001A020000}"/>
    <cellStyle name="20% - Colore 3 6 3" xfId="2490" xr:uid="{00000000-0005-0000-0000-00001B020000}"/>
    <cellStyle name="20% - Colore 3 6 4" xfId="11819" xr:uid="{00000000-0005-0000-0000-0000B5020000}"/>
    <cellStyle name="20% - Colore 3 6 4 2" xfId="11820" xr:uid="{00000000-0005-0000-0000-0000B6020000}"/>
    <cellStyle name="20% - Colore 3 6 5" xfId="11821" xr:uid="{00000000-0005-0000-0000-0000B7020000}"/>
    <cellStyle name="20% - Colore 3 7" xfId="100" xr:uid="{00000000-0005-0000-0000-00001C020000}"/>
    <cellStyle name="20% - Colore 3 7 2" xfId="811" xr:uid="{00000000-0005-0000-0000-00001D020000}"/>
    <cellStyle name="20% - Colore 3 7 3" xfId="2491" xr:uid="{00000000-0005-0000-0000-00001E020000}"/>
    <cellStyle name="20% - Colore 3 7 4" xfId="11822" xr:uid="{00000000-0005-0000-0000-0000BB020000}"/>
    <cellStyle name="20% - Colore 3 7 4 2" xfId="11823" xr:uid="{00000000-0005-0000-0000-0000BC020000}"/>
    <cellStyle name="20% - Colore 3 7 5" xfId="11824" xr:uid="{00000000-0005-0000-0000-0000BD020000}"/>
    <cellStyle name="20% - Colore 3 8" xfId="101" xr:uid="{00000000-0005-0000-0000-00001F020000}"/>
    <cellStyle name="20% - Colore 3 8 2" xfId="812" xr:uid="{00000000-0005-0000-0000-000020020000}"/>
    <cellStyle name="20% - Colore 3 8 3" xfId="2492" xr:uid="{00000000-0005-0000-0000-000021020000}"/>
    <cellStyle name="20% - Colore 3 8 4" xfId="11825" xr:uid="{00000000-0005-0000-0000-0000C1020000}"/>
    <cellStyle name="20% - Colore 3 8 4 2" xfId="11826" xr:uid="{00000000-0005-0000-0000-0000C2020000}"/>
    <cellStyle name="20% - Colore 3 8 5" xfId="11827" xr:uid="{00000000-0005-0000-0000-0000C3020000}"/>
    <cellStyle name="20% - Colore 3 9" xfId="102" xr:uid="{00000000-0005-0000-0000-000022020000}"/>
    <cellStyle name="20% - Colore 3 9 2" xfId="813" xr:uid="{00000000-0005-0000-0000-000023020000}"/>
    <cellStyle name="20% - Colore 3 9 3" xfId="2493" xr:uid="{00000000-0005-0000-0000-000024020000}"/>
    <cellStyle name="20% - Colore 3 9 4" xfId="11828" xr:uid="{00000000-0005-0000-0000-0000C7020000}"/>
    <cellStyle name="20% - Colore 3 9 4 2" xfId="11829" xr:uid="{00000000-0005-0000-0000-0000C8020000}"/>
    <cellStyle name="20% - Colore 3 9 5" xfId="11830" xr:uid="{00000000-0005-0000-0000-0000C9020000}"/>
    <cellStyle name="20% - Colore 4" xfId="103" xr:uid="{00000000-0005-0000-0000-000025020000}"/>
    <cellStyle name="20% - Colore 4 10" xfId="104" xr:uid="{00000000-0005-0000-0000-000026020000}"/>
    <cellStyle name="20% - Colore 4 10 2" xfId="815" xr:uid="{00000000-0005-0000-0000-000027020000}"/>
    <cellStyle name="20% - Colore 4 10 3" xfId="2494" xr:uid="{00000000-0005-0000-0000-000028020000}"/>
    <cellStyle name="20% - Colore 4 10 4" xfId="11831" xr:uid="{00000000-0005-0000-0000-0000CE020000}"/>
    <cellStyle name="20% - Colore 4 10 4 2" xfId="11832" xr:uid="{00000000-0005-0000-0000-0000CF020000}"/>
    <cellStyle name="20% - Colore 4 10 5" xfId="11833" xr:uid="{00000000-0005-0000-0000-0000D0020000}"/>
    <cellStyle name="20% - Colore 4 11" xfId="105" xr:uid="{00000000-0005-0000-0000-000029020000}"/>
    <cellStyle name="20% - Colore 4 11 2" xfId="816" xr:uid="{00000000-0005-0000-0000-00002A020000}"/>
    <cellStyle name="20% - Colore 4 11 3" xfId="2495" xr:uid="{00000000-0005-0000-0000-00002B020000}"/>
    <cellStyle name="20% - Colore 4 11 4" xfId="11834" xr:uid="{00000000-0005-0000-0000-0000D4020000}"/>
    <cellStyle name="20% - Colore 4 11 4 2" xfId="11835" xr:uid="{00000000-0005-0000-0000-0000D5020000}"/>
    <cellStyle name="20% - Colore 4 11 5" xfId="11836" xr:uid="{00000000-0005-0000-0000-0000D6020000}"/>
    <cellStyle name="20% - Colore 4 12" xfId="106" xr:uid="{00000000-0005-0000-0000-00002C020000}"/>
    <cellStyle name="20% - Colore 4 12 2" xfId="817" xr:uid="{00000000-0005-0000-0000-00002D020000}"/>
    <cellStyle name="20% - Colore 4 12 3" xfId="2496" xr:uid="{00000000-0005-0000-0000-00002E020000}"/>
    <cellStyle name="20% - Colore 4 12 4" xfId="11837" xr:uid="{00000000-0005-0000-0000-0000DA020000}"/>
    <cellStyle name="20% - Colore 4 12 4 2" xfId="11838" xr:uid="{00000000-0005-0000-0000-0000DB020000}"/>
    <cellStyle name="20% - Colore 4 12 5" xfId="11839" xr:uid="{00000000-0005-0000-0000-0000DC020000}"/>
    <cellStyle name="20% - Colore 4 13" xfId="107" xr:uid="{00000000-0005-0000-0000-00002F020000}"/>
    <cellStyle name="20% - Colore 4 13 2" xfId="818" xr:uid="{00000000-0005-0000-0000-000030020000}"/>
    <cellStyle name="20% - Colore 4 13 3" xfId="2497" xr:uid="{00000000-0005-0000-0000-000031020000}"/>
    <cellStyle name="20% - Colore 4 13 4" xfId="11840" xr:uid="{00000000-0005-0000-0000-0000E0020000}"/>
    <cellStyle name="20% - Colore 4 13 4 2" xfId="11841" xr:uid="{00000000-0005-0000-0000-0000E1020000}"/>
    <cellStyle name="20% - Colore 4 13 5" xfId="11842" xr:uid="{00000000-0005-0000-0000-0000E2020000}"/>
    <cellStyle name="20% - Colore 4 14" xfId="108" xr:uid="{00000000-0005-0000-0000-000032020000}"/>
    <cellStyle name="20% - Colore 4 14 2" xfId="819" xr:uid="{00000000-0005-0000-0000-000033020000}"/>
    <cellStyle name="20% - Colore 4 14 3" xfId="2498" xr:uid="{00000000-0005-0000-0000-000034020000}"/>
    <cellStyle name="20% - Colore 4 14 4" xfId="11843" xr:uid="{00000000-0005-0000-0000-0000E6020000}"/>
    <cellStyle name="20% - Colore 4 14 4 2" xfId="11844" xr:uid="{00000000-0005-0000-0000-0000E7020000}"/>
    <cellStyle name="20% - Colore 4 14 5" xfId="11845" xr:uid="{00000000-0005-0000-0000-0000E8020000}"/>
    <cellStyle name="20% - Colore 4 15" xfId="303" xr:uid="{00000000-0005-0000-0000-000035020000}"/>
    <cellStyle name="20% - Colore 4 15 2" xfId="820" xr:uid="{00000000-0005-0000-0000-000036020000}"/>
    <cellStyle name="20% - Colore 4 15 2 2" xfId="2499" xr:uid="{00000000-0005-0000-0000-000037020000}"/>
    <cellStyle name="20% - Colore 4 15 3" xfId="2500" xr:uid="{00000000-0005-0000-0000-000038020000}"/>
    <cellStyle name="20% - Colore 4 15 4" xfId="11846" xr:uid="{00000000-0005-0000-0000-0000ED020000}"/>
    <cellStyle name="20% - Colore 4 15 4 2" xfId="11847" xr:uid="{00000000-0005-0000-0000-0000EE020000}"/>
    <cellStyle name="20% - Colore 4 15 5" xfId="11848" xr:uid="{00000000-0005-0000-0000-0000EF020000}"/>
    <cellStyle name="20% - Colore 4 16" xfId="821" xr:uid="{00000000-0005-0000-0000-000039020000}"/>
    <cellStyle name="20% - Colore 4 16 2" xfId="2501" xr:uid="{00000000-0005-0000-0000-00003A020000}"/>
    <cellStyle name="20% - Colore 4 17" xfId="814" xr:uid="{00000000-0005-0000-0000-00003B020000}"/>
    <cellStyle name="20% - Colore 4 18" xfId="2502" xr:uid="{00000000-0005-0000-0000-00003C020000}"/>
    <cellStyle name="20% - Colore 4 19" xfId="2503" xr:uid="{00000000-0005-0000-0000-00003D020000}"/>
    <cellStyle name="20% - Colore 4 2" xfId="109" xr:uid="{00000000-0005-0000-0000-00003E020000}"/>
    <cellStyle name="20% - Colore 4 2 2" xfId="822" xr:uid="{00000000-0005-0000-0000-00003F020000}"/>
    <cellStyle name="20% - Colore 4 2 3" xfId="2504" xr:uid="{00000000-0005-0000-0000-000040020000}"/>
    <cellStyle name="20% - Colore 4 2 4" xfId="11849" xr:uid="{00000000-0005-0000-0000-0000F8020000}"/>
    <cellStyle name="20% - Colore 4 2 4 2" xfId="11850" xr:uid="{00000000-0005-0000-0000-0000F9020000}"/>
    <cellStyle name="20% - Colore 4 2 5" xfId="11851" xr:uid="{00000000-0005-0000-0000-0000FA020000}"/>
    <cellStyle name="20% - Colore 4 20" xfId="11852" xr:uid="{00000000-0005-0000-0000-0000FB020000}"/>
    <cellStyle name="20% - Colore 4 20 2" xfId="11853" xr:uid="{00000000-0005-0000-0000-0000FC020000}"/>
    <cellStyle name="20% - Colore 4 21" xfId="11854" xr:uid="{00000000-0005-0000-0000-0000FD020000}"/>
    <cellStyle name="20% - Colore 4 3" xfId="110" xr:uid="{00000000-0005-0000-0000-000041020000}"/>
    <cellStyle name="20% - Colore 4 3 2" xfId="823" xr:uid="{00000000-0005-0000-0000-000042020000}"/>
    <cellStyle name="20% - Colore 4 3 3" xfId="2505" xr:uid="{00000000-0005-0000-0000-000043020000}"/>
    <cellStyle name="20% - Colore 4 3 4" xfId="11855" xr:uid="{00000000-0005-0000-0000-000001030000}"/>
    <cellStyle name="20% - Colore 4 3 4 2" xfId="11856" xr:uid="{00000000-0005-0000-0000-000002030000}"/>
    <cellStyle name="20% - Colore 4 3 5" xfId="11857" xr:uid="{00000000-0005-0000-0000-000003030000}"/>
    <cellStyle name="20% - Colore 4 4" xfId="111" xr:uid="{00000000-0005-0000-0000-000044020000}"/>
    <cellStyle name="20% - Colore 4 4 2" xfId="824" xr:uid="{00000000-0005-0000-0000-000045020000}"/>
    <cellStyle name="20% - Colore 4 4 3" xfId="2506" xr:uid="{00000000-0005-0000-0000-000046020000}"/>
    <cellStyle name="20% - Colore 4 4 4" xfId="11858" xr:uid="{00000000-0005-0000-0000-000007030000}"/>
    <cellStyle name="20% - Colore 4 4 4 2" xfId="11859" xr:uid="{00000000-0005-0000-0000-000008030000}"/>
    <cellStyle name="20% - Colore 4 4 5" xfId="11860" xr:uid="{00000000-0005-0000-0000-000009030000}"/>
    <cellStyle name="20% - Colore 4 5" xfId="112" xr:uid="{00000000-0005-0000-0000-000047020000}"/>
    <cellStyle name="20% - Colore 4 5 2" xfId="825" xr:uid="{00000000-0005-0000-0000-000048020000}"/>
    <cellStyle name="20% - Colore 4 5 3" xfId="2507" xr:uid="{00000000-0005-0000-0000-000049020000}"/>
    <cellStyle name="20% - Colore 4 5 4" xfId="11861" xr:uid="{00000000-0005-0000-0000-00000D030000}"/>
    <cellStyle name="20% - Colore 4 5 4 2" xfId="11862" xr:uid="{00000000-0005-0000-0000-00000E030000}"/>
    <cellStyle name="20% - Colore 4 5 5" xfId="11863" xr:uid="{00000000-0005-0000-0000-00000F030000}"/>
    <cellStyle name="20% - Colore 4 6" xfId="113" xr:uid="{00000000-0005-0000-0000-00004A020000}"/>
    <cellStyle name="20% - Colore 4 6 2" xfId="826" xr:uid="{00000000-0005-0000-0000-00004B020000}"/>
    <cellStyle name="20% - Colore 4 6 3" xfId="2508" xr:uid="{00000000-0005-0000-0000-00004C020000}"/>
    <cellStyle name="20% - Colore 4 6 4" xfId="11864" xr:uid="{00000000-0005-0000-0000-000013030000}"/>
    <cellStyle name="20% - Colore 4 6 4 2" xfId="11865" xr:uid="{00000000-0005-0000-0000-000014030000}"/>
    <cellStyle name="20% - Colore 4 6 5" xfId="11866" xr:uid="{00000000-0005-0000-0000-000015030000}"/>
    <cellStyle name="20% - Colore 4 7" xfId="114" xr:uid="{00000000-0005-0000-0000-00004D020000}"/>
    <cellStyle name="20% - Colore 4 7 2" xfId="827" xr:uid="{00000000-0005-0000-0000-00004E020000}"/>
    <cellStyle name="20% - Colore 4 7 3" xfId="2509" xr:uid="{00000000-0005-0000-0000-00004F020000}"/>
    <cellStyle name="20% - Colore 4 7 4" xfId="11867" xr:uid="{00000000-0005-0000-0000-000019030000}"/>
    <cellStyle name="20% - Colore 4 7 4 2" xfId="11868" xr:uid="{00000000-0005-0000-0000-00001A030000}"/>
    <cellStyle name="20% - Colore 4 7 5" xfId="11869" xr:uid="{00000000-0005-0000-0000-00001B030000}"/>
    <cellStyle name="20% - Colore 4 8" xfId="115" xr:uid="{00000000-0005-0000-0000-000050020000}"/>
    <cellStyle name="20% - Colore 4 8 2" xfId="828" xr:uid="{00000000-0005-0000-0000-000051020000}"/>
    <cellStyle name="20% - Colore 4 8 3" xfId="2510" xr:uid="{00000000-0005-0000-0000-000052020000}"/>
    <cellStyle name="20% - Colore 4 8 4" xfId="11870" xr:uid="{00000000-0005-0000-0000-00001F030000}"/>
    <cellStyle name="20% - Colore 4 8 4 2" xfId="11871" xr:uid="{00000000-0005-0000-0000-000020030000}"/>
    <cellStyle name="20% - Colore 4 8 5" xfId="11872" xr:uid="{00000000-0005-0000-0000-000021030000}"/>
    <cellStyle name="20% - Colore 4 9" xfId="116" xr:uid="{00000000-0005-0000-0000-000053020000}"/>
    <cellStyle name="20% - Colore 4 9 2" xfId="829" xr:uid="{00000000-0005-0000-0000-000054020000}"/>
    <cellStyle name="20% - Colore 4 9 3" xfId="2511" xr:uid="{00000000-0005-0000-0000-000055020000}"/>
    <cellStyle name="20% - Colore 4 9 4" xfId="11873" xr:uid="{00000000-0005-0000-0000-000025030000}"/>
    <cellStyle name="20% - Colore 4 9 4 2" xfId="11874" xr:uid="{00000000-0005-0000-0000-000026030000}"/>
    <cellStyle name="20% - Colore 4 9 5" xfId="11875" xr:uid="{00000000-0005-0000-0000-000027030000}"/>
    <cellStyle name="20% - Colore 5" xfId="117" xr:uid="{00000000-0005-0000-0000-000056020000}"/>
    <cellStyle name="20% - Colore 5 2" xfId="118" xr:uid="{00000000-0005-0000-0000-000057020000}"/>
    <cellStyle name="20% - Colore 5 2 2" xfId="831" xr:uid="{00000000-0005-0000-0000-000058020000}"/>
    <cellStyle name="20% - Colore 5 2 3" xfId="2512" xr:uid="{00000000-0005-0000-0000-000059020000}"/>
    <cellStyle name="20% - Colore 5 2 4" xfId="11876" xr:uid="{00000000-0005-0000-0000-00002C030000}"/>
    <cellStyle name="20% - Colore 5 2 4 2" xfId="11877" xr:uid="{00000000-0005-0000-0000-00002D030000}"/>
    <cellStyle name="20% - Colore 5 2 5" xfId="11878" xr:uid="{00000000-0005-0000-0000-00002E030000}"/>
    <cellStyle name="20% - Colore 5 3" xfId="304" xr:uid="{00000000-0005-0000-0000-00005A020000}"/>
    <cellStyle name="20% - Colore 5 3 2" xfId="832" xr:uid="{00000000-0005-0000-0000-00005B020000}"/>
    <cellStyle name="20% - Colore 5 3 2 2" xfId="2513" xr:uid="{00000000-0005-0000-0000-00005C020000}"/>
    <cellStyle name="20% - Colore 5 3 3" xfId="2514" xr:uid="{00000000-0005-0000-0000-00005D020000}"/>
    <cellStyle name="20% - Colore 5 3 4" xfId="11879" xr:uid="{00000000-0005-0000-0000-000033030000}"/>
    <cellStyle name="20% - Colore 5 3 4 2" xfId="11880" xr:uid="{00000000-0005-0000-0000-000034030000}"/>
    <cellStyle name="20% - Colore 5 3 5" xfId="11881" xr:uid="{00000000-0005-0000-0000-000035030000}"/>
    <cellStyle name="20% - Colore 5 4" xfId="833" xr:uid="{00000000-0005-0000-0000-00005E020000}"/>
    <cellStyle name="20% - Colore 5 4 2" xfId="2515" xr:uid="{00000000-0005-0000-0000-00005F020000}"/>
    <cellStyle name="20% - Colore 5 5" xfId="830" xr:uid="{00000000-0005-0000-0000-000060020000}"/>
    <cellStyle name="20% - Colore 5 6" xfId="2516" xr:uid="{00000000-0005-0000-0000-000061020000}"/>
    <cellStyle name="20% - Colore 5 7" xfId="2517" xr:uid="{00000000-0005-0000-0000-000062020000}"/>
    <cellStyle name="20% - Colore 5 8" xfId="11882" xr:uid="{00000000-0005-0000-0000-00003B030000}"/>
    <cellStyle name="20% - Colore 5 8 2" xfId="11883" xr:uid="{00000000-0005-0000-0000-00003C030000}"/>
    <cellStyle name="20% - Colore 5 9" xfId="11884" xr:uid="{00000000-0005-0000-0000-00003D030000}"/>
    <cellStyle name="20% - Colore 6" xfId="119" xr:uid="{00000000-0005-0000-0000-000063020000}"/>
    <cellStyle name="20% - Colore 6 2" xfId="120" xr:uid="{00000000-0005-0000-0000-000064020000}"/>
    <cellStyle name="20% - Colore 6 2 2" xfId="835" xr:uid="{00000000-0005-0000-0000-000065020000}"/>
    <cellStyle name="20% - Colore 6 2 3" xfId="2518" xr:uid="{00000000-0005-0000-0000-000066020000}"/>
    <cellStyle name="20% - Colore 6 2 4" xfId="11885" xr:uid="{00000000-0005-0000-0000-000042030000}"/>
    <cellStyle name="20% - Colore 6 2 4 2" xfId="11886" xr:uid="{00000000-0005-0000-0000-000043030000}"/>
    <cellStyle name="20% - Colore 6 2 5" xfId="11887" xr:uid="{00000000-0005-0000-0000-000044030000}"/>
    <cellStyle name="20% - Colore 6 3" xfId="305" xr:uid="{00000000-0005-0000-0000-000067020000}"/>
    <cellStyle name="20% - Colore 6 3 2" xfId="836" xr:uid="{00000000-0005-0000-0000-000068020000}"/>
    <cellStyle name="20% - Colore 6 3 2 2" xfId="2519" xr:uid="{00000000-0005-0000-0000-000069020000}"/>
    <cellStyle name="20% - Colore 6 3 3" xfId="2520" xr:uid="{00000000-0005-0000-0000-00006A020000}"/>
    <cellStyle name="20% - Colore 6 3 4" xfId="11888" xr:uid="{00000000-0005-0000-0000-000049030000}"/>
    <cellStyle name="20% - Colore 6 3 4 2" xfId="11889" xr:uid="{00000000-0005-0000-0000-00004A030000}"/>
    <cellStyle name="20% - Colore 6 3 5" xfId="11890" xr:uid="{00000000-0005-0000-0000-00004B030000}"/>
    <cellStyle name="20% - Colore 6 4" xfId="837" xr:uid="{00000000-0005-0000-0000-00006B020000}"/>
    <cellStyle name="20% - Colore 6 4 2" xfId="2521" xr:uid="{00000000-0005-0000-0000-00006C020000}"/>
    <cellStyle name="20% - Colore 6 5" xfId="834" xr:uid="{00000000-0005-0000-0000-00006D020000}"/>
    <cellStyle name="20% - Colore 6 6" xfId="2522" xr:uid="{00000000-0005-0000-0000-00006E020000}"/>
    <cellStyle name="20% - Colore 6 7" xfId="2523" xr:uid="{00000000-0005-0000-0000-00006F020000}"/>
    <cellStyle name="20% - Colore 6 8" xfId="11891" xr:uid="{00000000-0005-0000-0000-000051030000}"/>
    <cellStyle name="20% - Colore 6 8 2" xfId="11892" xr:uid="{00000000-0005-0000-0000-000052030000}"/>
    <cellStyle name="20% - Colore 6 9" xfId="11893" xr:uid="{00000000-0005-0000-0000-000053030000}"/>
    <cellStyle name="40% - Accent1 2" xfId="237" xr:uid="{00000000-0005-0000-0000-000070020000}"/>
    <cellStyle name="40% - Accent1 2 10" xfId="838" xr:uid="{00000000-0005-0000-0000-000071020000}"/>
    <cellStyle name="40% - Accent1 2 10 2" xfId="839" xr:uid="{00000000-0005-0000-0000-000072020000}"/>
    <cellStyle name="40% - Accent1 2 11" xfId="840" xr:uid="{00000000-0005-0000-0000-000073020000}"/>
    <cellStyle name="40% - Accent1 2 11 2" xfId="841" xr:uid="{00000000-0005-0000-0000-000074020000}"/>
    <cellStyle name="40% - Accent1 2 12" xfId="842" xr:uid="{00000000-0005-0000-0000-000075020000}"/>
    <cellStyle name="40% - Accent1 2 12 2" xfId="843" xr:uid="{00000000-0005-0000-0000-000076020000}"/>
    <cellStyle name="40% - Accent1 2 13" xfId="844" xr:uid="{00000000-0005-0000-0000-000077020000}"/>
    <cellStyle name="40% - Accent1 2 13 2" xfId="845" xr:uid="{00000000-0005-0000-0000-000078020000}"/>
    <cellStyle name="40% - Accent1 2 14" xfId="846" xr:uid="{00000000-0005-0000-0000-000079020000}"/>
    <cellStyle name="40% - Accent1 2 14 2" xfId="847" xr:uid="{00000000-0005-0000-0000-00007A020000}"/>
    <cellStyle name="40% - Accent1 2 15" xfId="848" xr:uid="{00000000-0005-0000-0000-00007B020000}"/>
    <cellStyle name="40% - Accent1 2 15 2" xfId="849" xr:uid="{00000000-0005-0000-0000-00007C020000}"/>
    <cellStyle name="40% - Accent1 2 16" xfId="850" xr:uid="{00000000-0005-0000-0000-00007D020000}"/>
    <cellStyle name="40% - Accent1 2 16 2" xfId="851" xr:uid="{00000000-0005-0000-0000-00007E020000}"/>
    <cellStyle name="40% - Accent1 2 17" xfId="852" xr:uid="{00000000-0005-0000-0000-00007F020000}"/>
    <cellStyle name="40% - Accent1 2 17 2" xfId="853" xr:uid="{00000000-0005-0000-0000-000080020000}"/>
    <cellStyle name="40% - Accent1 2 18" xfId="2524" xr:uid="{00000000-0005-0000-0000-000081020000}"/>
    <cellStyle name="40% - Accent1 2 18 2" xfId="2828" xr:uid="{00000000-0005-0000-0000-000081020000}"/>
    <cellStyle name="40% - Accent1 2 19" xfId="2753" xr:uid="{00000000-0005-0000-0000-00004E000000}"/>
    <cellStyle name="40% - Accent1 2 2" xfId="365" xr:uid="{00000000-0005-0000-0000-000082020000}"/>
    <cellStyle name="40% - Accent1 2 2 2" xfId="855" xr:uid="{00000000-0005-0000-0000-000083020000}"/>
    <cellStyle name="40% - Accent1 2 2 3" xfId="854" xr:uid="{00000000-0005-0000-0000-000084020000}"/>
    <cellStyle name="40% - Accent1 2 2 4" xfId="2778" xr:uid="{00000000-0005-0000-0000-00004F000000}"/>
    <cellStyle name="40% - Accent1 2 2 5" xfId="11894" xr:uid="{00000000-0005-0000-0000-00006C030000}"/>
    <cellStyle name="40% - Accent1 2 20" xfId="11895" xr:uid="{00000000-0005-0000-0000-00006D030000}"/>
    <cellStyle name="40% - Accent1 2 3" xfId="856" xr:uid="{00000000-0005-0000-0000-000085020000}"/>
    <cellStyle name="40% - Accent1 2 3 2" xfId="857" xr:uid="{00000000-0005-0000-0000-000086020000}"/>
    <cellStyle name="40% - Accent1 2 4" xfId="858" xr:uid="{00000000-0005-0000-0000-000087020000}"/>
    <cellStyle name="40% - Accent1 2 4 2" xfId="859" xr:uid="{00000000-0005-0000-0000-000088020000}"/>
    <cellStyle name="40% - Accent1 2 5" xfId="860" xr:uid="{00000000-0005-0000-0000-000089020000}"/>
    <cellStyle name="40% - Accent1 2 5 2" xfId="861" xr:uid="{00000000-0005-0000-0000-00008A020000}"/>
    <cellStyle name="40% - Accent1 2 6" xfId="862" xr:uid="{00000000-0005-0000-0000-00008B020000}"/>
    <cellStyle name="40% - Accent1 2 6 2" xfId="863" xr:uid="{00000000-0005-0000-0000-00008C020000}"/>
    <cellStyle name="40% - Accent1 2 7" xfId="864" xr:uid="{00000000-0005-0000-0000-00008D020000}"/>
    <cellStyle name="40% - Accent1 2 7 2" xfId="865" xr:uid="{00000000-0005-0000-0000-00008E020000}"/>
    <cellStyle name="40% - Accent1 2 8" xfId="866" xr:uid="{00000000-0005-0000-0000-00008F020000}"/>
    <cellStyle name="40% - Accent1 2 8 2" xfId="867" xr:uid="{00000000-0005-0000-0000-000090020000}"/>
    <cellStyle name="40% - Accent1 2 9" xfId="868" xr:uid="{00000000-0005-0000-0000-000091020000}"/>
    <cellStyle name="40% - Accent1 2 9 2" xfId="869" xr:uid="{00000000-0005-0000-0000-000092020000}"/>
    <cellStyle name="40% - Accent1 3 10" xfId="870" xr:uid="{00000000-0005-0000-0000-000093020000}"/>
    <cellStyle name="40% - Accent1 3 10 2" xfId="871" xr:uid="{00000000-0005-0000-0000-000094020000}"/>
    <cellStyle name="40% - Accent1 3 11" xfId="872" xr:uid="{00000000-0005-0000-0000-000095020000}"/>
    <cellStyle name="40% - Accent1 3 11 2" xfId="873" xr:uid="{00000000-0005-0000-0000-000096020000}"/>
    <cellStyle name="40% - Accent1 3 12" xfId="874" xr:uid="{00000000-0005-0000-0000-000097020000}"/>
    <cellStyle name="40% - Accent1 3 12 2" xfId="875" xr:uid="{00000000-0005-0000-0000-000098020000}"/>
    <cellStyle name="40% - Accent1 3 13" xfId="876" xr:uid="{00000000-0005-0000-0000-000099020000}"/>
    <cellStyle name="40% - Accent1 3 13 2" xfId="877" xr:uid="{00000000-0005-0000-0000-00009A020000}"/>
    <cellStyle name="40% - Accent1 3 14" xfId="878" xr:uid="{00000000-0005-0000-0000-00009B020000}"/>
    <cellStyle name="40% - Accent1 3 14 2" xfId="879" xr:uid="{00000000-0005-0000-0000-00009C020000}"/>
    <cellStyle name="40% - Accent1 3 15" xfId="880" xr:uid="{00000000-0005-0000-0000-00009D020000}"/>
    <cellStyle name="40% - Accent1 3 15 2" xfId="881" xr:uid="{00000000-0005-0000-0000-00009E020000}"/>
    <cellStyle name="40% - Accent1 3 16" xfId="882" xr:uid="{00000000-0005-0000-0000-00009F020000}"/>
    <cellStyle name="40% - Accent1 3 16 2" xfId="883" xr:uid="{00000000-0005-0000-0000-0000A0020000}"/>
    <cellStyle name="40% - Accent1 3 17" xfId="884" xr:uid="{00000000-0005-0000-0000-0000A1020000}"/>
    <cellStyle name="40% - Accent1 3 17 2" xfId="885" xr:uid="{00000000-0005-0000-0000-0000A2020000}"/>
    <cellStyle name="40% - Accent1 3 2" xfId="886" xr:uid="{00000000-0005-0000-0000-0000A3020000}"/>
    <cellStyle name="40% - Accent1 3 2 2" xfId="887" xr:uid="{00000000-0005-0000-0000-0000A4020000}"/>
    <cellStyle name="40% - Accent1 3 3" xfId="888" xr:uid="{00000000-0005-0000-0000-0000A5020000}"/>
    <cellStyle name="40% - Accent1 3 3 2" xfId="889" xr:uid="{00000000-0005-0000-0000-0000A6020000}"/>
    <cellStyle name="40% - Accent1 3 4" xfId="890" xr:uid="{00000000-0005-0000-0000-0000A7020000}"/>
    <cellStyle name="40% - Accent1 3 4 2" xfId="891" xr:uid="{00000000-0005-0000-0000-0000A8020000}"/>
    <cellStyle name="40% - Accent1 3 5" xfId="892" xr:uid="{00000000-0005-0000-0000-0000A9020000}"/>
    <cellStyle name="40% - Accent1 3 5 2" xfId="893" xr:uid="{00000000-0005-0000-0000-0000AA020000}"/>
    <cellStyle name="40% - Accent1 3 6" xfId="894" xr:uid="{00000000-0005-0000-0000-0000AB020000}"/>
    <cellStyle name="40% - Accent1 3 6 2" xfId="895" xr:uid="{00000000-0005-0000-0000-0000AC020000}"/>
    <cellStyle name="40% - Accent1 3 7" xfId="896" xr:uid="{00000000-0005-0000-0000-0000AD020000}"/>
    <cellStyle name="40% - Accent1 3 7 2" xfId="897" xr:uid="{00000000-0005-0000-0000-0000AE020000}"/>
    <cellStyle name="40% - Accent1 3 8" xfId="898" xr:uid="{00000000-0005-0000-0000-0000AF020000}"/>
    <cellStyle name="40% - Accent1 3 8 2" xfId="899" xr:uid="{00000000-0005-0000-0000-0000B0020000}"/>
    <cellStyle name="40% - Accent1 3 9" xfId="900" xr:uid="{00000000-0005-0000-0000-0000B1020000}"/>
    <cellStyle name="40% - Accent1 3 9 2" xfId="901" xr:uid="{00000000-0005-0000-0000-0000B2020000}"/>
    <cellStyle name="40% - Accent2 2" xfId="238" xr:uid="{00000000-0005-0000-0000-0000B3020000}"/>
    <cellStyle name="40% - Accent2 2 10" xfId="902" xr:uid="{00000000-0005-0000-0000-0000B4020000}"/>
    <cellStyle name="40% - Accent2 2 10 2" xfId="903" xr:uid="{00000000-0005-0000-0000-0000B5020000}"/>
    <cellStyle name="40% - Accent2 2 11" xfId="904" xr:uid="{00000000-0005-0000-0000-0000B6020000}"/>
    <cellStyle name="40% - Accent2 2 11 2" xfId="905" xr:uid="{00000000-0005-0000-0000-0000B7020000}"/>
    <cellStyle name="40% - Accent2 2 12" xfId="906" xr:uid="{00000000-0005-0000-0000-0000B8020000}"/>
    <cellStyle name="40% - Accent2 2 12 2" xfId="907" xr:uid="{00000000-0005-0000-0000-0000B9020000}"/>
    <cellStyle name="40% - Accent2 2 13" xfId="908" xr:uid="{00000000-0005-0000-0000-0000BA020000}"/>
    <cellStyle name="40% - Accent2 2 13 2" xfId="909" xr:uid="{00000000-0005-0000-0000-0000BB020000}"/>
    <cellStyle name="40% - Accent2 2 14" xfId="910" xr:uid="{00000000-0005-0000-0000-0000BC020000}"/>
    <cellStyle name="40% - Accent2 2 14 2" xfId="911" xr:uid="{00000000-0005-0000-0000-0000BD020000}"/>
    <cellStyle name="40% - Accent2 2 15" xfId="912" xr:uid="{00000000-0005-0000-0000-0000BE020000}"/>
    <cellStyle name="40% - Accent2 2 15 2" xfId="913" xr:uid="{00000000-0005-0000-0000-0000BF020000}"/>
    <cellStyle name="40% - Accent2 2 16" xfId="914" xr:uid="{00000000-0005-0000-0000-0000C0020000}"/>
    <cellStyle name="40% - Accent2 2 16 2" xfId="915" xr:uid="{00000000-0005-0000-0000-0000C1020000}"/>
    <cellStyle name="40% - Accent2 2 17" xfId="916" xr:uid="{00000000-0005-0000-0000-0000C2020000}"/>
    <cellStyle name="40% - Accent2 2 17 2" xfId="917" xr:uid="{00000000-0005-0000-0000-0000C3020000}"/>
    <cellStyle name="40% - Accent2 2 18" xfId="2525" xr:uid="{00000000-0005-0000-0000-0000C4020000}"/>
    <cellStyle name="40% - Accent2 2 18 2" xfId="2829" xr:uid="{00000000-0005-0000-0000-0000C4020000}"/>
    <cellStyle name="40% - Accent2 2 19" xfId="2754" xr:uid="{00000000-0005-0000-0000-000050000000}"/>
    <cellStyle name="40% - Accent2 2 2" xfId="366" xr:uid="{00000000-0005-0000-0000-0000C5020000}"/>
    <cellStyle name="40% - Accent2 2 2 2" xfId="919" xr:uid="{00000000-0005-0000-0000-0000C6020000}"/>
    <cellStyle name="40% - Accent2 2 2 3" xfId="918" xr:uid="{00000000-0005-0000-0000-0000C7020000}"/>
    <cellStyle name="40% - Accent2 2 2 4" xfId="2779" xr:uid="{00000000-0005-0000-0000-000051000000}"/>
    <cellStyle name="40% - Accent2 2 2 5" xfId="11896" xr:uid="{00000000-0005-0000-0000-0000B4030000}"/>
    <cellStyle name="40% - Accent2 2 20" xfId="11897" xr:uid="{00000000-0005-0000-0000-0000B5030000}"/>
    <cellStyle name="40% - Accent2 2 3" xfId="920" xr:uid="{00000000-0005-0000-0000-0000C8020000}"/>
    <cellStyle name="40% - Accent2 2 3 2" xfId="921" xr:uid="{00000000-0005-0000-0000-0000C9020000}"/>
    <cellStyle name="40% - Accent2 2 4" xfId="922" xr:uid="{00000000-0005-0000-0000-0000CA020000}"/>
    <cellStyle name="40% - Accent2 2 4 2" xfId="923" xr:uid="{00000000-0005-0000-0000-0000CB020000}"/>
    <cellStyle name="40% - Accent2 2 5" xfId="924" xr:uid="{00000000-0005-0000-0000-0000CC020000}"/>
    <cellStyle name="40% - Accent2 2 5 2" xfId="925" xr:uid="{00000000-0005-0000-0000-0000CD020000}"/>
    <cellStyle name="40% - Accent2 2 6" xfId="926" xr:uid="{00000000-0005-0000-0000-0000CE020000}"/>
    <cellStyle name="40% - Accent2 2 6 2" xfId="927" xr:uid="{00000000-0005-0000-0000-0000CF020000}"/>
    <cellStyle name="40% - Accent2 2 7" xfId="928" xr:uid="{00000000-0005-0000-0000-0000D0020000}"/>
    <cellStyle name="40% - Accent2 2 7 2" xfId="929" xr:uid="{00000000-0005-0000-0000-0000D1020000}"/>
    <cellStyle name="40% - Accent2 2 8" xfId="930" xr:uid="{00000000-0005-0000-0000-0000D2020000}"/>
    <cellStyle name="40% - Accent2 2 8 2" xfId="931" xr:uid="{00000000-0005-0000-0000-0000D3020000}"/>
    <cellStyle name="40% - Accent2 2 9" xfId="932" xr:uid="{00000000-0005-0000-0000-0000D4020000}"/>
    <cellStyle name="40% - Accent2 2 9 2" xfId="933" xr:uid="{00000000-0005-0000-0000-0000D5020000}"/>
    <cellStyle name="40% - Accent2 3 10" xfId="934" xr:uid="{00000000-0005-0000-0000-0000D6020000}"/>
    <cellStyle name="40% - Accent2 3 10 2" xfId="935" xr:uid="{00000000-0005-0000-0000-0000D7020000}"/>
    <cellStyle name="40% - Accent2 3 11" xfId="936" xr:uid="{00000000-0005-0000-0000-0000D8020000}"/>
    <cellStyle name="40% - Accent2 3 11 2" xfId="937" xr:uid="{00000000-0005-0000-0000-0000D9020000}"/>
    <cellStyle name="40% - Accent2 3 12" xfId="938" xr:uid="{00000000-0005-0000-0000-0000DA020000}"/>
    <cellStyle name="40% - Accent2 3 12 2" xfId="939" xr:uid="{00000000-0005-0000-0000-0000DB020000}"/>
    <cellStyle name="40% - Accent2 3 13" xfId="940" xr:uid="{00000000-0005-0000-0000-0000DC020000}"/>
    <cellStyle name="40% - Accent2 3 13 2" xfId="941" xr:uid="{00000000-0005-0000-0000-0000DD020000}"/>
    <cellStyle name="40% - Accent2 3 14" xfId="942" xr:uid="{00000000-0005-0000-0000-0000DE020000}"/>
    <cellStyle name="40% - Accent2 3 14 2" xfId="943" xr:uid="{00000000-0005-0000-0000-0000DF020000}"/>
    <cellStyle name="40% - Accent2 3 15" xfId="944" xr:uid="{00000000-0005-0000-0000-0000E0020000}"/>
    <cellStyle name="40% - Accent2 3 15 2" xfId="945" xr:uid="{00000000-0005-0000-0000-0000E1020000}"/>
    <cellStyle name="40% - Accent2 3 16" xfId="946" xr:uid="{00000000-0005-0000-0000-0000E2020000}"/>
    <cellStyle name="40% - Accent2 3 16 2" xfId="947" xr:uid="{00000000-0005-0000-0000-0000E3020000}"/>
    <cellStyle name="40% - Accent2 3 17" xfId="948" xr:uid="{00000000-0005-0000-0000-0000E4020000}"/>
    <cellStyle name="40% - Accent2 3 17 2" xfId="949" xr:uid="{00000000-0005-0000-0000-0000E5020000}"/>
    <cellStyle name="40% - Accent2 3 2" xfId="950" xr:uid="{00000000-0005-0000-0000-0000E6020000}"/>
    <cellStyle name="40% - Accent2 3 2 2" xfId="951" xr:uid="{00000000-0005-0000-0000-0000E7020000}"/>
    <cellStyle name="40% - Accent2 3 3" xfId="952" xr:uid="{00000000-0005-0000-0000-0000E8020000}"/>
    <cellStyle name="40% - Accent2 3 3 2" xfId="953" xr:uid="{00000000-0005-0000-0000-0000E9020000}"/>
    <cellStyle name="40% - Accent2 3 4" xfId="954" xr:uid="{00000000-0005-0000-0000-0000EA020000}"/>
    <cellStyle name="40% - Accent2 3 4 2" xfId="955" xr:uid="{00000000-0005-0000-0000-0000EB020000}"/>
    <cellStyle name="40% - Accent2 3 5" xfId="956" xr:uid="{00000000-0005-0000-0000-0000EC020000}"/>
    <cellStyle name="40% - Accent2 3 5 2" xfId="957" xr:uid="{00000000-0005-0000-0000-0000ED020000}"/>
    <cellStyle name="40% - Accent2 3 6" xfId="958" xr:uid="{00000000-0005-0000-0000-0000EE020000}"/>
    <cellStyle name="40% - Accent2 3 6 2" xfId="959" xr:uid="{00000000-0005-0000-0000-0000EF020000}"/>
    <cellStyle name="40% - Accent2 3 7" xfId="960" xr:uid="{00000000-0005-0000-0000-0000F0020000}"/>
    <cellStyle name="40% - Accent2 3 7 2" xfId="961" xr:uid="{00000000-0005-0000-0000-0000F1020000}"/>
    <cellStyle name="40% - Accent2 3 8" xfId="962" xr:uid="{00000000-0005-0000-0000-0000F2020000}"/>
    <cellStyle name="40% - Accent2 3 8 2" xfId="963" xr:uid="{00000000-0005-0000-0000-0000F3020000}"/>
    <cellStyle name="40% - Accent2 3 9" xfId="964" xr:uid="{00000000-0005-0000-0000-0000F4020000}"/>
    <cellStyle name="40% - Accent2 3 9 2" xfId="965" xr:uid="{00000000-0005-0000-0000-0000F5020000}"/>
    <cellStyle name="40% - Accent3 2" xfId="239" xr:uid="{00000000-0005-0000-0000-0000F6020000}"/>
    <cellStyle name="40% - Accent3 2 10" xfId="966" xr:uid="{00000000-0005-0000-0000-0000F7020000}"/>
    <cellStyle name="40% - Accent3 2 10 2" xfId="967" xr:uid="{00000000-0005-0000-0000-0000F8020000}"/>
    <cellStyle name="40% - Accent3 2 11" xfId="968" xr:uid="{00000000-0005-0000-0000-0000F9020000}"/>
    <cellStyle name="40% - Accent3 2 11 2" xfId="969" xr:uid="{00000000-0005-0000-0000-0000FA020000}"/>
    <cellStyle name="40% - Accent3 2 12" xfId="970" xr:uid="{00000000-0005-0000-0000-0000FB020000}"/>
    <cellStyle name="40% - Accent3 2 12 2" xfId="971" xr:uid="{00000000-0005-0000-0000-0000FC020000}"/>
    <cellStyle name="40% - Accent3 2 13" xfId="972" xr:uid="{00000000-0005-0000-0000-0000FD020000}"/>
    <cellStyle name="40% - Accent3 2 13 2" xfId="973" xr:uid="{00000000-0005-0000-0000-0000FE020000}"/>
    <cellStyle name="40% - Accent3 2 14" xfId="974" xr:uid="{00000000-0005-0000-0000-0000FF020000}"/>
    <cellStyle name="40% - Accent3 2 14 2" xfId="975" xr:uid="{00000000-0005-0000-0000-000000030000}"/>
    <cellStyle name="40% - Accent3 2 15" xfId="976" xr:uid="{00000000-0005-0000-0000-000001030000}"/>
    <cellStyle name="40% - Accent3 2 15 2" xfId="977" xr:uid="{00000000-0005-0000-0000-000002030000}"/>
    <cellStyle name="40% - Accent3 2 16" xfId="978" xr:uid="{00000000-0005-0000-0000-000003030000}"/>
    <cellStyle name="40% - Accent3 2 16 2" xfId="979" xr:uid="{00000000-0005-0000-0000-000004030000}"/>
    <cellStyle name="40% - Accent3 2 17" xfId="980" xr:uid="{00000000-0005-0000-0000-000005030000}"/>
    <cellStyle name="40% - Accent3 2 17 2" xfId="981" xr:uid="{00000000-0005-0000-0000-000006030000}"/>
    <cellStyle name="40% - Accent3 2 18" xfId="2526" xr:uid="{00000000-0005-0000-0000-000007030000}"/>
    <cellStyle name="40% - Accent3 2 18 2" xfId="2830" xr:uid="{00000000-0005-0000-0000-000007030000}"/>
    <cellStyle name="40% - Accent3 2 19" xfId="2755" xr:uid="{00000000-0005-0000-0000-000052000000}"/>
    <cellStyle name="40% - Accent3 2 2" xfId="367" xr:uid="{00000000-0005-0000-0000-000008030000}"/>
    <cellStyle name="40% - Accent3 2 2 2" xfId="983" xr:uid="{00000000-0005-0000-0000-000009030000}"/>
    <cellStyle name="40% - Accent3 2 2 3" xfId="982" xr:uid="{00000000-0005-0000-0000-00000A030000}"/>
    <cellStyle name="40% - Accent3 2 2 4" xfId="2780" xr:uid="{00000000-0005-0000-0000-000053000000}"/>
    <cellStyle name="40% - Accent3 2 2 5" xfId="11898" xr:uid="{00000000-0005-0000-0000-0000FC030000}"/>
    <cellStyle name="40% - Accent3 2 20" xfId="11899" xr:uid="{00000000-0005-0000-0000-0000FD030000}"/>
    <cellStyle name="40% - Accent3 2 3" xfId="984" xr:uid="{00000000-0005-0000-0000-00000B030000}"/>
    <cellStyle name="40% - Accent3 2 3 2" xfId="985" xr:uid="{00000000-0005-0000-0000-00000C030000}"/>
    <cellStyle name="40% - Accent3 2 4" xfId="986" xr:uid="{00000000-0005-0000-0000-00000D030000}"/>
    <cellStyle name="40% - Accent3 2 4 2" xfId="987" xr:uid="{00000000-0005-0000-0000-00000E030000}"/>
    <cellStyle name="40% - Accent3 2 5" xfId="988" xr:uid="{00000000-0005-0000-0000-00000F030000}"/>
    <cellStyle name="40% - Accent3 2 5 2" xfId="989" xr:uid="{00000000-0005-0000-0000-000010030000}"/>
    <cellStyle name="40% - Accent3 2 6" xfId="990" xr:uid="{00000000-0005-0000-0000-000011030000}"/>
    <cellStyle name="40% - Accent3 2 6 2" xfId="991" xr:uid="{00000000-0005-0000-0000-000012030000}"/>
    <cellStyle name="40% - Accent3 2 7" xfId="992" xr:uid="{00000000-0005-0000-0000-000013030000}"/>
    <cellStyle name="40% - Accent3 2 7 2" xfId="993" xr:uid="{00000000-0005-0000-0000-000014030000}"/>
    <cellStyle name="40% - Accent3 2 8" xfId="994" xr:uid="{00000000-0005-0000-0000-000015030000}"/>
    <cellStyle name="40% - Accent3 2 8 2" xfId="995" xr:uid="{00000000-0005-0000-0000-000016030000}"/>
    <cellStyle name="40% - Accent3 2 9" xfId="996" xr:uid="{00000000-0005-0000-0000-000017030000}"/>
    <cellStyle name="40% - Accent3 2 9 2" xfId="997" xr:uid="{00000000-0005-0000-0000-000018030000}"/>
    <cellStyle name="40% - Accent3 3 10" xfId="998" xr:uid="{00000000-0005-0000-0000-000019030000}"/>
    <cellStyle name="40% - Accent3 3 10 2" xfId="999" xr:uid="{00000000-0005-0000-0000-00001A030000}"/>
    <cellStyle name="40% - Accent3 3 11" xfId="1000" xr:uid="{00000000-0005-0000-0000-00001B030000}"/>
    <cellStyle name="40% - Accent3 3 11 2" xfId="1001" xr:uid="{00000000-0005-0000-0000-00001C030000}"/>
    <cellStyle name="40% - Accent3 3 12" xfId="1002" xr:uid="{00000000-0005-0000-0000-00001D030000}"/>
    <cellStyle name="40% - Accent3 3 12 2" xfId="1003" xr:uid="{00000000-0005-0000-0000-00001E030000}"/>
    <cellStyle name="40% - Accent3 3 13" xfId="1004" xr:uid="{00000000-0005-0000-0000-00001F030000}"/>
    <cellStyle name="40% - Accent3 3 13 2" xfId="1005" xr:uid="{00000000-0005-0000-0000-000020030000}"/>
    <cellStyle name="40% - Accent3 3 14" xfId="1006" xr:uid="{00000000-0005-0000-0000-000021030000}"/>
    <cellStyle name="40% - Accent3 3 14 2" xfId="1007" xr:uid="{00000000-0005-0000-0000-000022030000}"/>
    <cellStyle name="40% - Accent3 3 15" xfId="1008" xr:uid="{00000000-0005-0000-0000-000023030000}"/>
    <cellStyle name="40% - Accent3 3 15 2" xfId="1009" xr:uid="{00000000-0005-0000-0000-000024030000}"/>
    <cellStyle name="40% - Accent3 3 16" xfId="1010" xr:uid="{00000000-0005-0000-0000-000025030000}"/>
    <cellStyle name="40% - Accent3 3 16 2" xfId="1011" xr:uid="{00000000-0005-0000-0000-000026030000}"/>
    <cellStyle name="40% - Accent3 3 17" xfId="1012" xr:uid="{00000000-0005-0000-0000-000027030000}"/>
    <cellStyle name="40% - Accent3 3 17 2" xfId="1013" xr:uid="{00000000-0005-0000-0000-000028030000}"/>
    <cellStyle name="40% - Accent3 3 2" xfId="1014" xr:uid="{00000000-0005-0000-0000-000029030000}"/>
    <cellStyle name="40% - Accent3 3 2 2" xfId="1015" xr:uid="{00000000-0005-0000-0000-00002A030000}"/>
    <cellStyle name="40% - Accent3 3 3" xfId="1016" xr:uid="{00000000-0005-0000-0000-00002B030000}"/>
    <cellStyle name="40% - Accent3 3 3 2" xfId="1017" xr:uid="{00000000-0005-0000-0000-00002C030000}"/>
    <cellStyle name="40% - Accent3 3 4" xfId="1018" xr:uid="{00000000-0005-0000-0000-00002D030000}"/>
    <cellStyle name="40% - Accent3 3 4 2" xfId="1019" xr:uid="{00000000-0005-0000-0000-00002E030000}"/>
    <cellStyle name="40% - Accent3 3 5" xfId="1020" xr:uid="{00000000-0005-0000-0000-00002F030000}"/>
    <cellStyle name="40% - Accent3 3 5 2" xfId="1021" xr:uid="{00000000-0005-0000-0000-000030030000}"/>
    <cellStyle name="40% - Accent3 3 6" xfId="1022" xr:uid="{00000000-0005-0000-0000-000031030000}"/>
    <cellStyle name="40% - Accent3 3 6 2" xfId="1023" xr:uid="{00000000-0005-0000-0000-000032030000}"/>
    <cellStyle name="40% - Accent3 3 7" xfId="1024" xr:uid="{00000000-0005-0000-0000-000033030000}"/>
    <cellStyle name="40% - Accent3 3 7 2" xfId="1025" xr:uid="{00000000-0005-0000-0000-000034030000}"/>
    <cellStyle name="40% - Accent3 3 8" xfId="1026" xr:uid="{00000000-0005-0000-0000-000035030000}"/>
    <cellStyle name="40% - Accent3 3 8 2" xfId="1027" xr:uid="{00000000-0005-0000-0000-000036030000}"/>
    <cellStyle name="40% - Accent3 3 9" xfId="1028" xr:uid="{00000000-0005-0000-0000-000037030000}"/>
    <cellStyle name="40% - Accent3 3 9 2" xfId="1029" xr:uid="{00000000-0005-0000-0000-000038030000}"/>
    <cellStyle name="40% - Accent4 2" xfId="240" xr:uid="{00000000-0005-0000-0000-000039030000}"/>
    <cellStyle name="40% - Accent4 2 10" xfId="1030" xr:uid="{00000000-0005-0000-0000-00003A030000}"/>
    <cellStyle name="40% - Accent4 2 10 2" xfId="1031" xr:uid="{00000000-0005-0000-0000-00003B030000}"/>
    <cellStyle name="40% - Accent4 2 11" xfId="1032" xr:uid="{00000000-0005-0000-0000-00003C030000}"/>
    <cellStyle name="40% - Accent4 2 11 2" xfId="1033" xr:uid="{00000000-0005-0000-0000-00003D030000}"/>
    <cellStyle name="40% - Accent4 2 12" xfId="1034" xr:uid="{00000000-0005-0000-0000-00003E030000}"/>
    <cellStyle name="40% - Accent4 2 12 2" xfId="1035" xr:uid="{00000000-0005-0000-0000-00003F030000}"/>
    <cellStyle name="40% - Accent4 2 13" xfId="1036" xr:uid="{00000000-0005-0000-0000-000040030000}"/>
    <cellStyle name="40% - Accent4 2 13 2" xfId="1037" xr:uid="{00000000-0005-0000-0000-000041030000}"/>
    <cellStyle name="40% - Accent4 2 14" xfId="1038" xr:uid="{00000000-0005-0000-0000-000042030000}"/>
    <cellStyle name="40% - Accent4 2 14 2" xfId="1039" xr:uid="{00000000-0005-0000-0000-000043030000}"/>
    <cellStyle name="40% - Accent4 2 15" xfId="1040" xr:uid="{00000000-0005-0000-0000-000044030000}"/>
    <cellStyle name="40% - Accent4 2 15 2" xfId="1041" xr:uid="{00000000-0005-0000-0000-000045030000}"/>
    <cellStyle name="40% - Accent4 2 16" xfId="1042" xr:uid="{00000000-0005-0000-0000-000046030000}"/>
    <cellStyle name="40% - Accent4 2 16 2" xfId="1043" xr:uid="{00000000-0005-0000-0000-000047030000}"/>
    <cellStyle name="40% - Accent4 2 17" xfId="1044" xr:uid="{00000000-0005-0000-0000-000048030000}"/>
    <cellStyle name="40% - Accent4 2 17 2" xfId="1045" xr:uid="{00000000-0005-0000-0000-000049030000}"/>
    <cellStyle name="40% - Accent4 2 18" xfId="2527" xr:uid="{00000000-0005-0000-0000-00004A030000}"/>
    <cellStyle name="40% - Accent4 2 18 2" xfId="2831" xr:uid="{00000000-0005-0000-0000-00004A030000}"/>
    <cellStyle name="40% - Accent4 2 19" xfId="2756" xr:uid="{00000000-0005-0000-0000-000054000000}"/>
    <cellStyle name="40% - Accent4 2 2" xfId="368" xr:uid="{00000000-0005-0000-0000-00004B030000}"/>
    <cellStyle name="40% - Accent4 2 2 2" xfId="1047" xr:uid="{00000000-0005-0000-0000-00004C030000}"/>
    <cellStyle name="40% - Accent4 2 2 3" xfId="1046" xr:uid="{00000000-0005-0000-0000-00004D030000}"/>
    <cellStyle name="40% - Accent4 2 2 4" xfId="2781" xr:uid="{00000000-0005-0000-0000-000055000000}"/>
    <cellStyle name="40% - Accent4 2 2 5" xfId="11900" xr:uid="{00000000-0005-0000-0000-000044040000}"/>
    <cellStyle name="40% - Accent4 2 20" xfId="11901" xr:uid="{00000000-0005-0000-0000-000045040000}"/>
    <cellStyle name="40% - Accent4 2 3" xfId="1048" xr:uid="{00000000-0005-0000-0000-00004E030000}"/>
    <cellStyle name="40% - Accent4 2 3 2" xfId="1049" xr:uid="{00000000-0005-0000-0000-00004F030000}"/>
    <cellStyle name="40% - Accent4 2 4" xfId="1050" xr:uid="{00000000-0005-0000-0000-000050030000}"/>
    <cellStyle name="40% - Accent4 2 4 2" xfId="1051" xr:uid="{00000000-0005-0000-0000-000051030000}"/>
    <cellStyle name="40% - Accent4 2 5" xfId="1052" xr:uid="{00000000-0005-0000-0000-000052030000}"/>
    <cellStyle name="40% - Accent4 2 5 2" xfId="1053" xr:uid="{00000000-0005-0000-0000-000053030000}"/>
    <cellStyle name="40% - Accent4 2 6" xfId="1054" xr:uid="{00000000-0005-0000-0000-000054030000}"/>
    <cellStyle name="40% - Accent4 2 6 2" xfId="1055" xr:uid="{00000000-0005-0000-0000-000055030000}"/>
    <cellStyle name="40% - Accent4 2 7" xfId="1056" xr:uid="{00000000-0005-0000-0000-000056030000}"/>
    <cellStyle name="40% - Accent4 2 7 2" xfId="1057" xr:uid="{00000000-0005-0000-0000-000057030000}"/>
    <cellStyle name="40% - Accent4 2 8" xfId="1058" xr:uid="{00000000-0005-0000-0000-000058030000}"/>
    <cellStyle name="40% - Accent4 2 8 2" xfId="1059" xr:uid="{00000000-0005-0000-0000-000059030000}"/>
    <cellStyle name="40% - Accent4 2 9" xfId="1060" xr:uid="{00000000-0005-0000-0000-00005A030000}"/>
    <cellStyle name="40% - Accent4 2 9 2" xfId="1061" xr:uid="{00000000-0005-0000-0000-00005B030000}"/>
    <cellStyle name="40% - Accent4 3 10" xfId="1062" xr:uid="{00000000-0005-0000-0000-00005C030000}"/>
    <cellStyle name="40% - Accent4 3 10 2" xfId="1063" xr:uid="{00000000-0005-0000-0000-00005D030000}"/>
    <cellStyle name="40% - Accent4 3 11" xfId="1064" xr:uid="{00000000-0005-0000-0000-00005E030000}"/>
    <cellStyle name="40% - Accent4 3 11 2" xfId="1065" xr:uid="{00000000-0005-0000-0000-00005F030000}"/>
    <cellStyle name="40% - Accent4 3 12" xfId="1066" xr:uid="{00000000-0005-0000-0000-000060030000}"/>
    <cellStyle name="40% - Accent4 3 12 2" xfId="1067" xr:uid="{00000000-0005-0000-0000-000061030000}"/>
    <cellStyle name="40% - Accent4 3 13" xfId="1068" xr:uid="{00000000-0005-0000-0000-000062030000}"/>
    <cellStyle name="40% - Accent4 3 13 2" xfId="1069" xr:uid="{00000000-0005-0000-0000-000063030000}"/>
    <cellStyle name="40% - Accent4 3 14" xfId="1070" xr:uid="{00000000-0005-0000-0000-000064030000}"/>
    <cellStyle name="40% - Accent4 3 14 2" xfId="1071" xr:uid="{00000000-0005-0000-0000-000065030000}"/>
    <cellStyle name="40% - Accent4 3 15" xfId="1072" xr:uid="{00000000-0005-0000-0000-000066030000}"/>
    <cellStyle name="40% - Accent4 3 15 2" xfId="1073" xr:uid="{00000000-0005-0000-0000-000067030000}"/>
    <cellStyle name="40% - Accent4 3 16" xfId="1074" xr:uid="{00000000-0005-0000-0000-000068030000}"/>
    <cellStyle name="40% - Accent4 3 16 2" xfId="1075" xr:uid="{00000000-0005-0000-0000-000069030000}"/>
    <cellStyle name="40% - Accent4 3 17" xfId="1076" xr:uid="{00000000-0005-0000-0000-00006A030000}"/>
    <cellStyle name="40% - Accent4 3 17 2" xfId="1077" xr:uid="{00000000-0005-0000-0000-00006B030000}"/>
    <cellStyle name="40% - Accent4 3 2" xfId="1078" xr:uid="{00000000-0005-0000-0000-00006C030000}"/>
    <cellStyle name="40% - Accent4 3 2 2" xfId="1079" xr:uid="{00000000-0005-0000-0000-00006D030000}"/>
    <cellStyle name="40% - Accent4 3 3" xfId="1080" xr:uid="{00000000-0005-0000-0000-00006E030000}"/>
    <cellStyle name="40% - Accent4 3 3 2" xfId="1081" xr:uid="{00000000-0005-0000-0000-00006F030000}"/>
    <cellStyle name="40% - Accent4 3 4" xfId="1082" xr:uid="{00000000-0005-0000-0000-000070030000}"/>
    <cellStyle name="40% - Accent4 3 4 2" xfId="1083" xr:uid="{00000000-0005-0000-0000-000071030000}"/>
    <cellStyle name="40% - Accent4 3 5" xfId="1084" xr:uid="{00000000-0005-0000-0000-000072030000}"/>
    <cellStyle name="40% - Accent4 3 5 2" xfId="1085" xr:uid="{00000000-0005-0000-0000-000073030000}"/>
    <cellStyle name="40% - Accent4 3 6" xfId="1086" xr:uid="{00000000-0005-0000-0000-000074030000}"/>
    <cellStyle name="40% - Accent4 3 6 2" xfId="1087" xr:uid="{00000000-0005-0000-0000-000075030000}"/>
    <cellStyle name="40% - Accent4 3 7" xfId="1088" xr:uid="{00000000-0005-0000-0000-000076030000}"/>
    <cellStyle name="40% - Accent4 3 7 2" xfId="1089" xr:uid="{00000000-0005-0000-0000-000077030000}"/>
    <cellStyle name="40% - Accent4 3 8" xfId="1090" xr:uid="{00000000-0005-0000-0000-000078030000}"/>
    <cellStyle name="40% - Accent4 3 8 2" xfId="1091" xr:uid="{00000000-0005-0000-0000-000079030000}"/>
    <cellStyle name="40% - Accent4 3 9" xfId="1092" xr:uid="{00000000-0005-0000-0000-00007A030000}"/>
    <cellStyle name="40% - Accent4 3 9 2" xfId="1093" xr:uid="{00000000-0005-0000-0000-00007B030000}"/>
    <cellStyle name="40% - Accent5 2" xfId="241" xr:uid="{00000000-0005-0000-0000-00007C030000}"/>
    <cellStyle name="40% - Accent5 2 10" xfId="1094" xr:uid="{00000000-0005-0000-0000-00007D030000}"/>
    <cellStyle name="40% - Accent5 2 10 2" xfId="1095" xr:uid="{00000000-0005-0000-0000-00007E030000}"/>
    <cellStyle name="40% - Accent5 2 11" xfId="1096" xr:uid="{00000000-0005-0000-0000-00007F030000}"/>
    <cellStyle name="40% - Accent5 2 11 2" xfId="1097" xr:uid="{00000000-0005-0000-0000-000080030000}"/>
    <cellStyle name="40% - Accent5 2 12" xfId="1098" xr:uid="{00000000-0005-0000-0000-000081030000}"/>
    <cellStyle name="40% - Accent5 2 12 2" xfId="1099" xr:uid="{00000000-0005-0000-0000-000082030000}"/>
    <cellStyle name="40% - Accent5 2 13" xfId="1100" xr:uid="{00000000-0005-0000-0000-000083030000}"/>
    <cellStyle name="40% - Accent5 2 13 2" xfId="1101" xr:uid="{00000000-0005-0000-0000-000084030000}"/>
    <cellStyle name="40% - Accent5 2 14" xfId="1102" xr:uid="{00000000-0005-0000-0000-000085030000}"/>
    <cellStyle name="40% - Accent5 2 14 2" xfId="1103" xr:uid="{00000000-0005-0000-0000-000086030000}"/>
    <cellStyle name="40% - Accent5 2 15" xfId="1104" xr:uid="{00000000-0005-0000-0000-000087030000}"/>
    <cellStyle name="40% - Accent5 2 15 2" xfId="1105" xr:uid="{00000000-0005-0000-0000-000088030000}"/>
    <cellStyle name="40% - Accent5 2 16" xfId="1106" xr:uid="{00000000-0005-0000-0000-000089030000}"/>
    <cellStyle name="40% - Accent5 2 16 2" xfId="1107" xr:uid="{00000000-0005-0000-0000-00008A030000}"/>
    <cellStyle name="40% - Accent5 2 17" xfId="1108" xr:uid="{00000000-0005-0000-0000-00008B030000}"/>
    <cellStyle name="40% - Accent5 2 17 2" xfId="1109" xr:uid="{00000000-0005-0000-0000-00008C030000}"/>
    <cellStyle name="40% - Accent5 2 18" xfId="2528" xr:uid="{00000000-0005-0000-0000-00008D030000}"/>
    <cellStyle name="40% - Accent5 2 18 2" xfId="2832" xr:uid="{00000000-0005-0000-0000-00008D030000}"/>
    <cellStyle name="40% - Accent5 2 19" xfId="2757" xr:uid="{00000000-0005-0000-0000-000056000000}"/>
    <cellStyle name="40% - Accent5 2 2" xfId="369" xr:uid="{00000000-0005-0000-0000-00008E030000}"/>
    <cellStyle name="40% - Accent5 2 2 2" xfId="1111" xr:uid="{00000000-0005-0000-0000-00008F030000}"/>
    <cellStyle name="40% - Accent5 2 2 3" xfId="1110" xr:uid="{00000000-0005-0000-0000-000090030000}"/>
    <cellStyle name="40% - Accent5 2 2 4" xfId="2782" xr:uid="{00000000-0005-0000-0000-000057000000}"/>
    <cellStyle name="40% - Accent5 2 2 5" xfId="11902" xr:uid="{00000000-0005-0000-0000-00008C040000}"/>
    <cellStyle name="40% - Accent5 2 20" xfId="11903" xr:uid="{00000000-0005-0000-0000-00008D040000}"/>
    <cellStyle name="40% - Accent5 2 3" xfId="1112" xr:uid="{00000000-0005-0000-0000-000091030000}"/>
    <cellStyle name="40% - Accent5 2 3 2" xfId="1113" xr:uid="{00000000-0005-0000-0000-000092030000}"/>
    <cellStyle name="40% - Accent5 2 4" xfId="1114" xr:uid="{00000000-0005-0000-0000-000093030000}"/>
    <cellStyle name="40% - Accent5 2 4 2" xfId="1115" xr:uid="{00000000-0005-0000-0000-000094030000}"/>
    <cellStyle name="40% - Accent5 2 5" xfId="1116" xr:uid="{00000000-0005-0000-0000-000095030000}"/>
    <cellStyle name="40% - Accent5 2 5 2" xfId="1117" xr:uid="{00000000-0005-0000-0000-000096030000}"/>
    <cellStyle name="40% - Accent5 2 6" xfId="1118" xr:uid="{00000000-0005-0000-0000-000097030000}"/>
    <cellStyle name="40% - Accent5 2 6 2" xfId="1119" xr:uid="{00000000-0005-0000-0000-000098030000}"/>
    <cellStyle name="40% - Accent5 2 7" xfId="1120" xr:uid="{00000000-0005-0000-0000-000099030000}"/>
    <cellStyle name="40% - Accent5 2 7 2" xfId="1121" xr:uid="{00000000-0005-0000-0000-00009A030000}"/>
    <cellStyle name="40% - Accent5 2 8" xfId="1122" xr:uid="{00000000-0005-0000-0000-00009B030000}"/>
    <cellStyle name="40% - Accent5 2 8 2" xfId="1123" xr:uid="{00000000-0005-0000-0000-00009C030000}"/>
    <cellStyle name="40% - Accent5 2 9" xfId="1124" xr:uid="{00000000-0005-0000-0000-00009D030000}"/>
    <cellStyle name="40% - Accent5 2 9 2" xfId="1125" xr:uid="{00000000-0005-0000-0000-00009E030000}"/>
    <cellStyle name="40% - Accent5 3 10" xfId="1126" xr:uid="{00000000-0005-0000-0000-00009F030000}"/>
    <cellStyle name="40% - Accent5 3 10 2" xfId="1127" xr:uid="{00000000-0005-0000-0000-0000A0030000}"/>
    <cellStyle name="40% - Accent5 3 11" xfId="1128" xr:uid="{00000000-0005-0000-0000-0000A1030000}"/>
    <cellStyle name="40% - Accent5 3 11 2" xfId="1129" xr:uid="{00000000-0005-0000-0000-0000A2030000}"/>
    <cellStyle name="40% - Accent5 3 12" xfId="1130" xr:uid="{00000000-0005-0000-0000-0000A3030000}"/>
    <cellStyle name="40% - Accent5 3 12 2" xfId="1131" xr:uid="{00000000-0005-0000-0000-0000A4030000}"/>
    <cellStyle name="40% - Accent5 3 13" xfId="1132" xr:uid="{00000000-0005-0000-0000-0000A5030000}"/>
    <cellStyle name="40% - Accent5 3 13 2" xfId="1133" xr:uid="{00000000-0005-0000-0000-0000A6030000}"/>
    <cellStyle name="40% - Accent5 3 14" xfId="1134" xr:uid="{00000000-0005-0000-0000-0000A7030000}"/>
    <cellStyle name="40% - Accent5 3 14 2" xfId="1135" xr:uid="{00000000-0005-0000-0000-0000A8030000}"/>
    <cellStyle name="40% - Accent5 3 15" xfId="1136" xr:uid="{00000000-0005-0000-0000-0000A9030000}"/>
    <cellStyle name="40% - Accent5 3 15 2" xfId="1137" xr:uid="{00000000-0005-0000-0000-0000AA030000}"/>
    <cellStyle name="40% - Accent5 3 16" xfId="1138" xr:uid="{00000000-0005-0000-0000-0000AB030000}"/>
    <cellStyle name="40% - Accent5 3 16 2" xfId="1139" xr:uid="{00000000-0005-0000-0000-0000AC030000}"/>
    <cellStyle name="40% - Accent5 3 17" xfId="1140" xr:uid="{00000000-0005-0000-0000-0000AD030000}"/>
    <cellStyle name="40% - Accent5 3 17 2" xfId="1141" xr:uid="{00000000-0005-0000-0000-0000AE030000}"/>
    <cellStyle name="40% - Accent5 3 2" xfId="1142" xr:uid="{00000000-0005-0000-0000-0000AF030000}"/>
    <cellStyle name="40% - Accent5 3 2 2" xfId="1143" xr:uid="{00000000-0005-0000-0000-0000B0030000}"/>
    <cellStyle name="40% - Accent5 3 3" xfId="1144" xr:uid="{00000000-0005-0000-0000-0000B1030000}"/>
    <cellStyle name="40% - Accent5 3 3 2" xfId="1145" xr:uid="{00000000-0005-0000-0000-0000B2030000}"/>
    <cellStyle name="40% - Accent5 3 4" xfId="1146" xr:uid="{00000000-0005-0000-0000-0000B3030000}"/>
    <cellStyle name="40% - Accent5 3 4 2" xfId="1147" xr:uid="{00000000-0005-0000-0000-0000B4030000}"/>
    <cellStyle name="40% - Accent5 3 5" xfId="1148" xr:uid="{00000000-0005-0000-0000-0000B5030000}"/>
    <cellStyle name="40% - Accent5 3 5 2" xfId="1149" xr:uid="{00000000-0005-0000-0000-0000B6030000}"/>
    <cellStyle name="40% - Accent5 3 6" xfId="1150" xr:uid="{00000000-0005-0000-0000-0000B7030000}"/>
    <cellStyle name="40% - Accent5 3 6 2" xfId="1151" xr:uid="{00000000-0005-0000-0000-0000B8030000}"/>
    <cellStyle name="40% - Accent5 3 7" xfId="1152" xr:uid="{00000000-0005-0000-0000-0000B9030000}"/>
    <cellStyle name="40% - Accent5 3 7 2" xfId="1153" xr:uid="{00000000-0005-0000-0000-0000BA030000}"/>
    <cellStyle name="40% - Accent5 3 8" xfId="1154" xr:uid="{00000000-0005-0000-0000-0000BB030000}"/>
    <cellStyle name="40% - Accent5 3 8 2" xfId="1155" xr:uid="{00000000-0005-0000-0000-0000BC030000}"/>
    <cellStyle name="40% - Accent5 3 9" xfId="1156" xr:uid="{00000000-0005-0000-0000-0000BD030000}"/>
    <cellStyle name="40% - Accent5 3 9 2" xfId="1157" xr:uid="{00000000-0005-0000-0000-0000BE030000}"/>
    <cellStyle name="40% - Accent6 2" xfId="242" xr:uid="{00000000-0005-0000-0000-0000BF030000}"/>
    <cellStyle name="40% - Accent6 2 10" xfId="1158" xr:uid="{00000000-0005-0000-0000-0000C0030000}"/>
    <cellStyle name="40% - Accent6 2 10 2" xfId="1159" xr:uid="{00000000-0005-0000-0000-0000C1030000}"/>
    <cellStyle name="40% - Accent6 2 11" xfId="1160" xr:uid="{00000000-0005-0000-0000-0000C2030000}"/>
    <cellStyle name="40% - Accent6 2 11 2" xfId="1161" xr:uid="{00000000-0005-0000-0000-0000C3030000}"/>
    <cellStyle name="40% - Accent6 2 12" xfId="1162" xr:uid="{00000000-0005-0000-0000-0000C4030000}"/>
    <cellStyle name="40% - Accent6 2 12 2" xfId="1163" xr:uid="{00000000-0005-0000-0000-0000C5030000}"/>
    <cellStyle name="40% - Accent6 2 13" xfId="1164" xr:uid="{00000000-0005-0000-0000-0000C6030000}"/>
    <cellStyle name="40% - Accent6 2 13 2" xfId="1165" xr:uid="{00000000-0005-0000-0000-0000C7030000}"/>
    <cellStyle name="40% - Accent6 2 14" xfId="1166" xr:uid="{00000000-0005-0000-0000-0000C8030000}"/>
    <cellStyle name="40% - Accent6 2 14 2" xfId="1167" xr:uid="{00000000-0005-0000-0000-0000C9030000}"/>
    <cellStyle name="40% - Accent6 2 15" xfId="1168" xr:uid="{00000000-0005-0000-0000-0000CA030000}"/>
    <cellStyle name="40% - Accent6 2 15 2" xfId="1169" xr:uid="{00000000-0005-0000-0000-0000CB030000}"/>
    <cellStyle name="40% - Accent6 2 16" xfId="1170" xr:uid="{00000000-0005-0000-0000-0000CC030000}"/>
    <cellStyle name="40% - Accent6 2 16 2" xfId="1171" xr:uid="{00000000-0005-0000-0000-0000CD030000}"/>
    <cellStyle name="40% - Accent6 2 17" xfId="1172" xr:uid="{00000000-0005-0000-0000-0000CE030000}"/>
    <cellStyle name="40% - Accent6 2 17 2" xfId="1173" xr:uid="{00000000-0005-0000-0000-0000CF030000}"/>
    <cellStyle name="40% - Accent6 2 18" xfId="2529" xr:uid="{00000000-0005-0000-0000-0000D0030000}"/>
    <cellStyle name="40% - Accent6 2 18 2" xfId="2833" xr:uid="{00000000-0005-0000-0000-0000D0030000}"/>
    <cellStyle name="40% - Accent6 2 19" xfId="2758" xr:uid="{00000000-0005-0000-0000-000058000000}"/>
    <cellStyle name="40% - Accent6 2 2" xfId="370" xr:uid="{00000000-0005-0000-0000-0000D1030000}"/>
    <cellStyle name="40% - Accent6 2 2 2" xfId="1175" xr:uid="{00000000-0005-0000-0000-0000D2030000}"/>
    <cellStyle name="40% - Accent6 2 2 3" xfId="1174" xr:uid="{00000000-0005-0000-0000-0000D3030000}"/>
    <cellStyle name="40% - Accent6 2 2 4" xfId="2783" xr:uid="{00000000-0005-0000-0000-000059000000}"/>
    <cellStyle name="40% - Accent6 2 2 5" xfId="11904" xr:uid="{00000000-0005-0000-0000-0000D4040000}"/>
    <cellStyle name="40% - Accent6 2 20" xfId="11905" xr:uid="{00000000-0005-0000-0000-0000D5040000}"/>
    <cellStyle name="40% - Accent6 2 3" xfId="1176" xr:uid="{00000000-0005-0000-0000-0000D4030000}"/>
    <cellStyle name="40% - Accent6 2 3 2" xfId="1177" xr:uid="{00000000-0005-0000-0000-0000D5030000}"/>
    <cellStyle name="40% - Accent6 2 4" xfId="1178" xr:uid="{00000000-0005-0000-0000-0000D6030000}"/>
    <cellStyle name="40% - Accent6 2 4 2" xfId="1179" xr:uid="{00000000-0005-0000-0000-0000D7030000}"/>
    <cellStyle name="40% - Accent6 2 5" xfId="1180" xr:uid="{00000000-0005-0000-0000-0000D8030000}"/>
    <cellStyle name="40% - Accent6 2 5 2" xfId="1181" xr:uid="{00000000-0005-0000-0000-0000D9030000}"/>
    <cellStyle name="40% - Accent6 2 6" xfId="1182" xr:uid="{00000000-0005-0000-0000-0000DA030000}"/>
    <cellStyle name="40% - Accent6 2 6 2" xfId="1183" xr:uid="{00000000-0005-0000-0000-0000DB030000}"/>
    <cellStyle name="40% - Accent6 2 7" xfId="1184" xr:uid="{00000000-0005-0000-0000-0000DC030000}"/>
    <cellStyle name="40% - Accent6 2 7 2" xfId="1185" xr:uid="{00000000-0005-0000-0000-0000DD030000}"/>
    <cellStyle name="40% - Accent6 2 8" xfId="1186" xr:uid="{00000000-0005-0000-0000-0000DE030000}"/>
    <cellStyle name="40% - Accent6 2 8 2" xfId="1187" xr:uid="{00000000-0005-0000-0000-0000DF030000}"/>
    <cellStyle name="40% - Accent6 2 9" xfId="1188" xr:uid="{00000000-0005-0000-0000-0000E0030000}"/>
    <cellStyle name="40% - Accent6 2 9 2" xfId="1189" xr:uid="{00000000-0005-0000-0000-0000E1030000}"/>
    <cellStyle name="40% - Accent6 3 10" xfId="1190" xr:uid="{00000000-0005-0000-0000-0000E2030000}"/>
    <cellStyle name="40% - Accent6 3 10 2" xfId="1191" xr:uid="{00000000-0005-0000-0000-0000E3030000}"/>
    <cellStyle name="40% - Accent6 3 11" xfId="1192" xr:uid="{00000000-0005-0000-0000-0000E4030000}"/>
    <cellStyle name="40% - Accent6 3 11 2" xfId="1193" xr:uid="{00000000-0005-0000-0000-0000E5030000}"/>
    <cellStyle name="40% - Accent6 3 12" xfId="1194" xr:uid="{00000000-0005-0000-0000-0000E6030000}"/>
    <cellStyle name="40% - Accent6 3 12 2" xfId="1195" xr:uid="{00000000-0005-0000-0000-0000E7030000}"/>
    <cellStyle name="40% - Accent6 3 13" xfId="1196" xr:uid="{00000000-0005-0000-0000-0000E8030000}"/>
    <cellStyle name="40% - Accent6 3 13 2" xfId="1197" xr:uid="{00000000-0005-0000-0000-0000E9030000}"/>
    <cellStyle name="40% - Accent6 3 14" xfId="1198" xr:uid="{00000000-0005-0000-0000-0000EA030000}"/>
    <cellStyle name="40% - Accent6 3 14 2" xfId="1199" xr:uid="{00000000-0005-0000-0000-0000EB030000}"/>
    <cellStyle name="40% - Accent6 3 15" xfId="1200" xr:uid="{00000000-0005-0000-0000-0000EC030000}"/>
    <cellStyle name="40% - Accent6 3 15 2" xfId="1201" xr:uid="{00000000-0005-0000-0000-0000ED030000}"/>
    <cellStyle name="40% - Accent6 3 16" xfId="1202" xr:uid="{00000000-0005-0000-0000-0000EE030000}"/>
    <cellStyle name="40% - Accent6 3 16 2" xfId="1203" xr:uid="{00000000-0005-0000-0000-0000EF030000}"/>
    <cellStyle name="40% - Accent6 3 17" xfId="1204" xr:uid="{00000000-0005-0000-0000-0000F0030000}"/>
    <cellStyle name="40% - Accent6 3 17 2" xfId="1205" xr:uid="{00000000-0005-0000-0000-0000F1030000}"/>
    <cellStyle name="40% - Accent6 3 2" xfId="1206" xr:uid="{00000000-0005-0000-0000-0000F2030000}"/>
    <cellStyle name="40% - Accent6 3 2 2" xfId="1207" xr:uid="{00000000-0005-0000-0000-0000F3030000}"/>
    <cellStyle name="40% - Accent6 3 3" xfId="1208" xr:uid="{00000000-0005-0000-0000-0000F4030000}"/>
    <cellStyle name="40% - Accent6 3 3 2" xfId="1209" xr:uid="{00000000-0005-0000-0000-0000F5030000}"/>
    <cellStyle name="40% - Accent6 3 4" xfId="1210" xr:uid="{00000000-0005-0000-0000-0000F6030000}"/>
    <cellStyle name="40% - Accent6 3 4 2" xfId="1211" xr:uid="{00000000-0005-0000-0000-0000F7030000}"/>
    <cellStyle name="40% - Accent6 3 5" xfId="1212" xr:uid="{00000000-0005-0000-0000-0000F8030000}"/>
    <cellStyle name="40% - Accent6 3 5 2" xfId="1213" xr:uid="{00000000-0005-0000-0000-0000F9030000}"/>
    <cellStyle name="40% - Accent6 3 6" xfId="1214" xr:uid="{00000000-0005-0000-0000-0000FA030000}"/>
    <cellStyle name="40% - Accent6 3 6 2" xfId="1215" xr:uid="{00000000-0005-0000-0000-0000FB030000}"/>
    <cellStyle name="40% - Accent6 3 7" xfId="1216" xr:uid="{00000000-0005-0000-0000-0000FC030000}"/>
    <cellStyle name="40% - Accent6 3 7 2" xfId="1217" xr:uid="{00000000-0005-0000-0000-0000FD030000}"/>
    <cellStyle name="40% - Accent6 3 8" xfId="1218" xr:uid="{00000000-0005-0000-0000-0000FE030000}"/>
    <cellStyle name="40% - Accent6 3 8 2" xfId="1219" xr:uid="{00000000-0005-0000-0000-0000FF030000}"/>
    <cellStyle name="40% - Accent6 3 9" xfId="1220" xr:uid="{00000000-0005-0000-0000-000000040000}"/>
    <cellStyle name="40% - Accent6 3 9 2" xfId="1221" xr:uid="{00000000-0005-0000-0000-000001040000}"/>
    <cellStyle name="40% - Colore 1" xfId="121" xr:uid="{00000000-0005-0000-0000-000002040000}"/>
    <cellStyle name="40% - Colore 1 2" xfId="122" xr:uid="{00000000-0005-0000-0000-000003040000}"/>
    <cellStyle name="40% - Colore 1 2 2" xfId="1223" xr:uid="{00000000-0005-0000-0000-000004040000}"/>
    <cellStyle name="40% - Colore 1 2 3" xfId="2530" xr:uid="{00000000-0005-0000-0000-000005040000}"/>
    <cellStyle name="40% - Colore 1 2 4" xfId="11906" xr:uid="{00000000-0005-0000-0000-000008050000}"/>
    <cellStyle name="40% - Colore 1 2 4 2" xfId="11907" xr:uid="{00000000-0005-0000-0000-000009050000}"/>
    <cellStyle name="40% - Colore 1 2 5" xfId="11908" xr:uid="{00000000-0005-0000-0000-00000A050000}"/>
    <cellStyle name="40% - Colore 1 3" xfId="306" xr:uid="{00000000-0005-0000-0000-000006040000}"/>
    <cellStyle name="40% - Colore 1 3 2" xfId="1224" xr:uid="{00000000-0005-0000-0000-000007040000}"/>
    <cellStyle name="40% - Colore 1 3 2 2" xfId="2531" xr:uid="{00000000-0005-0000-0000-000008040000}"/>
    <cellStyle name="40% - Colore 1 3 3" xfId="2532" xr:uid="{00000000-0005-0000-0000-000009040000}"/>
    <cellStyle name="40% - Colore 1 3 4" xfId="11909" xr:uid="{00000000-0005-0000-0000-00000F050000}"/>
    <cellStyle name="40% - Colore 1 3 4 2" xfId="11910" xr:uid="{00000000-0005-0000-0000-000010050000}"/>
    <cellStyle name="40% - Colore 1 3 5" xfId="11911" xr:uid="{00000000-0005-0000-0000-000011050000}"/>
    <cellStyle name="40% - Colore 1 4" xfId="1225" xr:uid="{00000000-0005-0000-0000-00000A040000}"/>
    <cellStyle name="40% - Colore 1 4 2" xfId="2533" xr:uid="{00000000-0005-0000-0000-00000B040000}"/>
    <cellStyle name="40% - Colore 1 5" xfId="1222" xr:uid="{00000000-0005-0000-0000-00000C040000}"/>
    <cellStyle name="40% - Colore 1 6" xfId="2534" xr:uid="{00000000-0005-0000-0000-00000D040000}"/>
    <cellStyle name="40% - Colore 1 7" xfId="2535" xr:uid="{00000000-0005-0000-0000-00000E040000}"/>
    <cellStyle name="40% - Colore 1 8" xfId="11912" xr:uid="{00000000-0005-0000-0000-000017050000}"/>
    <cellStyle name="40% - Colore 1 8 2" xfId="11913" xr:uid="{00000000-0005-0000-0000-000018050000}"/>
    <cellStyle name="40% - Colore 1 9" xfId="11914" xr:uid="{00000000-0005-0000-0000-000019050000}"/>
    <cellStyle name="40% - Colore 2" xfId="123" xr:uid="{00000000-0005-0000-0000-00000F040000}"/>
    <cellStyle name="40% - Colore 2 2" xfId="124" xr:uid="{00000000-0005-0000-0000-000010040000}"/>
    <cellStyle name="40% - Colore 2 2 2" xfId="1227" xr:uid="{00000000-0005-0000-0000-000011040000}"/>
    <cellStyle name="40% - Colore 2 2 3" xfId="2536" xr:uid="{00000000-0005-0000-0000-000012040000}"/>
    <cellStyle name="40% - Colore 2 2 4" xfId="11915" xr:uid="{00000000-0005-0000-0000-00001E050000}"/>
    <cellStyle name="40% - Colore 2 2 4 2" xfId="11916" xr:uid="{00000000-0005-0000-0000-00001F050000}"/>
    <cellStyle name="40% - Colore 2 2 5" xfId="11917" xr:uid="{00000000-0005-0000-0000-000020050000}"/>
    <cellStyle name="40% - Colore 2 3" xfId="307" xr:uid="{00000000-0005-0000-0000-000013040000}"/>
    <cellStyle name="40% - Colore 2 3 2" xfId="1228" xr:uid="{00000000-0005-0000-0000-000014040000}"/>
    <cellStyle name="40% - Colore 2 3 2 2" xfId="2537" xr:uid="{00000000-0005-0000-0000-000015040000}"/>
    <cellStyle name="40% - Colore 2 3 3" xfId="2538" xr:uid="{00000000-0005-0000-0000-000016040000}"/>
    <cellStyle name="40% - Colore 2 3 4" xfId="11918" xr:uid="{00000000-0005-0000-0000-000025050000}"/>
    <cellStyle name="40% - Colore 2 3 4 2" xfId="11919" xr:uid="{00000000-0005-0000-0000-000026050000}"/>
    <cellStyle name="40% - Colore 2 3 5" xfId="11920" xr:uid="{00000000-0005-0000-0000-000027050000}"/>
    <cellStyle name="40% - Colore 2 4" xfId="1229" xr:uid="{00000000-0005-0000-0000-000017040000}"/>
    <cellStyle name="40% - Colore 2 4 2" xfId="2539" xr:uid="{00000000-0005-0000-0000-000018040000}"/>
    <cellStyle name="40% - Colore 2 5" xfId="1226" xr:uid="{00000000-0005-0000-0000-000019040000}"/>
    <cellStyle name="40% - Colore 2 6" xfId="2540" xr:uid="{00000000-0005-0000-0000-00001A040000}"/>
    <cellStyle name="40% - Colore 2 7" xfId="2541" xr:uid="{00000000-0005-0000-0000-00001B040000}"/>
    <cellStyle name="40% - Colore 2 8" xfId="11921" xr:uid="{00000000-0005-0000-0000-00002D050000}"/>
    <cellStyle name="40% - Colore 2 8 2" xfId="11922" xr:uid="{00000000-0005-0000-0000-00002E050000}"/>
    <cellStyle name="40% - Colore 2 9" xfId="11923" xr:uid="{00000000-0005-0000-0000-00002F050000}"/>
    <cellStyle name="40% - Colore 3" xfId="125" xr:uid="{00000000-0005-0000-0000-00001C040000}"/>
    <cellStyle name="40% - Colore 3 10" xfId="126" xr:uid="{00000000-0005-0000-0000-00001D040000}"/>
    <cellStyle name="40% - Colore 3 10 2" xfId="1231" xr:uid="{00000000-0005-0000-0000-00001E040000}"/>
    <cellStyle name="40% - Colore 3 10 3" xfId="2542" xr:uid="{00000000-0005-0000-0000-00001F040000}"/>
    <cellStyle name="40% - Colore 3 10 4" xfId="11924" xr:uid="{00000000-0005-0000-0000-000034050000}"/>
    <cellStyle name="40% - Colore 3 10 4 2" xfId="11925" xr:uid="{00000000-0005-0000-0000-000035050000}"/>
    <cellStyle name="40% - Colore 3 10 5" xfId="11926" xr:uid="{00000000-0005-0000-0000-000036050000}"/>
    <cellStyle name="40% - Colore 3 11" xfId="127" xr:uid="{00000000-0005-0000-0000-000020040000}"/>
    <cellStyle name="40% - Colore 3 11 2" xfId="1232" xr:uid="{00000000-0005-0000-0000-000021040000}"/>
    <cellStyle name="40% - Colore 3 11 3" xfId="2543" xr:uid="{00000000-0005-0000-0000-000022040000}"/>
    <cellStyle name="40% - Colore 3 11 4" xfId="11927" xr:uid="{00000000-0005-0000-0000-00003A050000}"/>
    <cellStyle name="40% - Colore 3 11 4 2" xfId="11928" xr:uid="{00000000-0005-0000-0000-00003B050000}"/>
    <cellStyle name="40% - Colore 3 11 5" xfId="11929" xr:uid="{00000000-0005-0000-0000-00003C050000}"/>
    <cellStyle name="40% - Colore 3 12" xfId="128" xr:uid="{00000000-0005-0000-0000-000023040000}"/>
    <cellStyle name="40% - Colore 3 12 2" xfId="1233" xr:uid="{00000000-0005-0000-0000-000024040000}"/>
    <cellStyle name="40% - Colore 3 12 3" xfId="2544" xr:uid="{00000000-0005-0000-0000-000025040000}"/>
    <cellStyle name="40% - Colore 3 12 4" xfId="11930" xr:uid="{00000000-0005-0000-0000-000040050000}"/>
    <cellStyle name="40% - Colore 3 12 4 2" xfId="11931" xr:uid="{00000000-0005-0000-0000-000041050000}"/>
    <cellStyle name="40% - Colore 3 12 5" xfId="11932" xr:uid="{00000000-0005-0000-0000-000042050000}"/>
    <cellStyle name="40% - Colore 3 13" xfId="129" xr:uid="{00000000-0005-0000-0000-000026040000}"/>
    <cellStyle name="40% - Colore 3 13 2" xfId="1234" xr:uid="{00000000-0005-0000-0000-000027040000}"/>
    <cellStyle name="40% - Colore 3 13 3" xfId="2545" xr:uid="{00000000-0005-0000-0000-000028040000}"/>
    <cellStyle name="40% - Colore 3 13 4" xfId="11933" xr:uid="{00000000-0005-0000-0000-000046050000}"/>
    <cellStyle name="40% - Colore 3 13 4 2" xfId="11934" xr:uid="{00000000-0005-0000-0000-000047050000}"/>
    <cellStyle name="40% - Colore 3 13 5" xfId="11935" xr:uid="{00000000-0005-0000-0000-000048050000}"/>
    <cellStyle name="40% - Colore 3 14" xfId="130" xr:uid="{00000000-0005-0000-0000-000029040000}"/>
    <cellStyle name="40% - Colore 3 14 2" xfId="1235" xr:uid="{00000000-0005-0000-0000-00002A040000}"/>
    <cellStyle name="40% - Colore 3 14 3" xfId="2546" xr:uid="{00000000-0005-0000-0000-00002B040000}"/>
    <cellStyle name="40% - Colore 3 14 4" xfId="11936" xr:uid="{00000000-0005-0000-0000-00004C050000}"/>
    <cellStyle name="40% - Colore 3 14 4 2" xfId="11937" xr:uid="{00000000-0005-0000-0000-00004D050000}"/>
    <cellStyle name="40% - Colore 3 14 5" xfId="11938" xr:uid="{00000000-0005-0000-0000-00004E050000}"/>
    <cellStyle name="40% - Colore 3 15" xfId="308" xr:uid="{00000000-0005-0000-0000-00002C040000}"/>
    <cellStyle name="40% - Colore 3 15 2" xfId="1236" xr:uid="{00000000-0005-0000-0000-00002D040000}"/>
    <cellStyle name="40% - Colore 3 15 2 2" xfId="2547" xr:uid="{00000000-0005-0000-0000-00002E040000}"/>
    <cellStyle name="40% - Colore 3 15 3" xfId="2548" xr:uid="{00000000-0005-0000-0000-00002F040000}"/>
    <cellStyle name="40% - Colore 3 15 4" xfId="11939" xr:uid="{00000000-0005-0000-0000-000053050000}"/>
    <cellStyle name="40% - Colore 3 15 4 2" xfId="11940" xr:uid="{00000000-0005-0000-0000-000054050000}"/>
    <cellStyle name="40% - Colore 3 15 5" xfId="11941" xr:uid="{00000000-0005-0000-0000-000055050000}"/>
    <cellStyle name="40% - Colore 3 16" xfId="1237" xr:uid="{00000000-0005-0000-0000-000030040000}"/>
    <cellStyle name="40% - Colore 3 16 2" xfId="2549" xr:uid="{00000000-0005-0000-0000-000031040000}"/>
    <cellStyle name="40% - Colore 3 17" xfId="1230" xr:uid="{00000000-0005-0000-0000-000032040000}"/>
    <cellStyle name="40% - Colore 3 18" xfId="2550" xr:uid="{00000000-0005-0000-0000-000033040000}"/>
    <cellStyle name="40% - Colore 3 19" xfId="2551" xr:uid="{00000000-0005-0000-0000-000034040000}"/>
    <cellStyle name="40% - Colore 3 2" xfId="131" xr:uid="{00000000-0005-0000-0000-000035040000}"/>
    <cellStyle name="40% - Colore 3 2 2" xfId="1238" xr:uid="{00000000-0005-0000-0000-000036040000}"/>
    <cellStyle name="40% - Colore 3 2 3" xfId="2552" xr:uid="{00000000-0005-0000-0000-000037040000}"/>
    <cellStyle name="40% - Colore 3 2 4" xfId="11942" xr:uid="{00000000-0005-0000-0000-00005E050000}"/>
    <cellStyle name="40% - Colore 3 2 4 2" xfId="11943" xr:uid="{00000000-0005-0000-0000-00005F050000}"/>
    <cellStyle name="40% - Colore 3 2 5" xfId="11944" xr:uid="{00000000-0005-0000-0000-000060050000}"/>
    <cellStyle name="40% - Colore 3 20" xfId="11945" xr:uid="{00000000-0005-0000-0000-000061050000}"/>
    <cellStyle name="40% - Colore 3 20 2" xfId="11946" xr:uid="{00000000-0005-0000-0000-000062050000}"/>
    <cellStyle name="40% - Colore 3 21" xfId="11947" xr:uid="{00000000-0005-0000-0000-000063050000}"/>
    <cellStyle name="40% - Colore 3 3" xfId="132" xr:uid="{00000000-0005-0000-0000-000038040000}"/>
    <cellStyle name="40% - Colore 3 3 2" xfId="1239" xr:uid="{00000000-0005-0000-0000-000039040000}"/>
    <cellStyle name="40% - Colore 3 3 3" xfId="2553" xr:uid="{00000000-0005-0000-0000-00003A040000}"/>
    <cellStyle name="40% - Colore 3 3 4" xfId="11948" xr:uid="{00000000-0005-0000-0000-000067050000}"/>
    <cellStyle name="40% - Colore 3 3 4 2" xfId="11949" xr:uid="{00000000-0005-0000-0000-000068050000}"/>
    <cellStyle name="40% - Colore 3 3 5" xfId="11950" xr:uid="{00000000-0005-0000-0000-000069050000}"/>
    <cellStyle name="40% - Colore 3 4" xfId="133" xr:uid="{00000000-0005-0000-0000-00003B040000}"/>
    <cellStyle name="40% - Colore 3 4 2" xfId="1240" xr:uid="{00000000-0005-0000-0000-00003C040000}"/>
    <cellStyle name="40% - Colore 3 4 3" xfId="2554" xr:uid="{00000000-0005-0000-0000-00003D040000}"/>
    <cellStyle name="40% - Colore 3 4 4" xfId="11951" xr:uid="{00000000-0005-0000-0000-00006D050000}"/>
    <cellStyle name="40% - Colore 3 4 4 2" xfId="11952" xr:uid="{00000000-0005-0000-0000-00006E050000}"/>
    <cellStyle name="40% - Colore 3 4 5" xfId="11953" xr:uid="{00000000-0005-0000-0000-00006F050000}"/>
    <cellStyle name="40% - Colore 3 5" xfId="134" xr:uid="{00000000-0005-0000-0000-00003E040000}"/>
    <cellStyle name="40% - Colore 3 5 2" xfId="1241" xr:uid="{00000000-0005-0000-0000-00003F040000}"/>
    <cellStyle name="40% - Colore 3 5 3" xfId="2555" xr:uid="{00000000-0005-0000-0000-000040040000}"/>
    <cellStyle name="40% - Colore 3 5 4" xfId="11954" xr:uid="{00000000-0005-0000-0000-000073050000}"/>
    <cellStyle name="40% - Colore 3 5 4 2" xfId="11955" xr:uid="{00000000-0005-0000-0000-000074050000}"/>
    <cellStyle name="40% - Colore 3 5 5" xfId="11956" xr:uid="{00000000-0005-0000-0000-000075050000}"/>
    <cellStyle name="40% - Colore 3 6" xfId="135" xr:uid="{00000000-0005-0000-0000-000041040000}"/>
    <cellStyle name="40% - Colore 3 6 2" xfId="1242" xr:uid="{00000000-0005-0000-0000-000042040000}"/>
    <cellStyle name="40% - Colore 3 6 3" xfId="2556" xr:uid="{00000000-0005-0000-0000-000043040000}"/>
    <cellStyle name="40% - Colore 3 6 4" xfId="11957" xr:uid="{00000000-0005-0000-0000-000079050000}"/>
    <cellStyle name="40% - Colore 3 6 4 2" xfId="11958" xr:uid="{00000000-0005-0000-0000-00007A050000}"/>
    <cellStyle name="40% - Colore 3 6 5" xfId="11959" xr:uid="{00000000-0005-0000-0000-00007B050000}"/>
    <cellStyle name="40% - Colore 3 7" xfId="136" xr:uid="{00000000-0005-0000-0000-000044040000}"/>
    <cellStyle name="40% - Colore 3 7 2" xfId="1243" xr:uid="{00000000-0005-0000-0000-000045040000}"/>
    <cellStyle name="40% - Colore 3 7 3" xfId="2557" xr:uid="{00000000-0005-0000-0000-000046040000}"/>
    <cellStyle name="40% - Colore 3 7 4" xfId="11960" xr:uid="{00000000-0005-0000-0000-00007F050000}"/>
    <cellStyle name="40% - Colore 3 7 4 2" xfId="11961" xr:uid="{00000000-0005-0000-0000-000080050000}"/>
    <cellStyle name="40% - Colore 3 7 5" xfId="11962" xr:uid="{00000000-0005-0000-0000-000081050000}"/>
    <cellStyle name="40% - Colore 3 8" xfId="137" xr:uid="{00000000-0005-0000-0000-000047040000}"/>
    <cellStyle name="40% - Colore 3 8 2" xfId="1244" xr:uid="{00000000-0005-0000-0000-000048040000}"/>
    <cellStyle name="40% - Colore 3 8 3" xfId="2558" xr:uid="{00000000-0005-0000-0000-000049040000}"/>
    <cellStyle name="40% - Colore 3 8 4" xfId="11963" xr:uid="{00000000-0005-0000-0000-000085050000}"/>
    <cellStyle name="40% - Colore 3 8 4 2" xfId="11964" xr:uid="{00000000-0005-0000-0000-000086050000}"/>
    <cellStyle name="40% - Colore 3 8 5" xfId="11965" xr:uid="{00000000-0005-0000-0000-000087050000}"/>
    <cellStyle name="40% - Colore 3 9" xfId="138" xr:uid="{00000000-0005-0000-0000-00004A040000}"/>
    <cellStyle name="40% - Colore 3 9 2" xfId="1245" xr:uid="{00000000-0005-0000-0000-00004B040000}"/>
    <cellStyle name="40% - Colore 3 9 3" xfId="2559" xr:uid="{00000000-0005-0000-0000-00004C040000}"/>
    <cellStyle name="40% - Colore 3 9 4" xfId="11966" xr:uid="{00000000-0005-0000-0000-00008B050000}"/>
    <cellStyle name="40% - Colore 3 9 4 2" xfId="11967" xr:uid="{00000000-0005-0000-0000-00008C050000}"/>
    <cellStyle name="40% - Colore 3 9 5" xfId="11968" xr:uid="{00000000-0005-0000-0000-00008D050000}"/>
    <cellStyle name="40% - Colore 4" xfId="139" xr:uid="{00000000-0005-0000-0000-00004D040000}"/>
    <cellStyle name="40% - Colore 4 2" xfId="140" xr:uid="{00000000-0005-0000-0000-00004E040000}"/>
    <cellStyle name="40% - Colore 4 2 2" xfId="1247" xr:uid="{00000000-0005-0000-0000-00004F040000}"/>
    <cellStyle name="40% - Colore 4 2 3" xfId="2560" xr:uid="{00000000-0005-0000-0000-000050040000}"/>
    <cellStyle name="40% - Colore 4 2 4" xfId="11969" xr:uid="{00000000-0005-0000-0000-000092050000}"/>
    <cellStyle name="40% - Colore 4 2 4 2" xfId="11970" xr:uid="{00000000-0005-0000-0000-000093050000}"/>
    <cellStyle name="40% - Colore 4 2 5" xfId="11971" xr:uid="{00000000-0005-0000-0000-000094050000}"/>
    <cellStyle name="40% - Colore 4 3" xfId="309" xr:uid="{00000000-0005-0000-0000-000051040000}"/>
    <cellStyle name="40% - Colore 4 3 2" xfId="1248" xr:uid="{00000000-0005-0000-0000-000052040000}"/>
    <cellStyle name="40% - Colore 4 3 2 2" xfId="2561" xr:uid="{00000000-0005-0000-0000-000053040000}"/>
    <cellStyle name="40% - Colore 4 3 3" xfId="2562" xr:uid="{00000000-0005-0000-0000-000054040000}"/>
    <cellStyle name="40% - Colore 4 3 4" xfId="11972" xr:uid="{00000000-0005-0000-0000-000099050000}"/>
    <cellStyle name="40% - Colore 4 3 4 2" xfId="11973" xr:uid="{00000000-0005-0000-0000-00009A050000}"/>
    <cellStyle name="40% - Colore 4 3 5" xfId="11974" xr:uid="{00000000-0005-0000-0000-00009B050000}"/>
    <cellStyle name="40% - Colore 4 4" xfId="1249" xr:uid="{00000000-0005-0000-0000-000055040000}"/>
    <cellStyle name="40% - Colore 4 4 2" xfId="2563" xr:uid="{00000000-0005-0000-0000-000056040000}"/>
    <cellStyle name="40% - Colore 4 5" xfId="1246" xr:uid="{00000000-0005-0000-0000-000057040000}"/>
    <cellStyle name="40% - Colore 4 6" xfId="2564" xr:uid="{00000000-0005-0000-0000-000058040000}"/>
    <cellStyle name="40% - Colore 4 7" xfId="2565" xr:uid="{00000000-0005-0000-0000-000059040000}"/>
    <cellStyle name="40% - Colore 4 8" xfId="11975" xr:uid="{00000000-0005-0000-0000-0000A1050000}"/>
    <cellStyle name="40% - Colore 4 8 2" xfId="11976" xr:uid="{00000000-0005-0000-0000-0000A2050000}"/>
    <cellStyle name="40% - Colore 4 9" xfId="11977" xr:uid="{00000000-0005-0000-0000-0000A3050000}"/>
    <cellStyle name="40% - Colore 5" xfId="141" xr:uid="{00000000-0005-0000-0000-00005A040000}"/>
    <cellStyle name="40% - Colore 5 2" xfId="142" xr:uid="{00000000-0005-0000-0000-00005B040000}"/>
    <cellStyle name="40% - Colore 5 2 2" xfId="1251" xr:uid="{00000000-0005-0000-0000-00005C040000}"/>
    <cellStyle name="40% - Colore 5 2 3" xfId="2566" xr:uid="{00000000-0005-0000-0000-00005D040000}"/>
    <cellStyle name="40% - Colore 5 2 4" xfId="11978" xr:uid="{00000000-0005-0000-0000-0000A8050000}"/>
    <cellStyle name="40% - Colore 5 2 4 2" xfId="11979" xr:uid="{00000000-0005-0000-0000-0000A9050000}"/>
    <cellStyle name="40% - Colore 5 2 5" xfId="11980" xr:uid="{00000000-0005-0000-0000-0000AA050000}"/>
    <cellStyle name="40% - Colore 5 3" xfId="310" xr:uid="{00000000-0005-0000-0000-00005E040000}"/>
    <cellStyle name="40% - Colore 5 3 2" xfId="1252" xr:uid="{00000000-0005-0000-0000-00005F040000}"/>
    <cellStyle name="40% - Colore 5 3 2 2" xfId="2567" xr:uid="{00000000-0005-0000-0000-000060040000}"/>
    <cellStyle name="40% - Colore 5 3 3" xfId="2568" xr:uid="{00000000-0005-0000-0000-000061040000}"/>
    <cellStyle name="40% - Colore 5 3 4" xfId="11981" xr:uid="{00000000-0005-0000-0000-0000AF050000}"/>
    <cellStyle name="40% - Colore 5 3 4 2" xfId="11982" xr:uid="{00000000-0005-0000-0000-0000B0050000}"/>
    <cellStyle name="40% - Colore 5 3 5" xfId="11983" xr:uid="{00000000-0005-0000-0000-0000B1050000}"/>
    <cellStyle name="40% - Colore 5 4" xfId="1253" xr:uid="{00000000-0005-0000-0000-000062040000}"/>
    <cellStyle name="40% - Colore 5 4 2" xfId="2569" xr:uid="{00000000-0005-0000-0000-000063040000}"/>
    <cellStyle name="40% - Colore 5 5" xfId="1250" xr:uid="{00000000-0005-0000-0000-000064040000}"/>
    <cellStyle name="40% - Colore 5 6" xfId="2570" xr:uid="{00000000-0005-0000-0000-000065040000}"/>
    <cellStyle name="40% - Colore 5 7" xfId="2571" xr:uid="{00000000-0005-0000-0000-000066040000}"/>
    <cellStyle name="40% - Colore 5 8" xfId="11984" xr:uid="{00000000-0005-0000-0000-0000B7050000}"/>
    <cellStyle name="40% - Colore 5 8 2" xfId="11985" xr:uid="{00000000-0005-0000-0000-0000B8050000}"/>
    <cellStyle name="40% - Colore 5 9" xfId="11986" xr:uid="{00000000-0005-0000-0000-0000B9050000}"/>
    <cellStyle name="40% - Colore 6" xfId="143" xr:uid="{00000000-0005-0000-0000-000067040000}"/>
    <cellStyle name="40% - Colore 6 2" xfId="144" xr:uid="{00000000-0005-0000-0000-000068040000}"/>
    <cellStyle name="40% - Colore 6 2 2" xfId="1255" xr:uid="{00000000-0005-0000-0000-000069040000}"/>
    <cellStyle name="40% - Colore 6 2 3" xfId="2572" xr:uid="{00000000-0005-0000-0000-00006A040000}"/>
    <cellStyle name="40% - Colore 6 2 4" xfId="11987" xr:uid="{00000000-0005-0000-0000-0000BE050000}"/>
    <cellStyle name="40% - Colore 6 2 4 2" xfId="11988" xr:uid="{00000000-0005-0000-0000-0000BF050000}"/>
    <cellStyle name="40% - Colore 6 2 5" xfId="11989" xr:uid="{00000000-0005-0000-0000-0000C0050000}"/>
    <cellStyle name="40% - Colore 6 3" xfId="311" xr:uid="{00000000-0005-0000-0000-00006B040000}"/>
    <cellStyle name="40% - Colore 6 3 2" xfId="1256" xr:uid="{00000000-0005-0000-0000-00006C040000}"/>
    <cellStyle name="40% - Colore 6 3 2 2" xfId="2573" xr:uid="{00000000-0005-0000-0000-00006D040000}"/>
    <cellStyle name="40% - Colore 6 3 3" xfId="2574" xr:uid="{00000000-0005-0000-0000-00006E040000}"/>
    <cellStyle name="40% - Colore 6 3 4" xfId="11990" xr:uid="{00000000-0005-0000-0000-0000C5050000}"/>
    <cellStyle name="40% - Colore 6 3 4 2" xfId="11991" xr:uid="{00000000-0005-0000-0000-0000C6050000}"/>
    <cellStyle name="40% - Colore 6 3 5" xfId="11992" xr:uid="{00000000-0005-0000-0000-0000C7050000}"/>
    <cellStyle name="40% - Colore 6 4" xfId="1257" xr:uid="{00000000-0005-0000-0000-00006F040000}"/>
    <cellStyle name="40% - Colore 6 4 2" xfId="2575" xr:uid="{00000000-0005-0000-0000-000070040000}"/>
    <cellStyle name="40% - Colore 6 5" xfId="1254" xr:uid="{00000000-0005-0000-0000-000071040000}"/>
    <cellStyle name="40% - Colore 6 6" xfId="2576" xr:uid="{00000000-0005-0000-0000-000072040000}"/>
    <cellStyle name="40% - Colore 6 7" xfId="2577" xr:uid="{00000000-0005-0000-0000-000073040000}"/>
    <cellStyle name="40% - Colore 6 8" xfId="11993" xr:uid="{00000000-0005-0000-0000-0000CD050000}"/>
    <cellStyle name="40% - Colore 6 8 2" xfId="11994" xr:uid="{00000000-0005-0000-0000-0000CE050000}"/>
    <cellStyle name="40% - Colore 6 9" xfId="11995" xr:uid="{00000000-0005-0000-0000-0000CF050000}"/>
    <cellStyle name="60% - Accent1 2" xfId="243" xr:uid="{00000000-0005-0000-0000-000074040000}"/>
    <cellStyle name="60% - Accent1 2 10" xfId="1258" xr:uid="{00000000-0005-0000-0000-000075040000}"/>
    <cellStyle name="60% - Accent1 2 11" xfId="1259" xr:uid="{00000000-0005-0000-0000-000076040000}"/>
    <cellStyle name="60% - Accent1 2 12" xfId="1260" xr:uid="{00000000-0005-0000-0000-000077040000}"/>
    <cellStyle name="60% - Accent1 2 13" xfId="1261" xr:uid="{00000000-0005-0000-0000-000078040000}"/>
    <cellStyle name="60% - Accent1 2 14" xfId="1262" xr:uid="{00000000-0005-0000-0000-000079040000}"/>
    <cellStyle name="60% - Accent1 2 15" xfId="1263" xr:uid="{00000000-0005-0000-0000-00007A040000}"/>
    <cellStyle name="60% - Accent1 2 16" xfId="1264" xr:uid="{00000000-0005-0000-0000-00007B040000}"/>
    <cellStyle name="60% - Accent1 2 17" xfId="1265" xr:uid="{00000000-0005-0000-0000-00007C040000}"/>
    <cellStyle name="60% - Accent1 2 2" xfId="1266" xr:uid="{00000000-0005-0000-0000-00007D040000}"/>
    <cellStyle name="60% - Accent1 2 3" xfId="1267" xr:uid="{00000000-0005-0000-0000-00007E040000}"/>
    <cellStyle name="60% - Accent1 2 4" xfId="1268" xr:uid="{00000000-0005-0000-0000-00007F040000}"/>
    <cellStyle name="60% - Accent1 2 5" xfId="1269" xr:uid="{00000000-0005-0000-0000-000080040000}"/>
    <cellStyle name="60% - Accent1 2 6" xfId="1270" xr:uid="{00000000-0005-0000-0000-000081040000}"/>
    <cellStyle name="60% - Accent1 2 7" xfId="1271" xr:uid="{00000000-0005-0000-0000-000082040000}"/>
    <cellStyle name="60% - Accent1 2 8" xfId="1272" xr:uid="{00000000-0005-0000-0000-000083040000}"/>
    <cellStyle name="60% - Accent1 2 9" xfId="1273" xr:uid="{00000000-0005-0000-0000-000084040000}"/>
    <cellStyle name="60% - Accent1 3 10" xfId="1274" xr:uid="{00000000-0005-0000-0000-000085040000}"/>
    <cellStyle name="60% - Accent1 3 11" xfId="1275" xr:uid="{00000000-0005-0000-0000-000086040000}"/>
    <cellStyle name="60% - Accent1 3 12" xfId="1276" xr:uid="{00000000-0005-0000-0000-000087040000}"/>
    <cellStyle name="60% - Accent1 3 13" xfId="1277" xr:uid="{00000000-0005-0000-0000-000088040000}"/>
    <cellStyle name="60% - Accent1 3 14" xfId="1278" xr:uid="{00000000-0005-0000-0000-000089040000}"/>
    <cellStyle name="60% - Accent1 3 15" xfId="1279" xr:uid="{00000000-0005-0000-0000-00008A040000}"/>
    <cellStyle name="60% - Accent1 3 16" xfId="1280" xr:uid="{00000000-0005-0000-0000-00008B040000}"/>
    <cellStyle name="60% - Accent1 3 17" xfId="1281" xr:uid="{00000000-0005-0000-0000-00008C040000}"/>
    <cellStyle name="60% - Accent1 3 2" xfId="1282" xr:uid="{00000000-0005-0000-0000-00008D040000}"/>
    <cellStyle name="60% - Accent1 3 3" xfId="1283" xr:uid="{00000000-0005-0000-0000-00008E040000}"/>
    <cellStyle name="60% - Accent1 3 4" xfId="1284" xr:uid="{00000000-0005-0000-0000-00008F040000}"/>
    <cellStyle name="60% - Accent1 3 5" xfId="1285" xr:uid="{00000000-0005-0000-0000-000090040000}"/>
    <cellStyle name="60% - Accent1 3 6" xfId="1286" xr:uid="{00000000-0005-0000-0000-000091040000}"/>
    <cellStyle name="60% - Accent1 3 7" xfId="1287" xr:uid="{00000000-0005-0000-0000-000092040000}"/>
    <cellStyle name="60% - Accent1 3 8" xfId="1288" xr:uid="{00000000-0005-0000-0000-000093040000}"/>
    <cellStyle name="60% - Accent1 3 9" xfId="1289" xr:uid="{00000000-0005-0000-0000-000094040000}"/>
    <cellStyle name="60% - Accent2 2" xfId="244" xr:uid="{00000000-0005-0000-0000-000095040000}"/>
    <cellStyle name="60% - Accent2 2 10" xfId="1290" xr:uid="{00000000-0005-0000-0000-000096040000}"/>
    <cellStyle name="60% - Accent2 2 11" xfId="1291" xr:uid="{00000000-0005-0000-0000-000097040000}"/>
    <cellStyle name="60% - Accent2 2 12" xfId="1292" xr:uid="{00000000-0005-0000-0000-000098040000}"/>
    <cellStyle name="60% - Accent2 2 13" xfId="1293" xr:uid="{00000000-0005-0000-0000-000099040000}"/>
    <cellStyle name="60% - Accent2 2 14" xfId="1294" xr:uid="{00000000-0005-0000-0000-00009A040000}"/>
    <cellStyle name="60% - Accent2 2 15" xfId="1295" xr:uid="{00000000-0005-0000-0000-00009B040000}"/>
    <cellStyle name="60% - Accent2 2 16" xfId="1296" xr:uid="{00000000-0005-0000-0000-00009C040000}"/>
    <cellStyle name="60% - Accent2 2 17" xfId="1297" xr:uid="{00000000-0005-0000-0000-00009D040000}"/>
    <cellStyle name="60% - Accent2 2 2" xfId="1298" xr:uid="{00000000-0005-0000-0000-00009E040000}"/>
    <cellStyle name="60% - Accent2 2 3" xfId="1299" xr:uid="{00000000-0005-0000-0000-00009F040000}"/>
    <cellStyle name="60% - Accent2 2 4" xfId="1300" xr:uid="{00000000-0005-0000-0000-0000A0040000}"/>
    <cellStyle name="60% - Accent2 2 5" xfId="1301" xr:uid="{00000000-0005-0000-0000-0000A1040000}"/>
    <cellStyle name="60% - Accent2 2 6" xfId="1302" xr:uid="{00000000-0005-0000-0000-0000A2040000}"/>
    <cellStyle name="60% - Accent2 2 7" xfId="1303" xr:uid="{00000000-0005-0000-0000-0000A3040000}"/>
    <cellStyle name="60% - Accent2 2 8" xfId="1304" xr:uid="{00000000-0005-0000-0000-0000A4040000}"/>
    <cellStyle name="60% - Accent2 2 9" xfId="1305" xr:uid="{00000000-0005-0000-0000-0000A5040000}"/>
    <cellStyle name="60% - Accent2 3 10" xfId="1306" xr:uid="{00000000-0005-0000-0000-0000A6040000}"/>
    <cellStyle name="60% - Accent2 3 11" xfId="1307" xr:uid="{00000000-0005-0000-0000-0000A7040000}"/>
    <cellStyle name="60% - Accent2 3 12" xfId="1308" xr:uid="{00000000-0005-0000-0000-0000A8040000}"/>
    <cellStyle name="60% - Accent2 3 13" xfId="1309" xr:uid="{00000000-0005-0000-0000-0000A9040000}"/>
    <cellStyle name="60% - Accent2 3 14" xfId="1310" xr:uid="{00000000-0005-0000-0000-0000AA040000}"/>
    <cellStyle name="60% - Accent2 3 15" xfId="1311" xr:uid="{00000000-0005-0000-0000-0000AB040000}"/>
    <cellStyle name="60% - Accent2 3 16" xfId="1312" xr:uid="{00000000-0005-0000-0000-0000AC040000}"/>
    <cellStyle name="60% - Accent2 3 17" xfId="1313" xr:uid="{00000000-0005-0000-0000-0000AD040000}"/>
    <cellStyle name="60% - Accent2 3 2" xfId="1314" xr:uid="{00000000-0005-0000-0000-0000AE040000}"/>
    <cellStyle name="60% - Accent2 3 3" xfId="1315" xr:uid="{00000000-0005-0000-0000-0000AF040000}"/>
    <cellStyle name="60% - Accent2 3 4" xfId="1316" xr:uid="{00000000-0005-0000-0000-0000B0040000}"/>
    <cellStyle name="60% - Accent2 3 5" xfId="1317" xr:uid="{00000000-0005-0000-0000-0000B1040000}"/>
    <cellStyle name="60% - Accent2 3 6" xfId="1318" xr:uid="{00000000-0005-0000-0000-0000B2040000}"/>
    <cellStyle name="60% - Accent2 3 7" xfId="1319" xr:uid="{00000000-0005-0000-0000-0000B3040000}"/>
    <cellStyle name="60% - Accent2 3 8" xfId="1320" xr:uid="{00000000-0005-0000-0000-0000B4040000}"/>
    <cellStyle name="60% - Accent2 3 9" xfId="1321" xr:uid="{00000000-0005-0000-0000-0000B5040000}"/>
    <cellStyle name="60% - Accent3 2" xfId="245" xr:uid="{00000000-0005-0000-0000-0000B6040000}"/>
    <cellStyle name="60% - Accent3 2 10" xfId="1322" xr:uid="{00000000-0005-0000-0000-0000B7040000}"/>
    <cellStyle name="60% - Accent3 2 11" xfId="1323" xr:uid="{00000000-0005-0000-0000-0000B8040000}"/>
    <cellStyle name="60% - Accent3 2 12" xfId="1324" xr:uid="{00000000-0005-0000-0000-0000B9040000}"/>
    <cellStyle name="60% - Accent3 2 13" xfId="1325" xr:uid="{00000000-0005-0000-0000-0000BA040000}"/>
    <cellStyle name="60% - Accent3 2 14" xfId="1326" xr:uid="{00000000-0005-0000-0000-0000BB040000}"/>
    <cellStyle name="60% - Accent3 2 15" xfId="1327" xr:uid="{00000000-0005-0000-0000-0000BC040000}"/>
    <cellStyle name="60% - Accent3 2 16" xfId="1328" xr:uid="{00000000-0005-0000-0000-0000BD040000}"/>
    <cellStyle name="60% - Accent3 2 17" xfId="1329" xr:uid="{00000000-0005-0000-0000-0000BE040000}"/>
    <cellStyle name="60% - Accent3 2 2" xfId="1330" xr:uid="{00000000-0005-0000-0000-0000BF040000}"/>
    <cellStyle name="60% - Accent3 2 3" xfId="1331" xr:uid="{00000000-0005-0000-0000-0000C0040000}"/>
    <cellStyle name="60% - Accent3 2 4" xfId="1332" xr:uid="{00000000-0005-0000-0000-0000C1040000}"/>
    <cellStyle name="60% - Accent3 2 5" xfId="1333" xr:uid="{00000000-0005-0000-0000-0000C2040000}"/>
    <cellStyle name="60% - Accent3 2 6" xfId="1334" xr:uid="{00000000-0005-0000-0000-0000C3040000}"/>
    <cellStyle name="60% - Accent3 2 7" xfId="1335" xr:uid="{00000000-0005-0000-0000-0000C4040000}"/>
    <cellStyle name="60% - Accent3 2 8" xfId="1336" xr:uid="{00000000-0005-0000-0000-0000C5040000}"/>
    <cellStyle name="60% - Accent3 2 9" xfId="1337" xr:uid="{00000000-0005-0000-0000-0000C6040000}"/>
    <cellStyle name="60% - Accent3 3 10" xfId="1338" xr:uid="{00000000-0005-0000-0000-0000C7040000}"/>
    <cellStyle name="60% - Accent3 3 11" xfId="1339" xr:uid="{00000000-0005-0000-0000-0000C8040000}"/>
    <cellStyle name="60% - Accent3 3 12" xfId="1340" xr:uid="{00000000-0005-0000-0000-0000C9040000}"/>
    <cellStyle name="60% - Accent3 3 13" xfId="1341" xr:uid="{00000000-0005-0000-0000-0000CA040000}"/>
    <cellStyle name="60% - Accent3 3 14" xfId="1342" xr:uid="{00000000-0005-0000-0000-0000CB040000}"/>
    <cellStyle name="60% - Accent3 3 15" xfId="1343" xr:uid="{00000000-0005-0000-0000-0000CC040000}"/>
    <cellStyle name="60% - Accent3 3 16" xfId="1344" xr:uid="{00000000-0005-0000-0000-0000CD040000}"/>
    <cellStyle name="60% - Accent3 3 17" xfId="1345" xr:uid="{00000000-0005-0000-0000-0000CE040000}"/>
    <cellStyle name="60% - Accent3 3 2" xfId="1346" xr:uid="{00000000-0005-0000-0000-0000CF040000}"/>
    <cellStyle name="60% - Accent3 3 3" xfId="1347" xr:uid="{00000000-0005-0000-0000-0000D0040000}"/>
    <cellStyle name="60% - Accent3 3 4" xfId="1348" xr:uid="{00000000-0005-0000-0000-0000D1040000}"/>
    <cellStyle name="60% - Accent3 3 5" xfId="1349" xr:uid="{00000000-0005-0000-0000-0000D2040000}"/>
    <cellStyle name="60% - Accent3 3 6" xfId="1350" xr:uid="{00000000-0005-0000-0000-0000D3040000}"/>
    <cellStyle name="60% - Accent3 3 7" xfId="1351" xr:uid="{00000000-0005-0000-0000-0000D4040000}"/>
    <cellStyle name="60% - Accent3 3 8" xfId="1352" xr:uid="{00000000-0005-0000-0000-0000D5040000}"/>
    <cellStyle name="60% - Accent3 3 9" xfId="1353" xr:uid="{00000000-0005-0000-0000-0000D6040000}"/>
    <cellStyle name="60% - Accent4 2" xfId="246" xr:uid="{00000000-0005-0000-0000-0000D7040000}"/>
    <cellStyle name="60% - Accent4 2 10" xfId="1354" xr:uid="{00000000-0005-0000-0000-0000D8040000}"/>
    <cellStyle name="60% - Accent4 2 11" xfId="1355" xr:uid="{00000000-0005-0000-0000-0000D9040000}"/>
    <cellStyle name="60% - Accent4 2 12" xfId="1356" xr:uid="{00000000-0005-0000-0000-0000DA040000}"/>
    <cellStyle name="60% - Accent4 2 13" xfId="1357" xr:uid="{00000000-0005-0000-0000-0000DB040000}"/>
    <cellStyle name="60% - Accent4 2 14" xfId="1358" xr:uid="{00000000-0005-0000-0000-0000DC040000}"/>
    <cellStyle name="60% - Accent4 2 15" xfId="1359" xr:uid="{00000000-0005-0000-0000-0000DD040000}"/>
    <cellStyle name="60% - Accent4 2 16" xfId="1360" xr:uid="{00000000-0005-0000-0000-0000DE040000}"/>
    <cellStyle name="60% - Accent4 2 17" xfId="1361" xr:uid="{00000000-0005-0000-0000-0000DF040000}"/>
    <cellStyle name="60% - Accent4 2 2" xfId="1362" xr:uid="{00000000-0005-0000-0000-0000E0040000}"/>
    <cellStyle name="60% - Accent4 2 3" xfId="1363" xr:uid="{00000000-0005-0000-0000-0000E1040000}"/>
    <cellStyle name="60% - Accent4 2 4" xfId="1364" xr:uid="{00000000-0005-0000-0000-0000E2040000}"/>
    <cellStyle name="60% - Accent4 2 5" xfId="1365" xr:uid="{00000000-0005-0000-0000-0000E3040000}"/>
    <cellStyle name="60% - Accent4 2 6" xfId="1366" xr:uid="{00000000-0005-0000-0000-0000E4040000}"/>
    <cellStyle name="60% - Accent4 2 7" xfId="1367" xr:uid="{00000000-0005-0000-0000-0000E5040000}"/>
    <cellStyle name="60% - Accent4 2 8" xfId="1368" xr:uid="{00000000-0005-0000-0000-0000E6040000}"/>
    <cellStyle name="60% - Accent4 2 9" xfId="1369" xr:uid="{00000000-0005-0000-0000-0000E7040000}"/>
    <cellStyle name="60% - Accent4 3 10" xfId="1370" xr:uid="{00000000-0005-0000-0000-0000E8040000}"/>
    <cellStyle name="60% - Accent4 3 11" xfId="1371" xr:uid="{00000000-0005-0000-0000-0000E9040000}"/>
    <cellStyle name="60% - Accent4 3 12" xfId="1372" xr:uid="{00000000-0005-0000-0000-0000EA040000}"/>
    <cellStyle name="60% - Accent4 3 13" xfId="1373" xr:uid="{00000000-0005-0000-0000-0000EB040000}"/>
    <cellStyle name="60% - Accent4 3 14" xfId="1374" xr:uid="{00000000-0005-0000-0000-0000EC040000}"/>
    <cellStyle name="60% - Accent4 3 15" xfId="1375" xr:uid="{00000000-0005-0000-0000-0000ED040000}"/>
    <cellStyle name="60% - Accent4 3 16" xfId="1376" xr:uid="{00000000-0005-0000-0000-0000EE040000}"/>
    <cellStyle name="60% - Accent4 3 17" xfId="1377" xr:uid="{00000000-0005-0000-0000-0000EF040000}"/>
    <cellStyle name="60% - Accent4 3 2" xfId="1378" xr:uid="{00000000-0005-0000-0000-0000F0040000}"/>
    <cellStyle name="60% - Accent4 3 3" xfId="1379" xr:uid="{00000000-0005-0000-0000-0000F1040000}"/>
    <cellStyle name="60% - Accent4 3 4" xfId="1380" xr:uid="{00000000-0005-0000-0000-0000F2040000}"/>
    <cellStyle name="60% - Accent4 3 5" xfId="1381" xr:uid="{00000000-0005-0000-0000-0000F3040000}"/>
    <cellStyle name="60% - Accent4 3 6" xfId="1382" xr:uid="{00000000-0005-0000-0000-0000F4040000}"/>
    <cellStyle name="60% - Accent4 3 7" xfId="1383" xr:uid="{00000000-0005-0000-0000-0000F5040000}"/>
    <cellStyle name="60% - Accent4 3 8" xfId="1384" xr:uid="{00000000-0005-0000-0000-0000F6040000}"/>
    <cellStyle name="60% - Accent4 3 9" xfId="1385" xr:uid="{00000000-0005-0000-0000-0000F7040000}"/>
    <cellStyle name="60% - Accent5 2" xfId="247" xr:uid="{00000000-0005-0000-0000-0000F8040000}"/>
    <cellStyle name="60% - Accent5 2 10" xfId="1386" xr:uid="{00000000-0005-0000-0000-0000F9040000}"/>
    <cellStyle name="60% - Accent5 2 11" xfId="1387" xr:uid="{00000000-0005-0000-0000-0000FA040000}"/>
    <cellStyle name="60% - Accent5 2 12" xfId="1388" xr:uid="{00000000-0005-0000-0000-0000FB040000}"/>
    <cellStyle name="60% - Accent5 2 13" xfId="1389" xr:uid="{00000000-0005-0000-0000-0000FC040000}"/>
    <cellStyle name="60% - Accent5 2 14" xfId="1390" xr:uid="{00000000-0005-0000-0000-0000FD040000}"/>
    <cellStyle name="60% - Accent5 2 15" xfId="1391" xr:uid="{00000000-0005-0000-0000-0000FE040000}"/>
    <cellStyle name="60% - Accent5 2 16" xfId="1392" xr:uid="{00000000-0005-0000-0000-0000FF040000}"/>
    <cellStyle name="60% - Accent5 2 17" xfId="1393" xr:uid="{00000000-0005-0000-0000-000000050000}"/>
    <cellStyle name="60% - Accent5 2 2" xfId="1394" xr:uid="{00000000-0005-0000-0000-000001050000}"/>
    <cellStyle name="60% - Accent5 2 3" xfId="1395" xr:uid="{00000000-0005-0000-0000-000002050000}"/>
    <cellStyle name="60% - Accent5 2 4" xfId="1396" xr:uid="{00000000-0005-0000-0000-000003050000}"/>
    <cellStyle name="60% - Accent5 2 5" xfId="1397" xr:uid="{00000000-0005-0000-0000-000004050000}"/>
    <cellStyle name="60% - Accent5 2 6" xfId="1398" xr:uid="{00000000-0005-0000-0000-000005050000}"/>
    <cellStyle name="60% - Accent5 2 7" xfId="1399" xr:uid="{00000000-0005-0000-0000-000006050000}"/>
    <cellStyle name="60% - Accent5 2 8" xfId="1400" xr:uid="{00000000-0005-0000-0000-000007050000}"/>
    <cellStyle name="60% - Accent5 2 9" xfId="1401" xr:uid="{00000000-0005-0000-0000-000008050000}"/>
    <cellStyle name="60% - Accent5 3 10" xfId="1402" xr:uid="{00000000-0005-0000-0000-000009050000}"/>
    <cellStyle name="60% - Accent5 3 11" xfId="1403" xr:uid="{00000000-0005-0000-0000-00000A050000}"/>
    <cellStyle name="60% - Accent5 3 12" xfId="1404" xr:uid="{00000000-0005-0000-0000-00000B050000}"/>
    <cellStyle name="60% - Accent5 3 13" xfId="1405" xr:uid="{00000000-0005-0000-0000-00000C050000}"/>
    <cellStyle name="60% - Accent5 3 14" xfId="1406" xr:uid="{00000000-0005-0000-0000-00000D050000}"/>
    <cellStyle name="60% - Accent5 3 15" xfId="1407" xr:uid="{00000000-0005-0000-0000-00000E050000}"/>
    <cellStyle name="60% - Accent5 3 16" xfId="1408" xr:uid="{00000000-0005-0000-0000-00000F050000}"/>
    <cellStyle name="60% - Accent5 3 17" xfId="1409" xr:uid="{00000000-0005-0000-0000-000010050000}"/>
    <cellStyle name="60% - Accent5 3 2" xfId="1410" xr:uid="{00000000-0005-0000-0000-000011050000}"/>
    <cellStyle name="60% - Accent5 3 3" xfId="1411" xr:uid="{00000000-0005-0000-0000-000012050000}"/>
    <cellStyle name="60% - Accent5 3 4" xfId="1412" xr:uid="{00000000-0005-0000-0000-000013050000}"/>
    <cellStyle name="60% - Accent5 3 5" xfId="1413" xr:uid="{00000000-0005-0000-0000-000014050000}"/>
    <cellStyle name="60% - Accent5 3 6" xfId="1414" xr:uid="{00000000-0005-0000-0000-000015050000}"/>
    <cellStyle name="60% - Accent5 3 7" xfId="1415" xr:uid="{00000000-0005-0000-0000-000016050000}"/>
    <cellStyle name="60% - Accent5 3 8" xfId="1416" xr:uid="{00000000-0005-0000-0000-000017050000}"/>
    <cellStyle name="60% - Accent5 3 9" xfId="1417" xr:uid="{00000000-0005-0000-0000-000018050000}"/>
    <cellStyle name="60% - Accent6 2" xfId="248" xr:uid="{00000000-0005-0000-0000-000019050000}"/>
    <cellStyle name="60% - Accent6 2 10" xfId="1418" xr:uid="{00000000-0005-0000-0000-00001A050000}"/>
    <cellStyle name="60% - Accent6 2 11" xfId="1419" xr:uid="{00000000-0005-0000-0000-00001B050000}"/>
    <cellStyle name="60% - Accent6 2 12" xfId="1420" xr:uid="{00000000-0005-0000-0000-00001C050000}"/>
    <cellStyle name="60% - Accent6 2 13" xfId="1421" xr:uid="{00000000-0005-0000-0000-00001D050000}"/>
    <cellStyle name="60% - Accent6 2 14" xfId="1422" xr:uid="{00000000-0005-0000-0000-00001E050000}"/>
    <cellStyle name="60% - Accent6 2 15" xfId="1423" xr:uid="{00000000-0005-0000-0000-00001F050000}"/>
    <cellStyle name="60% - Accent6 2 16" xfId="1424" xr:uid="{00000000-0005-0000-0000-000020050000}"/>
    <cellStyle name="60% - Accent6 2 17" xfId="1425" xr:uid="{00000000-0005-0000-0000-000021050000}"/>
    <cellStyle name="60% - Accent6 2 2" xfId="1426" xr:uid="{00000000-0005-0000-0000-000022050000}"/>
    <cellStyle name="60% - Accent6 2 3" xfId="1427" xr:uid="{00000000-0005-0000-0000-000023050000}"/>
    <cellStyle name="60% - Accent6 2 4" xfId="1428" xr:uid="{00000000-0005-0000-0000-000024050000}"/>
    <cellStyle name="60% - Accent6 2 5" xfId="1429" xr:uid="{00000000-0005-0000-0000-000025050000}"/>
    <cellStyle name="60% - Accent6 2 6" xfId="1430" xr:uid="{00000000-0005-0000-0000-000026050000}"/>
    <cellStyle name="60% - Accent6 2 7" xfId="1431" xr:uid="{00000000-0005-0000-0000-000027050000}"/>
    <cellStyle name="60% - Accent6 2 8" xfId="1432" xr:uid="{00000000-0005-0000-0000-000028050000}"/>
    <cellStyle name="60% - Accent6 2 9" xfId="1433" xr:uid="{00000000-0005-0000-0000-000029050000}"/>
    <cellStyle name="60% - Accent6 3 10" xfId="1434" xr:uid="{00000000-0005-0000-0000-00002A050000}"/>
    <cellStyle name="60% - Accent6 3 11" xfId="1435" xr:uid="{00000000-0005-0000-0000-00002B050000}"/>
    <cellStyle name="60% - Accent6 3 12" xfId="1436" xr:uid="{00000000-0005-0000-0000-00002C050000}"/>
    <cellStyle name="60% - Accent6 3 13" xfId="1437" xr:uid="{00000000-0005-0000-0000-00002D050000}"/>
    <cellStyle name="60% - Accent6 3 14" xfId="1438" xr:uid="{00000000-0005-0000-0000-00002E050000}"/>
    <cellStyle name="60% - Accent6 3 15" xfId="1439" xr:uid="{00000000-0005-0000-0000-00002F050000}"/>
    <cellStyle name="60% - Accent6 3 16" xfId="1440" xr:uid="{00000000-0005-0000-0000-000030050000}"/>
    <cellStyle name="60% - Accent6 3 17" xfId="1441" xr:uid="{00000000-0005-0000-0000-000031050000}"/>
    <cellStyle name="60% - Accent6 3 2" xfId="1442" xr:uid="{00000000-0005-0000-0000-000032050000}"/>
    <cellStyle name="60% - Accent6 3 3" xfId="1443" xr:uid="{00000000-0005-0000-0000-000033050000}"/>
    <cellStyle name="60% - Accent6 3 4" xfId="1444" xr:uid="{00000000-0005-0000-0000-000034050000}"/>
    <cellStyle name="60% - Accent6 3 5" xfId="1445" xr:uid="{00000000-0005-0000-0000-000035050000}"/>
    <cellStyle name="60% - Accent6 3 6" xfId="1446" xr:uid="{00000000-0005-0000-0000-000036050000}"/>
    <cellStyle name="60% - Accent6 3 7" xfId="1447" xr:uid="{00000000-0005-0000-0000-000037050000}"/>
    <cellStyle name="60% - Accent6 3 8" xfId="1448" xr:uid="{00000000-0005-0000-0000-000038050000}"/>
    <cellStyle name="60% - Accent6 3 9" xfId="1449" xr:uid="{00000000-0005-0000-0000-000039050000}"/>
    <cellStyle name="60% - Colore 1" xfId="145" xr:uid="{00000000-0005-0000-0000-00003A050000}"/>
    <cellStyle name="60% - Colore 1 2" xfId="312" xr:uid="{00000000-0005-0000-0000-00003B050000}"/>
    <cellStyle name="60% - Colore 1 2 2" xfId="1450" xr:uid="{00000000-0005-0000-0000-00003C050000}"/>
    <cellStyle name="60% - Colore 1 2 2 2" xfId="2578" xr:uid="{00000000-0005-0000-0000-00003D050000}"/>
    <cellStyle name="60% - Colore 1 3" xfId="1451" xr:uid="{00000000-0005-0000-0000-00003E050000}"/>
    <cellStyle name="60% - Colore 1 4" xfId="2579" xr:uid="{00000000-0005-0000-0000-00003F050000}"/>
    <cellStyle name="60% - Colore 2" xfId="146" xr:uid="{00000000-0005-0000-0000-000040050000}"/>
    <cellStyle name="60% - Colore 2 2" xfId="313" xr:uid="{00000000-0005-0000-0000-000041050000}"/>
    <cellStyle name="60% - Colore 2 2 2" xfId="1452" xr:uid="{00000000-0005-0000-0000-000042050000}"/>
    <cellStyle name="60% - Colore 2 2 2 2" xfId="2580" xr:uid="{00000000-0005-0000-0000-000043050000}"/>
    <cellStyle name="60% - Colore 2 3" xfId="1453" xr:uid="{00000000-0005-0000-0000-000044050000}"/>
    <cellStyle name="60% - Colore 2 4" xfId="2581" xr:uid="{00000000-0005-0000-0000-000045050000}"/>
    <cellStyle name="60% - Colore 3" xfId="147" xr:uid="{00000000-0005-0000-0000-000046050000}"/>
    <cellStyle name="60% - Colore 3 10" xfId="148" xr:uid="{00000000-0005-0000-0000-000047050000}"/>
    <cellStyle name="60% - Colore 3 11" xfId="149" xr:uid="{00000000-0005-0000-0000-000048050000}"/>
    <cellStyle name="60% - Colore 3 12" xfId="150" xr:uid="{00000000-0005-0000-0000-000049050000}"/>
    <cellStyle name="60% - Colore 3 13" xfId="151" xr:uid="{00000000-0005-0000-0000-00004A050000}"/>
    <cellStyle name="60% - Colore 3 14" xfId="314" xr:uid="{00000000-0005-0000-0000-00004B050000}"/>
    <cellStyle name="60% - Colore 3 14 2" xfId="1454" xr:uid="{00000000-0005-0000-0000-00004C050000}"/>
    <cellStyle name="60% - Colore 3 14 2 2" xfId="2582" xr:uid="{00000000-0005-0000-0000-00004D050000}"/>
    <cellStyle name="60% - Colore 3 15" xfId="1455" xr:uid="{00000000-0005-0000-0000-00004E050000}"/>
    <cellStyle name="60% - Colore 3 16" xfId="2583" xr:uid="{00000000-0005-0000-0000-00004F050000}"/>
    <cellStyle name="60% - Colore 3 2" xfId="152" xr:uid="{00000000-0005-0000-0000-000050050000}"/>
    <cellStyle name="60% - Colore 3 3" xfId="153" xr:uid="{00000000-0005-0000-0000-000051050000}"/>
    <cellStyle name="60% - Colore 3 4" xfId="154" xr:uid="{00000000-0005-0000-0000-000052050000}"/>
    <cellStyle name="60% - Colore 3 5" xfId="155" xr:uid="{00000000-0005-0000-0000-000053050000}"/>
    <cellStyle name="60% - Colore 3 6" xfId="156" xr:uid="{00000000-0005-0000-0000-000054050000}"/>
    <cellStyle name="60% - Colore 3 7" xfId="157" xr:uid="{00000000-0005-0000-0000-000055050000}"/>
    <cellStyle name="60% - Colore 3 8" xfId="158" xr:uid="{00000000-0005-0000-0000-000056050000}"/>
    <cellStyle name="60% - Colore 3 9" xfId="159" xr:uid="{00000000-0005-0000-0000-000057050000}"/>
    <cellStyle name="60% - Colore 4" xfId="160" xr:uid="{00000000-0005-0000-0000-000058050000}"/>
    <cellStyle name="60% - Colore 4 10" xfId="161" xr:uid="{00000000-0005-0000-0000-000059050000}"/>
    <cellStyle name="60% - Colore 4 11" xfId="162" xr:uid="{00000000-0005-0000-0000-00005A050000}"/>
    <cellStyle name="60% - Colore 4 12" xfId="163" xr:uid="{00000000-0005-0000-0000-00005B050000}"/>
    <cellStyle name="60% - Colore 4 13" xfId="164" xr:uid="{00000000-0005-0000-0000-00005C050000}"/>
    <cellStyle name="60% - Colore 4 14" xfId="315" xr:uid="{00000000-0005-0000-0000-00005D050000}"/>
    <cellStyle name="60% - Colore 4 14 2" xfId="1456" xr:uid="{00000000-0005-0000-0000-00005E050000}"/>
    <cellStyle name="60% - Colore 4 14 2 2" xfId="2584" xr:uid="{00000000-0005-0000-0000-00005F050000}"/>
    <cellStyle name="60% - Colore 4 15" xfId="1457" xr:uid="{00000000-0005-0000-0000-000060050000}"/>
    <cellStyle name="60% - Colore 4 16" xfId="2585" xr:uid="{00000000-0005-0000-0000-000061050000}"/>
    <cellStyle name="60% - Colore 4 2" xfId="165" xr:uid="{00000000-0005-0000-0000-000062050000}"/>
    <cellStyle name="60% - Colore 4 3" xfId="166" xr:uid="{00000000-0005-0000-0000-000063050000}"/>
    <cellStyle name="60% - Colore 4 4" xfId="167" xr:uid="{00000000-0005-0000-0000-000064050000}"/>
    <cellStyle name="60% - Colore 4 5" xfId="168" xr:uid="{00000000-0005-0000-0000-000065050000}"/>
    <cellStyle name="60% - Colore 4 6" xfId="169" xr:uid="{00000000-0005-0000-0000-000066050000}"/>
    <cellStyle name="60% - Colore 4 7" xfId="170" xr:uid="{00000000-0005-0000-0000-000067050000}"/>
    <cellStyle name="60% - Colore 4 8" xfId="171" xr:uid="{00000000-0005-0000-0000-000068050000}"/>
    <cellStyle name="60% - Colore 4 9" xfId="172" xr:uid="{00000000-0005-0000-0000-000069050000}"/>
    <cellStyle name="60% - Colore 5" xfId="173" xr:uid="{00000000-0005-0000-0000-00006A050000}"/>
    <cellStyle name="60% - Colore 5 2" xfId="316" xr:uid="{00000000-0005-0000-0000-00006B050000}"/>
    <cellStyle name="60% - Colore 5 2 2" xfId="1458" xr:uid="{00000000-0005-0000-0000-00006C050000}"/>
    <cellStyle name="60% - Colore 5 2 2 2" xfId="2586" xr:uid="{00000000-0005-0000-0000-00006D050000}"/>
    <cellStyle name="60% - Colore 5 3" xfId="1459" xr:uid="{00000000-0005-0000-0000-00006E050000}"/>
    <cellStyle name="60% - Colore 5 4" xfId="2587" xr:uid="{00000000-0005-0000-0000-00006F050000}"/>
    <cellStyle name="60% - Colore 6" xfId="174" xr:uid="{00000000-0005-0000-0000-000070050000}"/>
    <cellStyle name="60% - Colore 6 10" xfId="175" xr:uid="{00000000-0005-0000-0000-000071050000}"/>
    <cellStyle name="60% - Colore 6 11" xfId="176" xr:uid="{00000000-0005-0000-0000-000072050000}"/>
    <cellStyle name="60% - Colore 6 12" xfId="177" xr:uid="{00000000-0005-0000-0000-000073050000}"/>
    <cellStyle name="60% - Colore 6 13" xfId="178" xr:uid="{00000000-0005-0000-0000-000074050000}"/>
    <cellStyle name="60% - Colore 6 14" xfId="317" xr:uid="{00000000-0005-0000-0000-000075050000}"/>
    <cellStyle name="60% - Colore 6 14 2" xfId="1460" xr:uid="{00000000-0005-0000-0000-000076050000}"/>
    <cellStyle name="60% - Colore 6 14 2 2" xfId="2588" xr:uid="{00000000-0005-0000-0000-000077050000}"/>
    <cellStyle name="60% - Colore 6 15" xfId="1461" xr:uid="{00000000-0005-0000-0000-000078050000}"/>
    <cellStyle name="60% - Colore 6 16" xfId="2589" xr:uid="{00000000-0005-0000-0000-000079050000}"/>
    <cellStyle name="60% - Colore 6 2" xfId="179" xr:uid="{00000000-0005-0000-0000-00007A050000}"/>
    <cellStyle name="60% - Colore 6 3" xfId="180" xr:uid="{00000000-0005-0000-0000-00007B050000}"/>
    <cellStyle name="60% - Colore 6 4" xfId="181" xr:uid="{00000000-0005-0000-0000-00007C050000}"/>
    <cellStyle name="60% - Colore 6 5" xfId="182" xr:uid="{00000000-0005-0000-0000-00007D050000}"/>
    <cellStyle name="60% - Colore 6 6" xfId="183" xr:uid="{00000000-0005-0000-0000-00007E050000}"/>
    <cellStyle name="60% - Colore 6 7" xfId="184" xr:uid="{00000000-0005-0000-0000-00007F050000}"/>
    <cellStyle name="60% - Colore 6 8" xfId="185" xr:uid="{00000000-0005-0000-0000-000080050000}"/>
    <cellStyle name="60% - Colore 6 9" xfId="186" xr:uid="{00000000-0005-0000-0000-000081050000}"/>
    <cellStyle name="Accent1 2" xfId="251" xr:uid="{00000000-0005-0000-0000-000082050000}"/>
    <cellStyle name="Accent1 2 10" xfId="1462" xr:uid="{00000000-0005-0000-0000-000083050000}"/>
    <cellStyle name="Accent1 2 11" xfId="1463" xr:uid="{00000000-0005-0000-0000-000084050000}"/>
    <cellStyle name="Accent1 2 12" xfId="1464" xr:uid="{00000000-0005-0000-0000-000085050000}"/>
    <cellStyle name="Accent1 2 13" xfId="1465" xr:uid="{00000000-0005-0000-0000-000086050000}"/>
    <cellStyle name="Accent1 2 14" xfId="1466" xr:uid="{00000000-0005-0000-0000-000087050000}"/>
    <cellStyle name="Accent1 2 15" xfId="1467" xr:uid="{00000000-0005-0000-0000-000088050000}"/>
    <cellStyle name="Accent1 2 16" xfId="1468" xr:uid="{00000000-0005-0000-0000-000089050000}"/>
    <cellStyle name="Accent1 2 17" xfId="1469" xr:uid="{00000000-0005-0000-0000-00008A050000}"/>
    <cellStyle name="Accent1 2 2" xfId="1470" xr:uid="{00000000-0005-0000-0000-00008B050000}"/>
    <cellStyle name="Accent1 2 3" xfId="1471" xr:uid="{00000000-0005-0000-0000-00008C050000}"/>
    <cellStyle name="Accent1 2 4" xfId="1472" xr:uid="{00000000-0005-0000-0000-00008D050000}"/>
    <cellStyle name="Accent1 2 5" xfId="1473" xr:uid="{00000000-0005-0000-0000-00008E050000}"/>
    <cellStyle name="Accent1 2 6" xfId="1474" xr:uid="{00000000-0005-0000-0000-00008F050000}"/>
    <cellStyle name="Accent1 2 7" xfId="1475" xr:uid="{00000000-0005-0000-0000-000090050000}"/>
    <cellStyle name="Accent1 2 8" xfId="1476" xr:uid="{00000000-0005-0000-0000-000091050000}"/>
    <cellStyle name="Accent1 2 9" xfId="1477" xr:uid="{00000000-0005-0000-0000-000092050000}"/>
    <cellStyle name="Accent1 3 10" xfId="1478" xr:uid="{00000000-0005-0000-0000-000093050000}"/>
    <cellStyle name="Accent1 3 11" xfId="1479" xr:uid="{00000000-0005-0000-0000-000094050000}"/>
    <cellStyle name="Accent1 3 12" xfId="1480" xr:uid="{00000000-0005-0000-0000-000095050000}"/>
    <cellStyle name="Accent1 3 13" xfId="1481" xr:uid="{00000000-0005-0000-0000-000096050000}"/>
    <cellStyle name="Accent1 3 14" xfId="1482" xr:uid="{00000000-0005-0000-0000-000097050000}"/>
    <cellStyle name="Accent1 3 15" xfId="1483" xr:uid="{00000000-0005-0000-0000-000098050000}"/>
    <cellStyle name="Accent1 3 16" xfId="1484" xr:uid="{00000000-0005-0000-0000-000099050000}"/>
    <cellStyle name="Accent1 3 17" xfId="1485" xr:uid="{00000000-0005-0000-0000-00009A050000}"/>
    <cellStyle name="Accent1 3 2" xfId="1486" xr:uid="{00000000-0005-0000-0000-00009B050000}"/>
    <cellStyle name="Accent1 3 3" xfId="1487" xr:uid="{00000000-0005-0000-0000-00009C050000}"/>
    <cellStyle name="Accent1 3 4" xfId="1488" xr:uid="{00000000-0005-0000-0000-00009D050000}"/>
    <cellStyle name="Accent1 3 5" xfId="1489" xr:uid="{00000000-0005-0000-0000-00009E050000}"/>
    <cellStyle name="Accent1 3 6" xfId="1490" xr:uid="{00000000-0005-0000-0000-00009F050000}"/>
    <cellStyle name="Accent1 3 7" xfId="1491" xr:uid="{00000000-0005-0000-0000-0000A0050000}"/>
    <cellStyle name="Accent1 3 8" xfId="1492" xr:uid="{00000000-0005-0000-0000-0000A1050000}"/>
    <cellStyle name="Accent1 3 9" xfId="1493" xr:uid="{00000000-0005-0000-0000-0000A2050000}"/>
    <cellStyle name="Accent2 2" xfId="252" xr:uid="{00000000-0005-0000-0000-0000A3050000}"/>
    <cellStyle name="Accent2 2 10" xfId="1494" xr:uid="{00000000-0005-0000-0000-0000A4050000}"/>
    <cellStyle name="Accent2 2 11" xfId="1495" xr:uid="{00000000-0005-0000-0000-0000A5050000}"/>
    <cellStyle name="Accent2 2 12" xfId="1496" xr:uid="{00000000-0005-0000-0000-0000A6050000}"/>
    <cellStyle name="Accent2 2 13" xfId="1497" xr:uid="{00000000-0005-0000-0000-0000A7050000}"/>
    <cellStyle name="Accent2 2 14" xfId="1498" xr:uid="{00000000-0005-0000-0000-0000A8050000}"/>
    <cellStyle name="Accent2 2 15" xfId="1499" xr:uid="{00000000-0005-0000-0000-0000A9050000}"/>
    <cellStyle name="Accent2 2 16" xfId="1500" xr:uid="{00000000-0005-0000-0000-0000AA050000}"/>
    <cellStyle name="Accent2 2 17" xfId="1501" xr:uid="{00000000-0005-0000-0000-0000AB050000}"/>
    <cellStyle name="Accent2 2 2" xfId="1502" xr:uid="{00000000-0005-0000-0000-0000AC050000}"/>
    <cellStyle name="Accent2 2 3" xfId="1503" xr:uid="{00000000-0005-0000-0000-0000AD050000}"/>
    <cellStyle name="Accent2 2 4" xfId="1504" xr:uid="{00000000-0005-0000-0000-0000AE050000}"/>
    <cellStyle name="Accent2 2 5" xfId="1505" xr:uid="{00000000-0005-0000-0000-0000AF050000}"/>
    <cellStyle name="Accent2 2 6" xfId="1506" xr:uid="{00000000-0005-0000-0000-0000B0050000}"/>
    <cellStyle name="Accent2 2 7" xfId="1507" xr:uid="{00000000-0005-0000-0000-0000B1050000}"/>
    <cellStyle name="Accent2 2 8" xfId="1508" xr:uid="{00000000-0005-0000-0000-0000B2050000}"/>
    <cellStyle name="Accent2 2 9" xfId="1509" xr:uid="{00000000-0005-0000-0000-0000B3050000}"/>
    <cellStyle name="Accent2 3 10" xfId="1510" xr:uid="{00000000-0005-0000-0000-0000B4050000}"/>
    <cellStyle name="Accent2 3 11" xfId="1511" xr:uid="{00000000-0005-0000-0000-0000B5050000}"/>
    <cellStyle name="Accent2 3 12" xfId="1512" xr:uid="{00000000-0005-0000-0000-0000B6050000}"/>
    <cellStyle name="Accent2 3 13" xfId="1513" xr:uid="{00000000-0005-0000-0000-0000B7050000}"/>
    <cellStyle name="Accent2 3 14" xfId="1514" xr:uid="{00000000-0005-0000-0000-0000B8050000}"/>
    <cellStyle name="Accent2 3 15" xfId="1515" xr:uid="{00000000-0005-0000-0000-0000B9050000}"/>
    <cellStyle name="Accent2 3 16" xfId="1516" xr:uid="{00000000-0005-0000-0000-0000BA050000}"/>
    <cellStyle name="Accent2 3 17" xfId="1517" xr:uid="{00000000-0005-0000-0000-0000BB050000}"/>
    <cellStyle name="Accent2 3 2" xfId="1518" xr:uid="{00000000-0005-0000-0000-0000BC050000}"/>
    <cellStyle name="Accent2 3 3" xfId="1519" xr:uid="{00000000-0005-0000-0000-0000BD050000}"/>
    <cellStyle name="Accent2 3 4" xfId="1520" xr:uid="{00000000-0005-0000-0000-0000BE050000}"/>
    <cellStyle name="Accent2 3 5" xfId="1521" xr:uid="{00000000-0005-0000-0000-0000BF050000}"/>
    <cellStyle name="Accent2 3 6" xfId="1522" xr:uid="{00000000-0005-0000-0000-0000C0050000}"/>
    <cellStyle name="Accent2 3 7" xfId="1523" xr:uid="{00000000-0005-0000-0000-0000C1050000}"/>
    <cellStyle name="Accent2 3 8" xfId="1524" xr:uid="{00000000-0005-0000-0000-0000C2050000}"/>
    <cellStyle name="Accent2 3 9" xfId="1525" xr:uid="{00000000-0005-0000-0000-0000C3050000}"/>
    <cellStyle name="Accent3 2" xfId="253" xr:uid="{00000000-0005-0000-0000-0000C4050000}"/>
    <cellStyle name="Accent3 2 10" xfId="1526" xr:uid="{00000000-0005-0000-0000-0000C5050000}"/>
    <cellStyle name="Accent3 2 11" xfId="1527" xr:uid="{00000000-0005-0000-0000-0000C6050000}"/>
    <cellStyle name="Accent3 2 12" xfId="1528" xr:uid="{00000000-0005-0000-0000-0000C7050000}"/>
    <cellStyle name="Accent3 2 13" xfId="1529" xr:uid="{00000000-0005-0000-0000-0000C8050000}"/>
    <cellStyle name="Accent3 2 14" xfId="1530" xr:uid="{00000000-0005-0000-0000-0000C9050000}"/>
    <cellStyle name="Accent3 2 15" xfId="1531" xr:uid="{00000000-0005-0000-0000-0000CA050000}"/>
    <cellStyle name="Accent3 2 16" xfId="1532" xr:uid="{00000000-0005-0000-0000-0000CB050000}"/>
    <cellStyle name="Accent3 2 17" xfId="1533" xr:uid="{00000000-0005-0000-0000-0000CC050000}"/>
    <cellStyle name="Accent3 2 2" xfId="1534" xr:uid="{00000000-0005-0000-0000-0000CD050000}"/>
    <cellStyle name="Accent3 2 3" xfId="1535" xr:uid="{00000000-0005-0000-0000-0000CE050000}"/>
    <cellStyle name="Accent3 2 4" xfId="1536" xr:uid="{00000000-0005-0000-0000-0000CF050000}"/>
    <cellStyle name="Accent3 2 5" xfId="1537" xr:uid="{00000000-0005-0000-0000-0000D0050000}"/>
    <cellStyle name="Accent3 2 6" xfId="1538" xr:uid="{00000000-0005-0000-0000-0000D1050000}"/>
    <cellStyle name="Accent3 2 7" xfId="1539" xr:uid="{00000000-0005-0000-0000-0000D2050000}"/>
    <cellStyle name="Accent3 2 8" xfId="1540" xr:uid="{00000000-0005-0000-0000-0000D3050000}"/>
    <cellStyle name="Accent3 2 9" xfId="1541" xr:uid="{00000000-0005-0000-0000-0000D4050000}"/>
    <cellStyle name="Accent3 3 10" xfId="1542" xr:uid="{00000000-0005-0000-0000-0000D5050000}"/>
    <cellStyle name="Accent3 3 11" xfId="1543" xr:uid="{00000000-0005-0000-0000-0000D6050000}"/>
    <cellStyle name="Accent3 3 12" xfId="1544" xr:uid="{00000000-0005-0000-0000-0000D7050000}"/>
    <cellStyle name="Accent3 3 13" xfId="1545" xr:uid="{00000000-0005-0000-0000-0000D8050000}"/>
    <cellStyle name="Accent3 3 14" xfId="1546" xr:uid="{00000000-0005-0000-0000-0000D9050000}"/>
    <cellStyle name="Accent3 3 15" xfId="1547" xr:uid="{00000000-0005-0000-0000-0000DA050000}"/>
    <cellStyle name="Accent3 3 16" xfId="1548" xr:uid="{00000000-0005-0000-0000-0000DB050000}"/>
    <cellStyle name="Accent3 3 17" xfId="1549" xr:uid="{00000000-0005-0000-0000-0000DC050000}"/>
    <cellStyle name="Accent3 3 2" xfId="1550" xr:uid="{00000000-0005-0000-0000-0000DD050000}"/>
    <cellStyle name="Accent3 3 3" xfId="1551" xr:uid="{00000000-0005-0000-0000-0000DE050000}"/>
    <cellStyle name="Accent3 3 4" xfId="1552" xr:uid="{00000000-0005-0000-0000-0000DF050000}"/>
    <cellStyle name="Accent3 3 5" xfId="1553" xr:uid="{00000000-0005-0000-0000-0000E0050000}"/>
    <cellStyle name="Accent3 3 6" xfId="1554" xr:uid="{00000000-0005-0000-0000-0000E1050000}"/>
    <cellStyle name="Accent3 3 7" xfId="1555" xr:uid="{00000000-0005-0000-0000-0000E2050000}"/>
    <cellStyle name="Accent3 3 8" xfId="1556" xr:uid="{00000000-0005-0000-0000-0000E3050000}"/>
    <cellStyle name="Accent3 3 9" xfId="1557" xr:uid="{00000000-0005-0000-0000-0000E4050000}"/>
    <cellStyle name="Accent4 2" xfId="254" xr:uid="{00000000-0005-0000-0000-0000E5050000}"/>
    <cellStyle name="Accent4 2 10" xfId="1558" xr:uid="{00000000-0005-0000-0000-0000E6050000}"/>
    <cellStyle name="Accent4 2 11" xfId="1559" xr:uid="{00000000-0005-0000-0000-0000E7050000}"/>
    <cellStyle name="Accent4 2 12" xfId="1560" xr:uid="{00000000-0005-0000-0000-0000E8050000}"/>
    <cellStyle name="Accent4 2 13" xfId="1561" xr:uid="{00000000-0005-0000-0000-0000E9050000}"/>
    <cellStyle name="Accent4 2 14" xfId="1562" xr:uid="{00000000-0005-0000-0000-0000EA050000}"/>
    <cellStyle name="Accent4 2 15" xfId="1563" xr:uid="{00000000-0005-0000-0000-0000EB050000}"/>
    <cellStyle name="Accent4 2 16" xfId="1564" xr:uid="{00000000-0005-0000-0000-0000EC050000}"/>
    <cellStyle name="Accent4 2 17" xfId="1565" xr:uid="{00000000-0005-0000-0000-0000ED050000}"/>
    <cellStyle name="Accent4 2 2" xfId="1566" xr:uid="{00000000-0005-0000-0000-0000EE050000}"/>
    <cellStyle name="Accent4 2 3" xfId="1567" xr:uid="{00000000-0005-0000-0000-0000EF050000}"/>
    <cellStyle name="Accent4 2 4" xfId="1568" xr:uid="{00000000-0005-0000-0000-0000F0050000}"/>
    <cellStyle name="Accent4 2 5" xfId="1569" xr:uid="{00000000-0005-0000-0000-0000F1050000}"/>
    <cellStyle name="Accent4 2 6" xfId="1570" xr:uid="{00000000-0005-0000-0000-0000F2050000}"/>
    <cellStyle name="Accent4 2 7" xfId="1571" xr:uid="{00000000-0005-0000-0000-0000F3050000}"/>
    <cellStyle name="Accent4 2 8" xfId="1572" xr:uid="{00000000-0005-0000-0000-0000F4050000}"/>
    <cellStyle name="Accent4 2 9" xfId="1573" xr:uid="{00000000-0005-0000-0000-0000F5050000}"/>
    <cellStyle name="Accent4 3 10" xfId="1574" xr:uid="{00000000-0005-0000-0000-0000F6050000}"/>
    <cellStyle name="Accent4 3 11" xfId="1575" xr:uid="{00000000-0005-0000-0000-0000F7050000}"/>
    <cellStyle name="Accent4 3 12" xfId="1576" xr:uid="{00000000-0005-0000-0000-0000F8050000}"/>
    <cellStyle name="Accent4 3 13" xfId="1577" xr:uid="{00000000-0005-0000-0000-0000F9050000}"/>
    <cellStyle name="Accent4 3 14" xfId="1578" xr:uid="{00000000-0005-0000-0000-0000FA050000}"/>
    <cellStyle name="Accent4 3 15" xfId="1579" xr:uid="{00000000-0005-0000-0000-0000FB050000}"/>
    <cellStyle name="Accent4 3 16" xfId="1580" xr:uid="{00000000-0005-0000-0000-0000FC050000}"/>
    <cellStyle name="Accent4 3 17" xfId="1581" xr:uid="{00000000-0005-0000-0000-0000FD050000}"/>
    <cellStyle name="Accent4 3 2" xfId="1582" xr:uid="{00000000-0005-0000-0000-0000FE050000}"/>
    <cellStyle name="Accent4 3 3" xfId="1583" xr:uid="{00000000-0005-0000-0000-0000FF050000}"/>
    <cellStyle name="Accent4 3 4" xfId="1584" xr:uid="{00000000-0005-0000-0000-000000060000}"/>
    <cellStyle name="Accent4 3 5" xfId="1585" xr:uid="{00000000-0005-0000-0000-000001060000}"/>
    <cellStyle name="Accent4 3 6" xfId="1586" xr:uid="{00000000-0005-0000-0000-000002060000}"/>
    <cellStyle name="Accent4 3 7" xfId="1587" xr:uid="{00000000-0005-0000-0000-000003060000}"/>
    <cellStyle name="Accent4 3 8" xfId="1588" xr:uid="{00000000-0005-0000-0000-000004060000}"/>
    <cellStyle name="Accent4 3 9" xfId="1589" xr:uid="{00000000-0005-0000-0000-000005060000}"/>
    <cellStyle name="Accent5 2" xfId="255" xr:uid="{00000000-0005-0000-0000-000006060000}"/>
    <cellStyle name="Accent5 2 10" xfId="1590" xr:uid="{00000000-0005-0000-0000-000007060000}"/>
    <cellStyle name="Accent5 2 11" xfId="1591" xr:uid="{00000000-0005-0000-0000-000008060000}"/>
    <cellStyle name="Accent5 2 12" xfId="1592" xr:uid="{00000000-0005-0000-0000-000009060000}"/>
    <cellStyle name="Accent5 2 13" xfId="1593" xr:uid="{00000000-0005-0000-0000-00000A060000}"/>
    <cellStyle name="Accent5 2 14" xfId="1594" xr:uid="{00000000-0005-0000-0000-00000B060000}"/>
    <cellStyle name="Accent5 2 15" xfId="1595" xr:uid="{00000000-0005-0000-0000-00000C060000}"/>
    <cellStyle name="Accent5 2 16" xfId="1596" xr:uid="{00000000-0005-0000-0000-00000D060000}"/>
    <cellStyle name="Accent5 2 17" xfId="1597" xr:uid="{00000000-0005-0000-0000-00000E060000}"/>
    <cellStyle name="Accent5 2 2" xfId="1598" xr:uid="{00000000-0005-0000-0000-00000F060000}"/>
    <cellStyle name="Accent5 2 3" xfId="1599" xr:uid="{00000000-0005-0000-0000-000010060000}"/>
    <cellStyle name="Accent5 2 4" xfId="1600" xr:uid="{00000000-0005-0000-0000-000011060000}"/>
    <cellStyle name="Accent5 2 5" xfId="1601" xr:uid="{00000000-0005-0000-0000-000012060000}"/>
    <cellStyle name="Accent5 2 6" xfId="1602" xr:uid="{00000000-0005-0000-0000-000013060000}"/>
    <cellStyle name="Accent5 2 7" xfId="1603" xr:uid="{00000000-0005-0000-0000-000014060000}"/>
    <cellStyle name="Accent5 2 8" xfId="1604" xr:uid="{00000000-0005-0000-0000-000015060000}"/>
    <cellStyle name="Accent5 2 9" xfId="1605" xr:uid="{00000000-0005-0000-0000-000016060000}"/>
    <cellStyle name="Accent5 3 10" xfId="1606" xr:uid="{00000000-0005-0000-0000-000017060000}"/>
    <cellStyle name="Accent5 3 11" xfId="1607" xr:uid="{00000000-0005-0000-0000-000018060000}"/>
    <cellStyle name="Accent5 3 12" xfId="1608" xr:uid="{00000000-0005-0000-0000-000019060000}"/>
    <cellStyle name="Accent5 3 13" xfId="1609" xr:uid="{00000000-0005-0000-0000-00001A060000}"/>
    <cellStyle name="Accent5 3 14" xfId="1610" xr:uid="{00000000-0005-0000-0000-00001B060000}"/>
    <cellStyle name="Accent5 3 15" xfId="1611" xr:uid="{00000000-0005-0000-0000-00001C060000}"/>
    <cellStyle name="Accent5 3 16" xfId="1612" xr:uid="{00000000-0005-0000-0000-00001D060000}"/>
    <cellStyle name="Accent5 3 17" xfId="1613" xr:uid="{00000000-0005-0000-0000-00001E060000}"/>
    <cellStyle name="Accent5 3 2" xfId="1614" xr:uid="{00000000-0005-0000-0000-00001F060000}"/>
    <cellStyle name="Accent5 3 3" xfId="1615" xr:uid="{00000000-0005-0000-0000-000020060000}"/>
    <cellStyle name="Accent5 3 4" xfId="1616" xr:uid="{00000000-0005-0000-0000-000021060000}"/>
    <cellStyle name="Accent5 3 5" xfId="1617" xr:uid="{00000000-0005-0000-0000-000022060000}"/>
    <cellStyle name="Accent5 3 6" xfId="1618" xr:uid="{00000000-0005-0000-0000-000023060000}"/>
    <cellStyle name="Accent5 3 7" xfId="1619" xr:uid="{00000000-0005-0000-0000-000024060000}"/>
    <cellStyle name="Accent5 3 8" xfId="1620" xr:uid="{00000000-0005-0000-0000-000025060000}"/>
    <cellStyle name="Accent5 3 9" xfId="1621" xr:uid="{00000000-0005-0000-0000-000026060000}"/>
    <cellStyle name="Accent6 2" xfId="256" xr:uid="{00000000-0005-0000-0000-000027060000}"/>
    <cellStyle name="Accent6 2 10" xfId="1622" xr:uid="{00000000-0005-0000-0000-000028060000}"/>
    <cellStyle name="Accent6 2 11" xfId="1623" xr:uid="{00000000-0005-0000-0000-000029060000}"/>
    <cellStyle name="Accent6 2 12" xfId="1624" xr:uid="{00000000-0005-0000-0000-00002A060000}"/>
    <cellStyle name="Accent6 2 13" xfId="1625" xr:uid="{00000000-0005-0000-0000-00002B060000}"/>
    <cellStyle name="Accent6 2 14" xfId="1626" xr:uid="{00000000-0005-0000-0000-00002C060000}"/>
    <cellStyle name="Accent6 2 15" xfId="1627" xr:uid="{00000000-0005-0000-0000-00002D060000}"/>
    <cellStyle name="Accent6 2 16" xfId="1628" xr:uid="{00000000-0005-0000-0000-00002E060000}"/>
    <cellStyle name="Accent6 2 17" xfId="1629" xr:uid="{00000000-0005-0000-0000-00002F060000}"/>
    <cellStyle name="Accent6 2 2" xfId="1630" xr:uid="{00000000-0005-0000-0000-000030060000}"/>
    <cellStyle name="Accent6 2 3" xfId="1631" xr:uid="{00000000-0005-0000-0000-000031060000}"/>
    <cellStyle name="Accent6 2 4" xfId="1632" xr:uid="{00000000-0005-0000-0000-000032060000}"/>
    <cellStyle name="Accent6 2 5" xfId="1633" xr:uid="{00000000-0005-0000-0000-000033060000}"/>
    <cellStyle name="Accent6 2 6" xfId="1634" xr:uid="{00000000-0005-0000-0000-000034060000}"/>
    <cellStyle name="Accent6 2 7" xfId="1635" xr:uid="{00000000-0005-0000-0000-000035060000}"/>
    <cellStyle name="Accent6 2 8" xfId="1636" xr:uid="{00000000-0005-0000-0000-000036060000}"/>
    <cellStyle name="Accent6 2 9" xfId="1637" xr:uid="{00000000-0005-0000-0000-000037060000}"/>
    <cellStyle name="Accent6 3 10" xfId="1638" xr:uid="{00000000-0005-0000-0000-000038060000}"/>
    <cellStyle name="Accent6 3 11" xfId="1639" xr:uid="{00000000-0005-0000-0000-000039060000}"/>
    <cellStyle name="Accent6 3 12" xfId="1640" xr:uid="{00000000-0005-0000-0000-00003A060000}"/>
    <cellStyle name="Accent6 3 13" xfId="1641" xr:uid="{00000000-0005-0000-0000-00003B060000}"/>
    <cellStyle name="Accent6 3 14" xfId="1642" xr:uid="{00000000-0005-0000-0000-00003C060000}"/>
    <cellStyle name="Accent6 3 15" xfId="1643" xr:uid="{00000000-0005-0000-0000-00003D060000}"/>
    <cellStyle name="Accent6 3 16" xfId="1644" xr:uid="{00000000-0005-0000-0000-00003E060000}"/>
    <cellStyle name="Accent6 3 17" xfId="1645" xr:uid="{00000000-0005-0000-0000-00003F060000}"/>
    <cellStyle name="Accent6 3 2" xfId="1646" xr:uid="{00000000-0005-0000-0000-000040060000}"/>
    <cellStyle name="Accent6 3 3" xfId="1647" xr:uid="{00000000-0005-0000-0000-000041060000}"/>
    <cellStyle name="Accent6 3 4" xfId="1648" xr:uid="{00000000-0005-0000-0000-000042060000}"/>
    <cellStyle name="Accent6 3 5" xfId="1649" xr:uid="{00000000-0005-0000-0000-000043060000}"/>
    <cellStyle name="Accent6 3 6" xfId="1650" xr:uid="{00000000-0005-0000-0000-000044060000}"/>
    <cellStyle name="Accent6 3 7" xfId="1651" xr:uid="{00000000-0005-0000-0000-000045060000}"/>
    <cellStyle name="Accent6 3 8" xfId="1652" xr:uid="{00000000-0005-0000-0000-000046060000}"/>
    <cellStyle name="Accent6 3 9" xfId="1653" xr:uid="{00000000-0005-0000-0000-000047060000}"/>
    <cellStyle name="Bad 2" xfId="259" xr:uid="{00000000-0005-0000-0000-000048060000}"/>
    <cellStyle name="Bad 2 10" xfId="1654" xr:uid="{00000000-0005-0000-0000-000049060000}"/>
    <cellStyle name="Bad 2 11" xfId="1655" xr:uid="{00000000-0005-0000-0000-00004A060000}"/>
    <cellStyle name="Bad 2 12" xfId="1656" xr:uid="{00000000-0005-0000-0000-00004B060000}"/>
    <cellStyle name="Bad 2 13" xfId="1657" xr:uid="{00000000-0005-0000-0000-00004C060000}"/>
    <cellStyle name="Bad 2 14" xfId="1658" xr:uid="{00000000-0005-0000-0000-00004D060000}"/>
    <cellStyle name="Bad 2 15" xfId="1659" xr:uid="{00000000-0005-0000-0000-00004E060000}"/>
    <cellStyle name="Bad 2 16" xfId="1660" xr:uid="{00000000-0005-0000-0000-00004F060000}"/>
    <cellStyle name="Bad 2 17" xfId="1661" xr:uid="{00000000-0005-0000-0000-000050060000}"/>
    <cellStyle name="Bad 2 2" xfId="1662" xr:uid="{00000000-0005-0000-0000-000051060000}"/>
    <cellStyle name="Bad 2 3" xfId="1663" xr:uid="{00000000-0005-0000-0000-000052060000}"/>
    <cellStyle name="Bad 2 4" xfId="1664" xr:uid="{00000000-0005-0000-0000-000053060000}"/>
    <cellStyle name="Bad 2 5" xfId="1665" xr:uid="{00000000-0005-0000-0000-000054060000}"/>
    <cellStyle name="Bad 2 6" xfId="1666" xr:uid="{00000000-0005-0000-0000-000055060000}"/>
    <cellStyle name="Bad 2 7" xfId="1667" xr:uid="{00000000-0005-0000-0000-000056060000}"/>
    <cellStyle name="Bad 2 8" xfId="1668" xr:uid="{00000000-0005-0000-0000-000057060000}"/>
    <cellStyle name="Bad 2 9" xfId="1669" xr:uid="{00000000-0005-0000-0000-000058060000}"/>
    <cellStyle name="Bad 3 10" xfId="1670" xr:uid="{00000000-0005-0000-0000-000059060000}"/>
    <cellStyle name="Bad 3 11" xfId="1671" xr:uid="{00000000-0005-0000-0000-00005A060000}"/>
    <cellStyle name="Bad 3 12" xfId="1672" xr:uid="{00000000-0005-0000-0000-00005B060000}"/>
    <cellStyle name="Bad 3 13" xfId="1673" xr:uid="{00000000-0005-0000-0000-00005C060000}"/>
    <cellStyle name="Bad 3 14" xfId="1674" xr:uid="{00000000-0005-0000-0000-00005D060000}"/>
    <cellStyle name="Bad 3 15" xfId="1675" xr:uid="{00000000-0005-0000-0000-00005E060000}"/>
    <cellStyle name="Bad 3 16" xfId="1676" xr:uid="{00000000-0005-0000-0000-00005F060000}"/>
    <cellStyle name="Bad 3 17" xfId="1677" xr:uid="{00000000-0005-0000-0000-000060060000}"/>
    <cellStyle name="Bad 3 2" xfId="1678" xr:uid="{00000000-0005-0000-0000-000061060000}"/>
    <cellStyle name="Bad 3 3" xfId="1679" xr:uid="{00000000-0005-0000-0000-000062060000}"/>
    <cellStyle name="Bad 3 4" xfId="1680" xr:uid="{00000000-0005-0000-0000-000063060000}"/>
    <cellStyle name="Bad 3 5" xfId="1681" xr:uid="{00000000-0005-0000-0000-000064060000}"/>
    <cellStyle name="Bad 3 6" xfId="1682" xr:uid="{00000000-0005-0000-0000-000065060000}"/>
    <cellStyle name="Bad 3 7" xfId="1683" xr:uid="{00000000-0005-0000-0000-000066060000}"/>
    <cellStyle name="Bad 3 8" xfId="1684" xr:uid="{00000000-0005-0000-0000-000067060000}"/>
    <cellStyle name="Bad 3 9" xfId="1685" xr:uid="{00000000-0005-0000-0000-000068060000}"/>
    <cellStyle name="Calcolo" xfId="187" xr:uid="{00000000-0005-0000-0000-000069060000}"/>
    <cellStyle name="Calcolo 2" xfId="318" xr:uid="{00000000-0005-0000-0000-00006A060000}"/>
    <cellStyle name="Calcolo 2 2" xfId="1686" xr:uid="{00000000-0005-0000-0000-00006B060000}"/>
    <cellStyle name="Calcolo 2 2 2" xfId="2590" xr:uid="{00000000-0005-0000-0000-00006C060000}"/>
    <cellStyle name="Calcolo 3" xfId="1687" xr:uid="{00000000-0005-0000-0000-00006D060000}"/>
    <cellStyle name="Calcolo 4" xfId="2591" xr:uid="{00000000-0005-0000-0000-00006E060000}"/>
    <cellStyle name="Calculation 2" xfId="258" xr:uid="{00000000-0005-0000-0000-00006F060000}"/>
    <cellStyle name="Calculation 2 10" xfId="1688" xr:uid="{00000000-0005-0000-0000-000070060000}"/>
    <cellStyle name="Calculation 2 11" xfId="1689" xr:uid="{00000000-0005-0000-0000-000071060000}"/>
    <cellStyle name="Calculation 2 12" xfId="1690" xr:uid="{00000000-0005-0000-0000-000072060000}"/>
    <cellStyle name="Calculation 2 13" xfId="1691" xr:uid="{00000000-0005-0000-0000-000073060000}"/>
    <cellStyle name="Calculation 2 14" xfId="1692" xr:uid="{00000000-0005-0000-0000-000074060000}"/>
    <cellStyle name="Calculation 2 15" xfId="1693" xr:uid="{00000000-0005-0000-0000-000075060000}"/>
    <cellStyle name="Calculation 2 16" xfId="1694" xr:uid="{00000000-0005-0000-0000-000076060000}"/>
    <cellStyle name="Calculation 2 17" xfId="1695" xr:uid="{00000000-0005-0000-0000-000077060000}"/>
    <cellStyle name="Calculation 2 2" xfId="1696" xr:uid="{00000000-0005-0000-0000-000078060000}"/>
    <cellStyle name="Calculation 2 3" xfId="1697" xr:uid="{00000000-0005-0000-0000-000079060000}"/>
    <cellStyle name="Calculation 2 4" xfId="1698" xr:uid="{00000000-0005-0000-0000-00007A060000}"/>
    <cellStyle name="Calculation 2 5" xfId="1699" xr:uid="{00000000-0005-0000-0000-00007B060000}"/>
    <cellStyle name="Calculation 2 6" xfId="1700" xr:uid="{00000000-0005-0000-0000-00007C060000}"/>
    <cellStyle name="Calculation 2 7" xfId="1701" xr:uid="{00000000-0005-0000-0000-00007D060000}"/>
    <cellStyle name="Calculation 2 8" xfId="1702" xr:uid="{00000000-0005-0000-0000-00007E060000}"/>
    <cellStyle name="Calculation 2 9" xfId="1703" xr:uid="{00000000-0005-0000-0000-00007F060000}"/>
    <cellStyle name="Calculation 3 10" xfId="1704" xr:uid="{00000000-0005-0000-0000-000080060000}"/>
    <cellStyle name="Calculation 3 11" xfId="1705" xr:uid="{00000000-0005-0000-0000-000081060000}"/>
    <cellStyle name="Calculation 3 12" xfId="1706" xr:uid="{00000000-0005-0000-0000-000082060000}"/>
    <cellStyle name="Calculation 3 13" xfId="1707" xr:uid="{00000000-0005-0000-0000-000083060000}"/>
    <cellStyle name="Calculation 3 14" xfId="1708" xr:uid="{00000000-0005-0000-0000-000084060000}"/>
    <cellStyle name="Calculation 3 15" xfId="1709" xr:uid="{00000000-0005-0000-0000-000085060000}"/>
    <cellStyle name="Calculation 3 16" xfId="1710" xr:uid="{00000000-0005-0000-0000-000086060000}"/>
    <cellStyle name="Calculation 3 17" xfId="1711" xr:uid="{00000000-0005-0000-0000-000087060000}"/>
    <cellStyle name="Calculation 3 2" xfId="1712" xr:uid="{00000000-0005-0000-0000-000088060000}"/>
    <cellStyle name="Calculation 3 3" xfId="1713" xr:uid="{00000000-0005-0000-0000-000089060000}"/>
    <cellStyle name="Calculation 3 4" xfId="1714" xr:uid="{00000000-0005-0000-0000-00008A060000}"/>
    <cellStyle name="Calculation 3 5" xfId="1715" xr:uid="{00000000-0005-0000-0000-00008B060000}"/>
    <cellStyle name="Calculation 3 6" xfId="1716" xr:uid="{00000000-0005-0000-0000-00008C060000}"/>
    <cellStyle name="Calculation 3 7" xfId="1717" xr:uid="{00000000-0005-0000-0000-00008D060000}"/>
    <cellStyle name="Calculation 3 8" xfId="1718" xr:uid="{00000000-0005-0000-0000-00008E060000}"/>
    <cellStyle name="Calculation 3 9" xfId="1719" xr:uid="{00000000-0005-0000-0000-00008F060000}"/>
    <cellStyle name="Cella collegata" xfId="188" xr:uid="{00000000-0005-0000-0000-000090060000}"/>
    <cellStyle name="Cella collegata 2" xfId="319" xr:uid="{00000000-0005-0000-0000-000091060000}"/>
    <cellStyle name="Cella collegata 2 2" xfId="1720" xr:uid="{00000000-0005-0000-0000-000092060000}"/>
    <cellStyle name="Cella collegata 2 2 2" xfId="2592" xr:uid="{00000000-0005-0000-0000-000093060000}"/>
    <cellStyle name="Cella collegata 3" xfId="1721" xr:uid="{00000000-0005-0000-0000-000094060000}"/>
    <cellStyle name="Cella collegata 4" xfId="2593" xr:uid="{00000000-0005-0000-0000-000095060000}"/>
    <cellStyle name="Cella da controllare" xfId="189" xr:uid="{00000000-0005-0000-0000-000096060000}"/>
    <cellStyle name="Cella da controllare 2" xfId="320" xr:uid="{00000000-0005-0000-0000-000097060000}"/>
    <cellStyle name="Cella da controllare 2 2" xfId="1722" xr:uid="{00000000-0005-0000-0000-000098060000}"/>
    <cellStyle name="Cella da controllare 2 2 2" xfId="2594" xr:uid="{00000000-0005-0000-0000-000099060000}"/>
    <cellStyle name="Cella da controllare 3" xfId="1723" xr:uid="{00000000-0005-0000-0000-00009A060000}"/>
    <cellStyle name="Cella da controllare 4" xfId="2595" xr:uid="{00000000-0005-0000-0000-00009B060000}"/>
    <cellStyle name="cf1" xfId="381" xr:uid="{00000000-0005-0000-0000-00009C060000}"/>
    <cellStyle name="Check Cell 2" xfId="268" xr:uid="{00000000-0005-0000-0000-00009D060000}"/>
    <cellStyle name="Check Cell 2 10" xfId="1724" xr:uid="{00000000-0005-0000-0000-00009E060000}"/>
    <cellStyle name="Check Cell 2 11" xfId="1725" xr:uid="{00000000-0005-0000-0000-00009F060000}"/>
    <cellStyle name="Check Cell 2 12" xfId="1726" xr:uid="{00000000-0005-0000-0000-0000A0060000}"/>
    <cellStyle name="Check Cell 2 13" xfId="1727" xr:uid="{00000000-0005-0000-0000-0000A1060000}"/>
    <cellStyle name="Check Cell 2 14" xfId="1728" xr:uid="{00000000-0005-0000-0000-0000A2060000}"/>
    <cellStyle name="Check Cell 2 15" xfId="1729" xr:uid="{00000000-0005-0000-0000-0000A3060000}"/>
    <cellStyle name="Check Cell 2 16" xfId="1730" xr:uid="{00000000-0005-0000-0000-0000A4060000}"/>
    <cellStyle name="Check Cell 2 17" xfId="1731" xr:uid="{00000000-0005-0000-0000-0000A5060000}"/>
    <cellStyle name="Check Cell 2 2" xfId="1732" xr:uid="{00000000-0005-0000-0000-0000A6060000}"/>
    <cellStyle name="Check Cell 2 3" xfId="1733" xr:uid="{00000000-0005-0000-0000-0000A7060000}"/>
    <cellStyle name="Check Cell 2 4" xfId="1734" xr:uid="{00000000-0005-0000-0000-0000A8060000}"/>
    <cellStyle name="Check Cell 2 5" xfId="1735" xr:uid="{00000000-0005-0000-0000-0000A9060000}"/>
    <cellStyle name="Check Cell 2 6" xfId="1736" xr:uid="{00000000-0005-0000-0000-0000AA060000}"/>
    <cellStyle name="Check Cell 2 7" xfId="1737" xr:uid="{00000000-0005-0000-0000-0000AB060000}"/>
    <cellStyle name="Check Cell 2 8" xfId="1738" xr:uid="{00000000-0005-0000-0000-0000AC060000}"/>
    <cellStyle name="Check Cell 2 9" xfId="1739" xr:uid="{00000000-0005-0000-0000-0000AD060000}"/>
    <cellStyle name="Check Cell 3 10" xfId="1740" xr:uid="{00000000-0005-0000-0000-0000AE060000}"/>
    <cellStyle name="Check Cell 3 11" xfId="1741" xr:uid="{00000000-0005-0000-0000-0000AF060000}"/>
    <cellStyle name="Check Cell 3 12" xfId="1742" xr:uid="{00000000-0005-0000-0000-0000B0060000}"/>
    <cellStyle name="Check Cell 3 13" xfId="1743" xr:uid="{00000000-0005-0000-0000-0000B1060000}"/>
    <cellStyle name="Check Cell 3 14" xfId="1744" xr:uid="{00000000-0005-0000-0000-0000B2060000}"/>
    <cellStyle name="Check Cell 3 15" xfId="1745" xr:uid="{00000000-0005-0000-0000-0000B3060000}"/>
    <cellStyle name="Check Cell 3 16" xfId="1746" xr:uid="{00000000-0005-0000-0000-0000B4060000}"/>
    <cellStyle name="Check Cell 3 17" xfId="1747" xr:uid="{00000000-0005-0000-0000-0000B5060000}"/>
    <cellStyle name="Check Cell 3 2" xfId="1748" xr:uid="{00000000-0005-0000-0000-0000B6060000}"/>
    <cellStyle name="Check Cell 3 3" xfId="1749" xr:uid="{00000000-0005-0000-0000-0000B7060000}"/>
    <cellStyle name="Check Cell 3 4" xfId="1750" xr:uid="{00000000-0005-0000-0000-0000B8060000}"/>
    <cellStyle name="Check Cell 3 5" xfId="1751" xr:uid="{00000000-0005-0000-0000-0000B9060000}"/>
    <cellStyle name="Check Cell 3 6" xfId="1752" xr:uid="{00000000-0005-0000-0000-0000BA060000}"/>
    <cellStyle name="Check Cell 3 7" xfId="1753" xr:uid="{00000000-0005-0000-0000-0000BB060000}"/>
    <cellStyle name="Check Cell 3 8" xfId="1754" xr:uid="{00000000-0005-0000-0000-0000BC060000}"/>
    <cellStyle name="Check Cell 3 9" xfId="1755" xr:uid="{00000000-0005-0000-0000-0000BD060000}"/>
    <cellStyle name="Colore 1" xfId="190" xr:uid="{00000000-0005-0000-0000-0000BE060000}"/>
    <cellStyle name="Colore 1 2" xfId="321" xr:uid="{00000000-0005-0000-0000-0000BF060000}"/>
    <cellStyle name="Colore 1 2 2" xfId="1756" xr:uid="{00000000-0005-0000-0000-0000C0060000}"/>
    <cellStyle name="Colore 1 2 2 2" xfId="2596" xr:uid="{00000000-0005-0000-0000-0000C1060000}"/>
    <cellStyle name="Colore 1 3" xfId="1757" xr:uid="{00000000-0005-0000-0000-0000C2060000}"/>
    <cellStyle name="Colore 1 4" xfId="2597" xr:uid="{00000000-0005-0000-0000-0000C3060000}"/>
    <cellStyle name="Colore 2" xfId="191" xr:uid="{00000000-0005-0000-0000-0000C4060000}"/>
    <cellStyle name="Colore 2 2" xfId="322" xr:uid="{00000000-0005-0000-0000-0000C5060000}"/>
    <cellStyle name="Colore 2 2 2" xfId="1758" xr:uid="{00000000-0005-0000-0000-0000C6060000}"/>
    <cellStyle name="Colore 2 2 2 2" xfId="2598" xr:uid="{00000000-0005-0000-0000-0000C7060000}"/>
    <cellStyle name="Colore 2 3" xfId="1759" xr:uid="{00000000-0005-0000-0000-0000C8060000}"/>
    <cellStyle name="Colore 2 4" xfId="2599" xr:uid="{00000000-0005-0000-0000-0000C9060000}"/>
    <cellStyle name="Colore 3" xfId="192" xr:uid="{00000000-0005-0000-0000-0000CA060000}"/>
    <cellStyle name="Colore 3 2" xfId="323" xr:uid="{00000000-0005-0000-0000-0000CB060000}"/>
    <cellStyle name="Colore 3 2 2" xfId="1760" xr:uid="{00000000-0005-0000-0000-0000CC060000}"/>
    <cellStyle name="Colore 3 2 2 2" xfId="2600" xr:uid="{00000000-0005-0000-0000-0000CD060000}"/>
    <cellStyle name="Colore 3 3" xfId="1761" xr:uid="{00000000-0005-0000-0000-0000CE060000}"/>
    <cellStyle name="Colore 3 4" xfId="2601" xr:uid="{00000000-0005-0000-0000-0000CF060000}"/>
    <cellStyle name="Colore 4" xfId="193" xr:uid="{00000000-0005-0000-0000-0000D0060000}"/>
    <cellStyle name="Colore 4 2" xfId="324" xr:uid="{00000000-0005-0000-0000-0000D1060000}"/>
    <cellStyle name="Colore 4 2 2" xfId="1762" xr:uid="{00000000-0005-0000-0000-0000D2060000}"/>
    <cellStyle name="Colore 4 2 2 2" xfId="2602" xr:uid="{00000000-0005-0000-0000-0000D3060000}"/>
    <cellStyle name="Colore 4 3" xfId="1763" xr:uid="{00000000-0005-0000-0000-0000D4060000}"/>
    <cellStyle name="Colore 4 4" xfId="2603" xr:uid="{00000000-0005-0000-0000-0000D5060000}"/>
    <cellStyle name="Colore 5" xfId="194" xr:uid="{00000000-0005-0000-0000-0000D6060000}"/>
    <cellStyle name="Colore 5 2" xfId="325" xr:uid="{00000000-0005-0000-0000-0000D7060000}"/>
    <cellStyle name="Colore 5 2 2" xfId="1764" xr:uid="{00000000-0005-0000-0000-0000D8060000}"/>
    <cellStyle name="Colore 5 2 2 2" xfId="2604" xr:uid="{00000000-0005-0000-0000-0000D9060000}"/>
    <cellStyle name="Colore 5 3" xfId="1765" xr:uid="{00000000-0005-0000-0000-0000DA060000}"/>
    <cellStyle name="Colore 5 4" xfId="2605" xr:uid="{00000000-0005-0000-0000-0000DB060000}"/>
    <cellStyle name="Colore 6" xfId="195" xr:uid="{00000000-0005-0000-0000-0000DC060000}"/>
    <cellStyle name="Colore 6 2" xfId="326" xr:uid="{00000000-0005-0000-0000-0000DD060000}"/>
    <cellStyle name="Colore 6 2 2" xfId="1766" xr:uid="{00000000-0005-0000-0000-0000DE060000}"/>
    <cellStyle name="Colore 6 2 2 2" xfId="2606" xr:uid="{00000000-0005-0000-0000-0000DF060000}"/>
    <cellStyle name="Colore 6 3" xfId="1767" xr:uid="{00000000-0005-0000-0000-0000E0060000}"/>
    <cellStyle name="Colore 6 4" xfId="2607" xr:uid="{00000000-0005-0000-0000-0000E1060000}"/>
    <cellStyle name="Comma" xfId="52" builtinId="3"/>
    <cellStyle name="Comma 2" xfId="274" xr:uid="{00000000-0005-0000-0000-0000E2060000}"/>
    <cellStyle name="Comma 2 10" xfId="2973" xr:uid="{00000000-0005-0000-0000-0000B9050000}"/>
    <cellStyle name="Comma 2 10 2" xfId="11562" xr:uid="{00000000-0005-0000-0000-0000BA050000}"/>
    <cellStyle name="Comma 2 11" xfId="3033" xr:uid="{00000000-0005-0000-0000-0000BB050000}"/>
    <cellStyle name="Comma 2 11 2" xfId="11622" xr:uid="{00000000-0005-0000-0000-0000BC050000}"/>
    <cellStyle name="Comma 2 12" xfId="11442" xr:uid="{00000000-0005-0000-0000-0000BD050000}"/>
    <cellStyle name="Comma 2 13" xfId="2863" xr:uid="{00000000-0005-0000-0000-0000B8050000}"/>
    <cellStyle name="Comma 2 2" xfId="1769" xr:uid="{00000000-0005-0000-0000-0000E3060000}"/>
    <cellStyle name="Comma 2 2 2" xfId="1770" xr:uid="{00000000-0005-0000-0000-0000E4060000}"/>
    <cellStyle name="Comma 2 2 2 2" xfId="2410" xr:uid="{00000000-0005-0000-0000-0000E5060000}"/>
    <cellStyle name="Comma 2 2 2 2 2" xfId="2608" xr:uid="{00000000-0005-0000-0000-0000E6060000}"/>
    <cellStyle name="Comma 2 2 2 2 2 2" xfId="2964" xr:uid="{00000000-0005-0000-0000-0000C2050000}"/>
    <cellStyle name="Comma 2 2 2 2 2 2 2" xfId="11553" xr:uid="{00000000-0005-0000-0000-0000C3050000}"/>
    <cellStyle name="Comma 2 2 2 2 2 3" xfId="3024" xr:uid="{00000000-0005-0000-0000-0000C4050000}"/>
    <cellStyle name="Comma 2 2 2 2 2 3 2" xfId="11613" xr:uid="{00000000-0005-0000-0000-0000C5050000}"/>
    <cellStyle name="Comma 2 2 2 2 2 4" xfId="3084" xr:uid="{00000000-0005-0000-0000-0000C6050000}"/>
    <cellStyle name="Comma 2 2 2 2 2 4 2" xfId="11673" xr:uid="{00000000-0005-0000-0000-0000C7050000}"/>
    <cellStyle name="Comma 2 2 2 2 2 5" xfId="11493" xr:uid="{00000000-0005-0000-0000-0000C8050000}"/>
    <cellStyle name="Comma 2 2 2 2 2 6" xfId="2904" xr:uid="{00000000-0005-0000-0000-0000C1050000}"/>
    <cellStyle name="Comma 2 2 2 2 3" xfId="2886" xr:uid="{00000000-0005-0000-0000-0000C9050000}"/>
    <cellStyle name="Comma 2 2 2 2 3 2" xfId="2944" xr:uid="{00000000-0005-0000-0000-0000CA050000}"/>
    <cellStyle name="Comma 2 2 2 2 3 2 2" xfId="11533" xr:uid="{00000000-0005-0000-0000-0000CB050000}"/>
    <cellStyle name="Comma 2 2 2 2 3 2 3" xfId="12257" xr:uid="{00000000-0005-0000-0000-0000CA050000}"/>
    <cellStyle name="Comma 2 2 2 2 3 2 4" xfId="11998" xr:uid="{00000000-0005-0000-0000-000044080000}"/>
    <cellStyle name="Comma 2 2 2 2 3 3" xfId="3004" xr:uid="{00000000-0005-0000-0000-0000CC050000}"/>
    <cellStyle name="Comma 2 2 2 2 3 3 2" xfId="11593" xr:uid="{00000000-0005-0000-0000-0000CD050000}"/>
    <cellStyle name="Comma 2 2 2 2 3 4" xfId="3064" xr:uid="{00000000-0005-0000-0000-0000CE050000}"/>
    <cellStyle name="Comma 2 2 2 2 3 4 2" xfId="11653" xr:uid="{00000000-0005-0000-0000-0000CF050000}"/>
    <cellStyle name="Comma 2 2 2 2 3 5" xfId="11473" xr:uid="{00000000-0005-0000-0000-0000D0050000}"/>
    <cellStyle name="Comma 2 2 2 2 3 6" xfId="12252" xr:uid="{00000000-0005-0000-0000-0000C9050000}"/>
    <cellStyle name="Comma 2 2 2 2 3 7" xfId="11997" xr:uid="{00000000-0005-0000-0000-000043080000}"/>
    <cellStyle name="Comma 2 2 2 2 4" xfId="2924" xr:uid="{00000000-0005-0000-0000-0000D1050000}"/>
    <cellStyle name="Comma 2 2 2 2 4 2" xfId="11513" xr:uid="{00000000-0005-0000-0000-0000D2050000}"/>
    <cellStyle name="Comma 2 2 2 2 4 3" xfId="12256" xr:uid="{00000000-0005-0000-0000-0000D1050000}"/>
    <cellStyle name="Comma 2 2 2 2 4 4" xfId="11999" xr:uid="{00000000-0005-0000-0000-000045080000}"/>
    <cellStyle name="Comma 2 2 2 2 5" xfId="2984" xr:uid="{00000000-0005-0000-0000-0000D3050000}"/>
    <cellStyle name="Comma 2 2 2 2 5 2" xfId="11573" xr:uid="{00000000-0005-0000-0000-0000D4050000}"/>
    <cellStyle name="Comma 2 2 2 2 5 3" xfId="12264" xr:uid="{00000000-0005-0000-0000-0000D3050000}"/>
    <cellStyle name="Comma 2 2 2 2 5 4" xfId="12000" xr:uid="{00000000-0005-0000-0000-000046080000}"/>
    <cellStyle name="Comma 2 2 2 2 6" xfId="3044" xr:uid="{00000000-0005-0000-0000-0000D5050000}"/>
    <cellStyle name="Comma 2 2 2 2 6 2" xfId="11633" xr:uid="{00000000-0005-0000-0000-0000D6050000}"/>
    <cellStyle name="Comma 2 2 2 2 7" xfId="11453" xr:uid="{00000000-0005-0000-0000-0000D7050000}"/>
    <cellStyle name="Comma 2 2 2 2 8" xfId="2871" xr:uid="{00000000-0005-0000-0000-0000C0050000}"/>
    <cellStyle name="Comma 2 2 2 2 9" xfId="11996" xr:uid="{00000000-0005-0000-0000-000041080000}"/>
    <cellStyle name="Comma 2 2 2 3" xfId="2609" xr:uid="{00000000-0005-0000-0000-0000E7060000}"/>
    <cellStyle name="Comma 2 2 2 3 2" xfId="2954" xr:uid="{00000000-0005-0000-0000-0000D9050000}"/>
    <cellStyle name="Comma 2 2 2 3 2 2" xfId="11543" xr:uid="{00000000-0005-0000-0000-0000DA050000}"/>
    <cellStyle name="Comma 2 2 2 3 2 3" xfId="12259" xr:uid="{00000000-0005-0000-0000-0000D9050000}"/>
    <cellStyle name="Comma 2 2 2 3 2 4" xfId="12001" xr:uid="{00000000-0005-0000-0000-000048080000}"/>
    <cellStyle name="Comma 2 2 2 3 3" xfId="3014" xr:uid="{00000000-0005-0000-0000-0000DB050000}"/>
    <cellStyle name="Comma 2 2 2 3 3 2" xfId="11603" xr:uid="{00000000-0005-0000-0000-0000DC050000}"/>
    <cellStyle name="Comma 2 2 2 3 4" xfId="3074" xr:uid="{00000000-0005-0000-0000-0000DD050000}"/>
    <cellStyle name="Comma 2 2 2 3 4 2" xfId="11663" xr:uid="{00000000-0005-0000-0000-0000DE050000}"/>
    <cellStyle name="Comma 2 2 2 3 5" xfId="11483" xr:uid="{00000000-0005-0000-0000-0000DF050000}"/>
    <cellStyle name="Comma 2 2 2 3 6" xfId="2896" xr:uid="{00000000-0005-0000-0000-0000D8050000}"/>
    <cellStyle name="Comma 2 2 2 4" xfId="2877" xr:uid="{00000000-0005-0000-0000-0000E0050000}"/>
    <cellStyle name="Comma 2 2 2 4 2" xfId="2934" xr:uid="{00000000-0005-0000-0000-0000E1050000}"/>
    <cellStyle name="Comma 2 2 2 4 2 2" xfId="11523" xr:uid="{00000000-0005-0000-0000-0000E2050000}"/>
    <cellStyle name="Comma 2 2 2 4 3" xfId="2994" xr:uid="{00000000-0005-0000-0000-0000E3050000}"/>
    <cellStyle name="Comma 2 2 2 4 3 2" xfId="11583" xr:uid="{00000000-0005-0000-0000-0000E4050000}"/>
    <cellStyle name="Comma 2 2 2 4 4" xfId="3054" xr:uid="{00000000-0005-0000-0000-0000E5050000}"/>
    <cellStyle name="Comma 2 2 2 4 4 2" xfId="11643" xr:uid="{00000000-0005-0000-0000-0000E6050000}"/>
    <cellStyle name="Comma 2 2 2 4 5" xfId="11463" xr:uid="{00000000-0005-0000-0000-0000E7050000}"/>
    <cellStyle name="Comma 2 2 2 4 6" xfId="12248" xr:uid="{00000000-0005-0000-0000-0000E0050000}"/>
    <cellStyle name="Comma 2 2 2 4 7" xfId="12002" xr:uid="{00000000-0005-0000-0000-000049080000}"/>
    <cellStyle name="Comma 2 2 2 5" xfId="2914" xr:uid="{00000000-0005-0000-0000-0000E8050000}"/>
    <cellStyle name="Comma 2 2 2 5 2" xfId="11503" xr:uid="{00000000-0005-0000-0000-0000E9050000}"/>
    <cellStyle name="Comma 2 2 2 6" xfId="2974" xr:uid="{00000000-0005-0000-0000-0000EA050000}"/>
    <cellStyle name="Comma 2 2 2 6 2" xfId="11563" xr:uid="{00000000-0005-0000-0000-0000EB050000}"/>
    <cellStyle name="Comma 2 2 2 7" xfId="3034" xr:uid="{00000000-0005-0000-0000-0000EC050000}"/>
    <cellStyle name="Comma 2 2 2 7 2" xfId="11623" xr:uid="{00000000-0005-0000-0000-0000ED050000}"/>
    <cellStyle name="Comma 2 2 2 8" xfId="11443" xr:uid="{00000000-0005-0000-0000-0000EE050000}"/>
    <cellStyle name="Comma 2 2 2 9" xfId="2864" xr:uid="{00000000-0005-0000-0000-0000BF050000}"/>
    <cellStyle name="Comma 2 2 3" xfId="2409" xr:uid="{00000000-0005-0000-0000-0000E8060000}"/>
    <cellStyle name="Comma 2 2 3 2" xfId="2817" xr:uid="{00000000-0005-0000-0000-0000E8060000}"/>
    <cellStyle name="Comma 2 2 3 2 2" xfId="12005" xr:uid="{00000000-0005-0000-0000-00004C080000}"/>
    <cellStyle name="Comma 2 2 3 2 2 2" xfId="12006" xr:uid="{00000000-0005-0000-0000-00004D080000}"/>
    <cellStyle name="Comma 2 2 3 2 3" xfId="12007" xr:uid="{00000000-0005-0000-0000-00004E080000}"/>
    <cellStyle name="Comma 2 2 3 2 4" xfId="12008" xr:uid="{00000000-0005-0000-0000-00004F080000}"/>
    <cellStyle name="Comma 2 2 3 2 5" xfId="12004" xr:uid="{00000000-0005-0000-0000-00004B080000}"/>
    <cellStyle name="Comma 2 2 3 3" xfId="12009" xr:uid="{00000000-0005-0000-0000-000050080000}"/>
    <cellStyle name="Comma 2 2 3 3 2" xfId="12010" xr:uid="{00000000-0005-0000-0000-000051080000}"/>
    <cellStyle name="Comma 2 2 3 4" xfId="12011" xr:uid="{00000000-0005-0000-0000-000052080000}"/>
    <cellStyle name="Comma 2 2 3 4 2" xfId="12012" xr:uid="{00000000-0005-0000-0000-000053080000}"/>
    <cellStyle name="Comma 2 2 3 5" xfId="12013" xr:uid="{00000000-0005-0000-0000-000054080000}"/>
    <cellStyle name="Comma 2 2 3 6" xfId="12014" xr:uid="{00000000-0005-0000-0000-000055080000}"/>
    <cellStyle name="Comma 2 2 3 7" xfId="12003" xr:uid="{00000000-0005-0000-0000-00004A080000}"/>
    <cellStyle name="Comma 2 2 4" xfId="11683" xr:uid="{89AE33A9-362C-4D39-B7BD-40AC58C0D287}"/>
    <cellStyle name="Comma 2 3" xfId="1771" xr:uid="{00000000-0005-0000-0000-0000E9060000}"/>
    <cellStyle name="Comma 2 3 2" xfId="1772" xr:uid="{00000000-0005-0000-0000-0000EA060000}"/>
    <cellStyle name="Comma 2 3 2 2" xfId="2411" xr:uid="{00000000-0005-0000-0000-0000EB060000}"/>
    <cellStyle name="Comma 2 3 2 2 2" xfId="2818" xr:uid="{00000000-0005-0000-0000-0000EB060000}"/>
    <cellStyle name="Comma 2 3 2 2 2 2" xfId="12017" xr:uid="{00000000-0005-0000-0000-00005B080000}"/>
    <cellStyle name="Comma 2 3 2 2 2 2 2" xfId="12018" xr:uid="{00000000-0005-0000-0000-00005C080000}"/>
    <cellStyle name="Comma 2 3 2 2 2 3" xfId="12019" xr:uid="{00000000-0005-0000-0000-00005D080000}"/>
    <cellStyle name="Comma 2 3 2 2 2 4" xfId="12020" xr:uid="{00000000-0005-0000-0000-00005E080000}"/>
    <cellStyle name="Comma 2 3 2 2 2 5" xfId="12016" xr:uid="{00000000-0005-0000-0000-00005A080000}"/>
    <cellStyle name="Comma 2 3 2 2 3" xfId="12021" xr:uid="{00000000-0005-0000-0000-00005F080000}"/>
    <cellStyle name="Comma 2 3 2 2 3 2" xfId="12022" xr:uid="{00000000-0005-0000-0000-000060080000}"/>
    <cellStyle name="Comma 2 3 2 2 4" xfId="12023" xr:uid="{00000000-0005-0000-0000-000061080000}"/>
    <cellStyle name="Comma 2 3 2 2 5" xfId="12024" xr:uid="{00000000-0005-0000-0000-000062080000}"/>
    <cellStyle name="Comma 2 3 2 2 6" xfId="12015" xr:uid="{00000000-0005-0000-0000-000059080000}"/>
    <cellStyle name="Comma 2 3 3" xfId="2610" xr:uid="{00000000-0005-0000-0000-0000EC060000}"/>
    <cellStyle name="Comma 2 3 3 2" xfId="2905" xr:uid="{00000000-0005-0000-0000-0000F2050000}"/>
    <cellStyle name="Comma 2 3 3 2 2" xfId="2965" xr:uid="{00000000-0005-0000-0000-0000F3050000}"/>
    <cellStyle name="Comma 2 3 3 2 2 2" xfId="11554" xr:uid="{00000000-0005-0000-0000-0000F4050000}"/>
    <cellStyle name="Comma 2 3 3 2 3" xfId="3025" xr:uid="{00000000-0005-0000-0000-0000F5050000}"/>
    <cellStyle name="Comma 2 3 3 2 3 2" xfId="11614" xr:uid="{00000000-0005-0000-0000-0000F6050000}"/>
    <cellStyle name="Comma 2 3 3 2 4" xfId="3085" xr:uid="{00000000-0005-0000-0000-0000F7050000}"/>
    <cellStyle name="Comma 2 3 3 2 4 2" xfId="11674" xr:uid="{00000000-0005-0000-0000-0000F8050000}"/>
    <cellStyle name="Comma 2 3 3 2 5" xfId="11494" xr:uid="{00000000-0005-0000-0000-0000F9050000}"/>
    <cellStyle name="Comma 2 3 3 3" xfId="2887" xr:uid="{00000000-0005-0000-0000-0000FA050000}"/>
    <cellStyle name="Comma 2 3 3 3 2" xfId="2945" xr:uid="{00000000-0005-0000-0000-0000FB050000}"/>
    <cellStyle name="Comma 2 3 3 3 2 2" xfId="11534" xr:uid="{00000000-0005-0000-0000-0000FC050000}"/>
    <cellStyle name="Comma 2 3 3 3 3" xfId="3005" xr:uid="{00000000-0005-0000-0000-0000FD050000}"/>
    <cellStyle name="Comma 2 3 3 3 3 2" xfId="11594" xr:uid="{00000000-0005-0000-0000-0000FE050000}"/>
    <cellStyle name="Comma 2 3 3 3 4" xfId="3065" xr:uid="{00000000-0005-0000-0000-0000FF050000}"/>
    <cellStyle name="Comma 2 3 3 3 4 2" xfId="11654" xr:uid="{00000000-0005-0000-0000-000000060000}"/>
    <cellStyle name="Comma 2 3 3 3 5" xfId="11474" xr:uid="{00000000-0005-0000-0000-000001060000}"/>
    <cellStyle name="Comma 2 3 3 4" xfId="2925" xr:uid="{00000000-0005-0000-0000-000002060000}"/>
    <cellStyle name="Comma 2 3 3 4 2" xfId="11514" xr:uid="{00000000-0005-0000-0000-000003060000}"/>
    <cellStyle name="Comma 2 3 3 5" xfId="2985" xr:uid="{00000000-0005-0000-0000-000004060000}"/>
    <cellStyle name="Comma 2 3 3 5 2" xfId="11574" xr:uid="{00000000-0005-0000-0000-000005060000}"/>
    <cellStyle name="Comma 2 3 3 6" xfId="3045" xr:uid="{00000000-0005-0000-0000-000006060000}"/>
    <cellStyle name="Comma 2 3 3 6 2" xfId="11634" xr:uid="{00000000-0005-0000-0000-000007060000}"/>
    <cellStyle name="Comma 2 3 3 7" xfId="11454" xr:uid="{00000000-0005-0000-0000-000008060000}"/>
    <cellStyle name="Comma 2 3 4" xfId="2897" xr:uid="{00000000-0005-0000-0000-000009060000}"/>
    <cellStyle name="Comma 2 3 4 2" xfId="2955" xr:uid="{00000000-0005-0000-0000-00000A060000}"/>
    <cellStyle name="Comma 2 3 4 2 2" xfId="11544" xr:uid="{00000000-0005-0000-0000-00000B060000}"/>
    <cellStyle name="Comma 2 3 4 3" xfId="3015" xr:uid="{00000000-0005-0000-0000-00000C060000}"/>
    <cellStyle name="Comma 2 3 4 3 2" xfId="11604" xr:uid="{00000000-0005-0000-0000-00000D060000}"/>
    <cellStyle name="Comma 2 3 4 4" xfId="3075" xr:uid="{00000000-0005-0000-0000-00000E060000}"/>
    <cellStyle name="Comma 2 3 4 4 2" xfId="11664" xr:uid="{00000000-0005-0000-0000-00000F060000}"/>
    <cellStyle name="Comma 2 3 4 5" xfId="11484" xr:uid="{00000000-0005-0000-0000-000010060000}"/>
    <cellStyle name="Comma 2 3 5" xfId="2878" xr:uid="{00000000-0005-0000-0000-000011060000}"/>
    <cellStyle name="Comma 2 3 5 2" xfId="2935" xr:uid="{00000000-0005-0000-0000-000012060000}"/>
    <cellStyle name="Comma 2 3 5 2 2" xfId="11524" xr:uid="{00000000-0005-0000-0000-000013060000}"/>
    <cellStyle name="Comma 2 3 5 3" xfId="2995" xr:uid="{00000000-0005-0000-0000-000014060000}"/>
    <cellStyle name="Comma 2 3 5 3 2" xfId="11584" xr:uid="{00000000-0005-0000-0000-000015060000}"/>
    <cellStyle name="Comma 2 3 5 4" xfId="3055" xr:uid="{00000000-0005-0000-0000-000016060000}"/>
    <cellStyle name="Comma 2 3 5 4 2" xfId="11644" xr:uid="{00000000-0005-0000-0000-000017060000}"/>
    <cellStyle name="Comma 2 3 5 5" xfId="11464" xr:uid="{00000000-0005-0000-0000-000018060000}"/>
    <cellStyle name="Comma 2 3 6" xfId="2915" xr:uid="{00000000-0005-0000-0000-000019060000}"/>
    <cellStyle name="Comma 2 3 6 2" xfId="11504" xr:uid="{00000000-0005-0000-0000-00001A060000}"/>
    <cellStyle name="Comma 2 3 7" xfId="2975" xr:uid="{00000000-0005-0000-0000-00001B060000}"/>
    <cellStyle name="Comma 2 3 7 2" xfId="11564" xr:uid="{00000000-0005-0000-0000-00001C060000}"/>
    <cellStyle name="Comma 2 3 8" xfId="3035" xr:uid="{00000000-0005-0000-0000-00001D060000}"/>
    <cellStyle name="Comma 2 3 8 2" xfId="11624" xr:uid="{00000000-0005-0000-0000-00001E060000}"/>
    <cellStyle name="Comma 2 3 9" xfId="11444" xr:uid="{00000000-0005-0000-0000-00001F060000}"/>
    <cellStyle name="Comma 2 4" xfId="1773" xr:uid="{00000000-0005-0000-0000-0000ED060000}"/>
    <cellStyle name="Comma 2 4 2" xfId="2611" xr:uid="{00000000-0005-0000-0000-0000EE060000}"/>
    <cellStyle name="Comma 2 4 2 2" xfId="2906" xr:uid="{00000000-0005-0000-0000-000022060000}"/>
    <cellStyle name="Comma 2 4 2 2 2" xfId="2966" xr:uid="{00000000-0005-0000-0000-000023060000}"/>
    <cellStyle name="Comma 2 4 2 2 2 2" xfId="11555" xr:uid="{00000000-0005-0000-0000-000024060000}"/>
    <cellStyle name="Comma 2 4 2 2 3" xfId="3026" xr:uid="{00000000-0005-0000-0000-000025060000}"/>
    <cellStyle name="Comma 2 4 2 2 3 2" xfId="11615" xr:uid="{00000000-0005-0000-0000-000026060000}"/>
    <cellStyle name="Comma 2 4 2 2 4" xfId="3086" xr:uid="{00000000-0005-0000-0000-000027060000}"/>
    <cellStyle name="Comma 2 4 2 2 4 2" xfId="11675" xr:uid="{00000000-0005-0000-0000-000028060000}"/>
    <cellStyle name="Comma 2 4 2 2 5" xfId="11495" xr:uid="{00000000-0005-0000-0000-000029060000}"/>
    <cellStyle name="Comma 2 4 2 3" xfId="2888" xr:uid="{00000000-0005-0000-0000-00002A060000}"/>
    <cellStyle name="Comma 2 4 2 3 2" xfId="2946" xr:uid="{00000000-0005-0000-0000-00002B060000}"/>
    <cellStyle name="Comma 2 4 2 3 2 2" xfId="11535" xr:uid="{00000000-0005-0000-0000-00002C060000}"/>
    <cellStyle name="Comma 2 4 2 3 3" xfId="3006" xr:uid="{00000000-0005-0000-0000-00002D060000}"/>
    <cellStyle name="Comma 2 4 2 3 3 2" xfId="11595" xr:uid="{00000000-0005-0000-0000-00002E060000}"/>
    <cellStyle name="Comma 2 4 2 3 4" xfId="3066" xr:uid="{00000000-0005-0000-0000-00002F060000}"/>
    <cellStyle name="Comma 2 4 2 3 4 2" xfId="11655" xr:uid="{00000000-0005-0000-0000-000030060000}"/>
    <cellStyle name="Comma 2 4 2 3 5" xfId="11475" xr:uid="{00000000-0005-0000-0000-000031060000}"/>
    <cellStyle name="Comma 2 4 2 4" xfId="2926" xr:uid="{00000000-0005-0000-0000-000032060000}"/>
    <cellStyle name="Comma 2 4 2 4 2" xfId="11515" xr:uid="{00000000-0005-0000-0000-000033060000}"/>
    <cellStyle name="Comma 2 4 2 5" xfId="2986" xr:uid="{00000000-0005-0000-0000-000034060000}"/>
    <cellStyle name="Comma 2 4 2 5 2" xfId="11575" xr:uid="{00000000-0005-0000-0000-000035060000}"/>
    <cellStyle name="Comma 2 4 2 6" xfId="3046" xr:uid="{00000000-0005-0000-0000-000036060000}"/>
    <cellStyle name="Comma 2 4 2 6 2" xfId="11635" xr:uid="{00000000-0005-0000-0000-000037060000}"/>
    <cellStyle name="Comma 2 4 2 7" xfId="11455" xr:uid="{00000000-0005-0000-0000-000038060000}"/>
    <cellStyle name="Comma 2 4 2 8" xfId="2872" xr:uid="{00000000-0005-0000-0000-000021060000}"/>
    <cellStyle name="Comma 2 4 3" xfId="2612" xr:uid="{00000000-0005-0000-0000-0000EF060000}"/>
    <cellStyle name="Comma 2 4 3 2" xfId="2956" xr:uid="{00000000-0005-0000-0000-00003A060000}"/>
    <cellStyle name="Comma 2 4 3 2 2" xfId="11545" xr:uid="{00000000-0005-0000-0000-00003B060000}"/>
    <cellStyle name="Comma 2 4 3 2 3" xfId="12260" xr:uid="{00000000-0005-0000-0000-00003A060000}"/>
    <cellStyle name="Comma 2 4 3 2 4" xfId="12025" xr:uid="{00000000-0005-0000-0000-000067080000}"/>
    <cellStyle name="Comma 2 4 3 3" xfId="3016" xr:uid="{00000000-0005-0000-0000-00003C060000}"/>
    <cellStyle name="Comma 2 4 3 3 2" xfId="11605" xr:uid="{00000000-0005-0000-0000-00003D060000}"/>
    <cellStyle name="Comma 2 4 3 4" xfId="3076" xr:uid="{00000000-0005-0000-0000-00003E060000}"/>
    <cellStyle name="Comma 2 4 3 4 2" xfId="11665" xr:uid="{00000000-0005-0000-0000-00003F060000}"/>
    <cellStyle name="Comma 2 4 3 5" xfId="11485" xr:uid="{00000000-0005-0000-0000-000040060000}"/>
    <cellStyle name="Comma 2 4 3 6" xfId="2898" xr:uid="{00000000-0005-0000-0000-000039060000}"/>
    <cellStyle name="Comma 2 4 4" xfId="2879" xr:uid="{00000000-0005-0000-0000-000041060000}"/>
    <cellStyle name="Comma 2 4 4 2" xfId="2936" xr:uid="{00000000-0005-0000-0000-000042060000}"/>
    <cellStyle name="Comma 2 4 4 2 2" xfId="11525" xr:uid="{00000000-0005-0000-0000-000043060000}"/>
    <cellStyle name="Comma 2 4 4 3" xfId="2996" xr:uid="{00000000-0005-0000-0000-000044060000}"/>
    <cellStyle name="Comma 2 4 4 3 2" xfId="11585" xr:uid="{00000000-0005-0000-0000-000045060000}"/>
    <cellStyle name="Comma 2 4 4 4" xfId="3056" xr:uid="{00000000-0005-0000-0000-000046060000}"/>
    <cellStyle name="Comma 2 4 4 4 2" xfId="11645" xr:uid="{00000000-0005-0000-0000-000047060000}"/>
    <cellStyle name="Comma 2 4 4 5" xfId="11465" xr:uid="{00000000-0005-0000-0000-000048060000}"/>
    <cellStyle name="Comma 2 4 4 6" xfId="12249" xr:uid="{00000000-0005-0000-0000-000041060000}"/>
    <cellStyle name="Comma 2 4 4 7" xfId="12026" xr:uid="{00000000-0005-0000-0000-000068080000}"/>
    <cellStyle name="Comma 2 4 5" xfId="2916" xr:uid="{00000000-0005-0000-0000-000049060000}"/>
    <cellStyle name="Comma 2 4 5 2" xfId="11505" xr:uid="{00000000-0005-0000-0000-00004A060000}"/>
    <cellStyle name="Comma 2 4 6" xfId="2976" xr:uid="{00000000-0005-0000-0000-00004B060000}"/>
    <cellStyle name="Comma 2 4 6 2" xfId="11565" xr:uid="{00000000-0005-0000-0000-00004C060000}"/>
    <cellStyle name="Comma 2 4 7" xfId="3036" xr:uid="{00000000-0005-0000-0000-00004D060000}"/>
    <cellStyle name="Comma 2 4 7 2" xfId="11625" xr:uid="{00000000-0005-0000-0000-00004E060000}"/>
    <cellStyle name="Comma 2 4 8" xfId="11445" xr:uid="{00000000-0005-0000-0000-00004F060000}"/>
    <cellStyle name="Comma 2 4 9" xfId="2865" xr:uid="{00000000-0005-0000-0000-000020060000}"/>
    <cellStyle name="Comma 2 5" xfId="1774" xr:uid="{00000000-0005-0000-0000-0000F0060000}"/>
    <cellStyle name="Comma 2 5 2" xfId="2613" xr:uid="{00000000-0005-0000-0000-0000F1060000}"/>
    <cellStyle name="Comma 2 6" xfId="1768" xr:uid="{00000000-0005-0000-0000-0000F2060000}"/>
    <cellStyle name="Comma 2 6 2" xfId="2903" xr:uid="{00000000-0005-0000-0000-000052060000}"/>
    <cellStyle name="Comma 2 6 2 2" xfId="2963" xr:uid="{00000000-0005-0000-0000-000053060000}"/>
    <cellStyle name="Comma 2 6 2 2 2" xfId="11552" xr:uid="{00000000-0005-0000-0000-000054060000}"/>
    <cellStyle name="Comma 2 6 2 3" xfId="3023" xr:uid="{00000000-0005-0000-0000-000055060000}"/>
    <cellStyle name="Comma 2 6 2 3 2" xfId="11612" xr:uid="{00000000-0005-0000-0000-000056060000}"/>
    <cellStyle name="Comma 2 6 2 4" xfId="3083" xr:uid="{00000000-0005-0000-0000-000057060000}"/>
    <cellStyle name="Comma 2 6 2 4 2" xfId="11672" xr:uid="{00000000-0005-0000-0000-000058060000}"/>
    <cellStyle name="Comma 2 6 2 5" xfId="11492" xr:uid="{00000000-0005-0000-0000-000059060000}"/>
    <cellStyle name="Comma 2 6 2 6" xfId="12254" xr:uid="{00000000-0005-0000-0000-000052060000}"/>
    <cellStyle name="Comma 2 6 2 7" xfId="12027" xr:uid="{00000000-0005-0000-0000-00006C080000}"/>
    <cellStyle name="Comma 2 6 3" xfId="2885" xr:uid="{00000000-0005-0000-0000-00005A060000}"/>
    <cellStyle name="Comma 2 6 3 2" xfId="2943" xr:uid="{00000000-0005-0000-0000-00005B060000}"/>
    <cellStyle name="Comma 2 6 3 2 2" xfId="11532" xr:uid="{00000000-0005-0000-0000-00005C060000}"/>
    <cellStyle name="Comma 2 6 3 3" xfId="3003" xr:uid="{00000000-0005-0000-0000-00005D060000}"/>
    <cellStyle name="Comma 2 6 3 3 2" xfId="11592" xr:uid="{00000000-0005-0000-0000-00005E060000}"/>
    <cellStyle name="Comma 2 6 3 4" xfId="3063" xr:uid="{00000000-0005-0000-0000-00005F060000}"/>
    <cellStyle name="Comma 2 6 3 4 2" xfId="11652" xr:uid="{00000000-0005-0000-0000-000060060000}"/>
    <cellStyle name="Comma 2 6 3 5" xfId="11472" xr:uid="{00000000-0005-0000-0000-000061060000}"/>
    <cellStyle name="Comma 2 6 4" xfId="2923" xr:uid="{00000000-0005-0000-0000-000062060000}"/>
    <cellStyle name="Comma 2 6 4 2" xfId="11512" xr:uid="{00000000-0005-0000-0000-000063060000}"/>
    <cellStyle name="Comma 2 6 5" xfId="2983" xr:uid="{00000000-0005-0000-0000-000064060000}"/>
    <cellStyle name="Comma 2 6 5 2" xfId="11572" xr:uid="{00000000-0005-0000-0000-000065060000}"/>
    <cellStyle name="Comma 2 6 6" xfId="3043" xr:uid="{00000000-0005-0000-0000-000066060000}"/>
    <cellStyle name="Comma 2 6 6 2" xfId="11632" xr:uid="{00000000-0005-0000-0000-000067060000}"/>
    <cellStyle name="Comma 2 6 7" xfId="11452" xr:uid="{00000000-0005-0000-0000-000068060000}"/>
    <cellStyle name="Comma 2 6 8" xfId="2870" xr:uid="{00000000-0005-0000-0000-000051060000}"/>
    <cellStyle name="Comma 2 7" xfId="2408" xr:uid="{00000000-0005-0000-0000-0000F3060000}"/>
    <cellStyle name="Comma 2 7 2" xfId="2614" xr:uid="{00000000-0005-0000-0000-0000F4060000}"/>
    <cellStyle name="Comma 2 7 2 2" xfId="11542" xr:uid="{00000000-0005-0000-0000-00006B060000}"/>
    <cellStyle name="Comma 2 7 2 3" xfId="2953" xr:uid="{00000000-0005-0000-0000-00006A060000}"/>
    <cellStyle name="Comma 2 7 3" xfId="3013" xr:uid="{00000000-0005-0000-0000-00006C060000}"/>
    <cellStyle name="Comma 2 7 3 2" xfId="11602" xr:uid="{00000000-0005-0000-0000-00006D060000}"/>
    <cellStyle name="Comma 2 7 3 2 2" xfId="12287" xr:uid="{00000000-0005-0000-0000-00006D060000}"/>
    <cellStyle name="Comma 2 7 3 2 3" xfId="12030" xr:uid="{00000000-0005-0000-0000-000070080000}"/>
    <cellStyle name="Comma 2 7 3 3" xfId="12266" xr:uid="{00000000-0005-0000-0000-00006C060000}"/>
    <cellStyle name="Comma 2 7 3 4" xfId="12029" xr:uid="{00000000-0005-0000-0000-00006F080000}"/>
    <cellStyle name="Comma 2 7 4" xfId="3073" xr:uid="{00000000-0005-0000-0000-00006E060000}"/>
    <cellStyle name="Comma 2 7 4 2" xfId="11662" xr:uid="{00000000-0005-0000-0000-00006F060000}"/>
    <cellStyle name="Comma 2 7 4 2 2" xfId="12289" xr:uid="{00000000-0005-0000-0000-00006F060000}"/>
    <cellStyle name="Comma 2 7 4 2 3" xfId="12032" xr:uid="{00000000-0005-0000-0000-000072080000}"/>
    <cellStyle name="Comma 2 7 4 3" xfId="12271" xr:uid="{00000000-0005-0000-0000-00006E060000}"/>
    <cellStyle name="Comma 2 7 4 4" xfId="12031" xr:uid="{00000000-0005-0000-0000-000071080000}"/>
    <cellStyle name="Comma 2 7 5" xfId="11482" xr:uid="{00000000-0005-0000-0000-000070060000}"/>
    <cellStyle name="Comma 2 7 5 2" xfId="12283" xr:uid="{00000000-0005-0000-0000-000070060000}"/>
    <cellStyle name="Comma 2 7 5 3" xfId="12033" xr:uid="{00000000-0005-0000-0000-000073080000}"/>
    <cellStyle name="Comma 2 7 6" xfId="2895" xr:uid="{00000000-0005-0000-0000-000069060000}"/>
    <cellStyle name="Comma 2 7 6 2" xfId="12034" xr:uid="{00000000-0005-0000-0000-000074080000}"/>
    <cellStyle name="Comma 2 7 7" xfId="12253" xr:uid="{00000000-0005-0000-0000-000069060000}"/>
    <cellStyle name="Comma 2 7 8" xfId="12028" xr:uid="{00000000-0005-0000-0000-00006D080000}"/>
    <cellStyle name="Comma 2 8" xfId="2876" xr:uid="{00000000-0005-0000-0000-000071060000}"/>
    <cellStyle name="Comma 2 8 2" xfId="2933" xr:uid="{00000000-0005-0000-0000-000072060000}"/>
    <cellStyle name="Comma 2 8 2 2" xfId="11522" xr:uid="{00000000-0005-0000-0000-000073060000}"/>
    <cellStyle name="Comma 2 8 3" xfId="2993" xr:uid="{00000000-0005-0000-0000-000074060000}"/>
    <cellStyle name="Comma 2 8 3 2" xfId="11582" xr:uid="{00000000-0005-0000-0000-000075060000}"/>
    <cellStyle name="Comma 2 8 4" xfId="3053" xr:uid="{00000000-0005-0000-0000-000076060000}"/>
    <cellStyle name="Comma 2 8 4 2" xfId="11642" xr:uid="{00000000-0005-0000-0000-000077060000}"/>
    <cellStyle name="Comma 2 8 5" xfId="11462" xr:uid="{00000000-0005-0000-0000-000078060000}"/>
    <cellStyle name="Comma 2 8 6" xfId="12247" xr:uid="{00000000-0005-0000-0000-000071060000}"/>
    <cellStyle name="Comma 2 8 7" xfId="12035" xr:uid="{00000000-0005-0000-0000-000075080000}"/>
    <cellStyle name="Comma 2 9" xfId="2913" xr:uid="{00000000-0005-0000-0000-000079060000}"/>
    <cellStyle name="Comma 2 9 2" xfId="11502" xr:uid="{00000000-0005-0000-0000-00007A060000}"/>
    <cellStyle name="Comma 2 9 3" xfId="12255" xr:uid="{00000000-0005-0000-0000-000079060000}"/>
    <cellStyle name="Comma 2 9 4" xfId="12036" xr:uid="{00000000-0005-0000-0000-000076080000}"/>
    <cellStyle name="Comma 3" xfId="275" xr:uid="{00000000-0005-0000-0000-0000F5060000}"/>
    <cellStyle name="Comma 3 2" xfId="1776" xr:uid="{00000000-0005-0000-0000-0000F6060000}"/>
    <cellStyle name="Comma 3 2 2" xfId="1777" xr:uid="{00000000-0005-0000-0000-0000F7060000}"/>
    <cellStyle name="Comma 3 2 2 2" xfId="2615" xr:uid="{00000000-0005-0000-0000-0000F8060000}"/>
    <cellStyle name="Comma 3 2 2 2 2" xfId="2908" xr:uid="{00000000-0005-0000-0000-00007F060000}"/>
    <cellStyle name="Comma 3 2 2 2 2 2" xfId="2968" xr:uid="{00000000-0005-0000-0000-000080060000}"/>
    <cellStyle name="Comma 3 2 2 2 2 2 2" xfId="11557" xr:uid="{00000000-0005-0000-0000-000081060000}"/>
    <cellStyle name="Comma 3 2 2 2 2 3" xfId="3028" xr:uid="{00000000-0005-0000-0000-000082060000}"/>
    <cellStyle name="Comma 3 2 2 2 2 3 2" xfId="11617" xr:uid="{00000000-0005-0000-0000-000083060000}"/>
    <cellStyle name="Comma 3 2 2 2 2 4" xfId="3088" xr:uid="{00000000-0005-0000-0000-000084060000}"/>
    <cellStyle name="Comma 3 2 2 2 2 4 2" xfId="11677" xr:uid="{00000000-0005-0000-0000-000085060000}"/>
    <cellStyle name="Comma 3 2 2 2 2 5" xfId="11497" xr:uid="{00000000-0005-0000-0000-000086060000}"/>
    <cellStyle name="Comma 3 2 2 2 3" xfId="2890" xr:uid="{00000000-0005-0000-0000-000087060000}"/>
    <cellStyle name="Comma 3 2 2 2 3 2" xfId="2948" xr:uid="{00000000-0005-0000-0000-000088060000}"/>
    <cellStyle name="Comma 3 2 2 2 3 2 2" xfId="11537" xr:uid="{00000000-0005-0000-0000-000089060000}"/>
    <cellStyle name="Comma 3 2 2 2 3 3" xfId="3008" xr:uid="{00000000-0005-0000-0000-00008A060000}"/>
    <cellStyle name="Comma 3 2 2 2 3 3 2" xfId="11597" xr:uid="{00000000-0005-0000-0000-00008B060000}"/>
    <cellStyle name="Comma 3 2 2 2 3 4" xfId="3068" xr:uid="{00000000-0005-0000-0000-00008C060000}"/>
    <cellStyle name="Comma 3 2 2 2 3 4 2" xfId="11657" xr:uid="{00000000-0005-0000-0000-00008D060000}"/>
    <cellStyle name="Comma 3 2 2 2 3 5" xfId="11477" xr:uid="{00000000-0005-0000-0000-00008E060000}"/>
    <cellStyle name="Comma 3 2 2 2 4" xfId="2928" xr:uid="{00000000-0005-0000-0000-00008F060000}"/>
    <cellStyle name="Comma 3 2 2 2 4 2" xfId="11517" xr:uid="{00000000-0005-0000-0000-000090060000}"/>
    <cellStyle name="Comma 3 2 2 2 5" xfId="2988" xr:uid="{00000000-0005-0000-0000-000091060000}"/>
    <cellStyle name="Comma 3 2 2 2 5 2" xfId="11577" xr:uid="{00000000-0005-0000-0000-000092060000}"/>
    <cellStyle name="Comma 3 2 2 2 6" xfId="3048" xr:uid="{00000000-0005-0000-0000-000093060000}"/>
    <cellStyle name="Comma 3 2 2 2 6 2" xfId="11637" xr:uid="{00000000-0005-0000-0000-000094060000}"/>
    <cellStyle name="Comma 3 2 2 2 7" xfId="11457" xr:uid="{00000000-0005-0000-0000-000095060000}"/>
    <cellStyle name="Comma 3 2 2 3" xfId="2899" xr:uid="{00000000-0005-0000-0000-000096060000}"/>
    <cellStyle name="Comma 3 2 2 3 2" xfId="2958" xr:uid="{00000000-0005-0000-0000-000097060000}"/>
    <cellStyle name="Comma 3 2 2 3 2 2" xfId="11547" xr:uid="{00000000-0005-0000-0000-000098060000}"/>
    <cellStyle name="Comma 3 2 2 3 3" xfId="3018" xr:uid="{00000000-0005-0000-0000-000099060000}"/>
    <cellStyle name="Comma 3 2 2 3 3 2" xfId="11607" xr:uid="{00000000-0005-0000-0000-00009A060000}"/>
    <cellStyle name="Comma 3 2 2 3 4" xfId="3078" xr:uid="{00000000-0005-0000-0000-00009B060000}"/>
    <cellStyle name="Comma 3 2 2 3 4 2" xfId="11667" xr:uid="{00000000-0005-0000-0000-00009C060000}"/>
    <cellStyle name="Comma 3 2 2 3 5" xfId="11487" xr:uid="{00000000-0005-0000-0000-00009D060000}"/>
    <cellStyle name="Comma 3 2 2 4" xfId="2881" xr:uid="{00000000-0005-0000-0000-00009E060000}"/>
    <cellStyle name="Comma 3 2 2 4 2" xfId="2938" xr:uid="{00000000-0005-0000-0000-00009F060000}"/>
    <cellStyle name="Comma 3 2 2 4 2 2" xfId="11527" xr:uid="{00000000-0005-0000-0000-0000A0060000}"/>
    <cellStyle name="Comma 3 2 2 4 3" xfId="2998" xr:uid="{00000000-0005-0000-0000-0000A1060000}"/>
    <cellStyle name="Comma 3 2 2 4 3 2" xfId="11587" xr:uid="{00000000-0005-0000-0000-0000A2060000}"/>
    <cellStyle name="Comma 3 2 2 4 4" xfId="3058" xr:uid="{00000000-0005-0000-0000-0000A3060000}"/>
    <cellStyle name="Comma 3 2 2 4 4 2" xfId="11647" xr:uid="{00000000-0005-0000-0000-0000A4060000}"/>
    <cellStyle name="Comma 3 2 2 4 5" xfId="11467" xr:uid="{00000000-0005-0000-0000-0000A5060000}"/>
    <cellStyle name="Comma 3 2 2 5" xfId="2918" xr:uid="{00000000-0005-0000-0000-0000A6060000}"/>
    <cellStyle name="Comma 3 2 2 5 2" xfId="11507" xr:uid="{00000000-0005-0000-0000-0000A7060000}"/>
    <cellStyle name="Comma 3 2 2 6" xfId="2978" xr:uid="{00000000-0005-0000-0000-0000A8060000}"/>
    <cellStyle name="Comma 3 2 2 6 2" xfId="11567" xr:uid="{00000000-0005-0000-0000-0000A9060000}"/>
    <cellStyle name="Comma 3 2 2 7" xfId="3038" xr:uid="{00000000-0005-0000-0000-0000AA060000}"/>
    <cellStyle name="Comma 3 2 2 7 2" xfId="11627" xr:uid="{00000000-0005-0000-0000-0000AB060000}"/>
    <cellStyle name="Comma 3 2 2 8" xfId="11447" xr:uid="{00000000-0005-0000-0000-0000AC060000}"/>
    <cellStyle name="Comma 3 2 3" xfId="2412" xr:uid="{00000000-0005-0000-0000-0000F9060000}"/>
    <cellStyle name="Comma 3 2 3 2" xfId="12038" xr:uid="{00000000-0005-0000-0000-00007C080000}"/>
    <cellStyle name="Comma 3 2 3 2 2" xfId="12039" xr:uid="{00000000-0005-0000-0000-00007D080000}"/>
    <cellStyle name="Comma 3 2 3 3" xfId="12040" xr:uid="{00000000-0005-0000-0000-00007E080000}"/>
    <cellStyle name="Comma 3 2 3 4" xfId="12041" xr:uid="{00000000-0005-0000-0000-00007F080000}"/>
    <cellStyle name="Comma 3 2 3 5" xfId="12037" xr:uid="{00000000-0005-0000-0000-00007B080000}"/>
    <cellStyle name="Comma 3 3" xfId="1775" xr:uid="{00000000-0005-0000-0000-0000FA060000}"/>
    <cellStyle name="Comma 3 3 2" xfId="2413" xr:uid="{00000000-0005-0000-0000-0000FB060000}"/>
    <cellStyle name="Comma 3 3 2 2" xfId="2967" xr:uid="{00000000-0005-0000-0000-0000AF060000}"/>
    <cellStyle name="Comma 3 3 2 2 2" xfId="11556" xr:uid="{00000000-0005-0000-0000-0000B0060000}"/>
    <cellStyle name="Comma 3 3 2 2 2 2" xfId="12285" xr:uid="{00000000-0005-0000-0000-0000B0060000}"/>
    <cellStyle name="Comma 3 3 2 2 2 3" xfId="12044" xr:uid="{00000000-0005-0000-0000-000083080000}"/>
    <cellStyle name="Comma 3 3 2 2 3" xfId="12263" xr:uid="{00000000-0005-0000-0000-0000AF060000}"/>
    <cellStyle name="Comma 3 3 2 2 4" xfId="12043" xr:uid="{00000000-0005-0000-0000-000082080000}"/>
    <cellStyle name="Comma 3 3 2 3" xfId="3027" xr:uid="{00000000-0005-0000-0000-0000B1060000}"/>
    <cellStyle name="Comma 3 3 2 3 2" xfId="11616" xr:uid="{00000000-0005-0000-0000-0000B2060000}"/>
    <cellStyle name="Comma 3 3 2 3 3" xfId="12267" xr:uid="{00000000-0005-0000-0000-0000B1060000}"/>
    <cellStyle name="Comma 3 3 2 3 4" xfId="12045" xr:uid="{00000000-0005-0000-0000-000084080000}"/>
    <cellStyle name="Comma 3 3 2 4" xfId="3087" xr:uid="{00000000-0005-0000-0000-0000B3060000}"/>
    <cellStyle name="Comma 3 3 2 4 2" xfId="11676" xr:uid="{00000000-0005-0000-0000-0000B4060000}"/>
    <cellStyle name="Comma 3 3 2 4 3" xfId="12272" xr:uid="{00000000-0005-0000-0000-0000B3060000}"/>
    <cellStyle name="Comma 3 3 2 4 4" xfId="12046" xr:uid="{00000000-0005-0000-0000-000085080000}"/>
    <cellStyle name="Comma 3 3 2 5" xfId="11496" xr:uid="{00000000-0005-0000-0000-0000B5060000}"/>
    <cellStyle name="Comma 3 3 2 6" xfId="2907" xr:uid="{00000000-0005-0000-0000-0000AE060000}"/>
    <cellStyle name="Comma 3 3 2 7" xfId="12042" xr:uid="{00000000-0005-0000-0000-000081080000}"/>
    <cellStyle name="Comma 3 3 3" xfId="2889" xr:uid="{00000000-0005-0000-0000-0000B6060000}"/>
    <cellStyle name="Comma 3 3 3 2" xfId="2947" xr:uid="{00000000-0005-0000-0000-0000B7060000}"/>
    <cellStyle name="Comma 3 3 3 2 2" xfId="11536" xr:uid="{00000000-0005-0000-0000-0000B8060000}"/>
    <cellStyle name="Comma 3 3 3 3" xfId="3007" xr:uid="{00000000-0005-0000-0000-0000B9060000}"/>
    <cellStyle name="Comma 3 3 3 3 2" xfId="11596" xr:uid="{00000000-0005-0000-0000-0000BA060000}"/>
    <cellStyle name="Comma 3 3 3 4" xfId="3067" xr:uid="{00000000-0005-0000-0000-0000BB060000}"/>
    <cellStyle name="Comma 3 3 3 4 2" xfId="11656" xr:uid="{00000000-0005-0000-0000-0000BC060000}"/>
    <cellStyle name="Comma 3 3 3 5" xfId="11476" xr:uid="{00000000-0005-0000-0000-0000BD060000}"/>
    <cellStyle name="Comma 3 3 4" xfId="2927" xr:uid="{00000000-0005-0000-0000-0000BE060000}"/>
    <cellStyle name="Comma 3 3 4 2" xfId="11516" xr:uid="{00000000-0005-0000-0000-0000BF060000}"/>
    <cellStyle name="Comma 3 3 5" xfId="2987" xr:uid="{00000000-0005-0000-0000-0000C0060000}"/>
    <cellStyle name="Comma 3 3 5 2" xfId="11576" xr:uid="{00000000-0005-0000-0000-0000C1060000}"/>
    <cellStyle name="Comma 3 3 6" xfId="3047" xr:uid="{00000000-0005-0000-0000-0000C2060000}"/>
    <cellStyle name="Comma 3 3 6 2" xfId="11636" xr:uid="{00000000-0005-0000-0000-0000C3060000}"/>
    <cellStyle name="Comma 3 3 7" xfId="11456" xr:uid="{00000000-0005-0000-0000-0000C4060000}"/>
    <cellStyle name="Comma 3 4" xfId="2616" xr:uid="{00000000-0005-0000-0000-0000FC060000}"/>
    <cellStyle name="Comma 3 4 2" xfId="2957" xr:uid="{00000000-0005-0000-0000-0000C6060000}"/>
    <cellStyle name="Comma 3 4 2 2" xfId="11546" xr:uid="{00000000-0005-0000-0000-0000C7060000}"/>
    <cellStyle name="Comma 3 4 3" xfId="3017" xr:uid="{00000000-0005-0000-0000-0000C8060000}"/>
    <cellStyle name="Comma 3 4 3 2" xfId="11606" xr:uid="{00000000-0005-0000-0000-0000C9060000}"/>
    <cellStyle name="Comma 3 4 4" xfId="3077" xr:uid="{00000000-0005-0000-0000-0000CA060000}"/>
    <cellStyle name="Comma 3 4 4 2" xfId="11666" xr:uid="{00000000-0005-0000-0000-0000CB060000}"/>
    <cellStyle name="Comma 3 4 5" xfId="11486" xr:uid="{00000000-0005-0000-0000-0000CC060000}"/>
    <cellStyle name="Comma 3 5" xfId="2762" xr:uid="{00000000-0005-0000-0000-0000CA000000}"/>
    <cellStyle name="Comma 3 5 2" xfId="2937" xr:uid="{00000000-0005-0000-0000-0000CE060000}"/>
    <cellStyle name="Comma 3 5 2 2" xfId="11526" xr:uid="{00000000-0005-0000-0000-0000CF060000}"/>
    <cellStyle name="Comma 3 5 3" xfId="2997" xr:uid="{00000000-0005-0000-0000-0000D0060000}"/>
    <cellStyle name="Comma 3 5 3 2" xfId="11586" xr:uid="{00000000-0005-0000-0000-0000D1060000}"/>
    <cellStyle name="Comma 3 5 4" xfId="3057" xr:uid="{00000000-0005-0000-0000-0000D2060000}"/>
    <cellStyle name="Comma 3 5 4 2" xfId="11646" xr:uid="{00000000-0005-0000-0000-0000D3060000}"/>
    <cellStyle name="Comma 3 5 4 3" xfId="12270" xr:uid="{00000000-0005-0000-0000-0000D2060000}"/>
    <cellStyle name="Comma 3 5 5" xfId="11466" xr:uid="{00000000-0005-0000-0000-0000D4060000}"/>
    <cellStyle name="Comma 3 5 6" xfId="2880" xr:uid="{00000000-0005-0000-0000-0000CD060000}"/>
    <cellStyle name="Comma 3 6" xfId="2917" xr:uid="{00000000-0005-0000-0000-0000D5060000}"/>
    <cellStyle name="Comma 3 6 2" xfId="11506" xr:uid="{00000000-0005-0000-0000-0000D6060000}"/>
    <cellStyle name="Comma 3 7" xfId="2977" xr:uid="{00000000-0005-0000-0000-0000D7060000}"/>
    <cellStyle name="Comma 3 7 2" xfId="11566" xr:uid="{00000000-0005-0000-0000-0000D8060000}"/>
    <cellStyle name="Comma 3 8" xfId="3037" xr:uid="{00000000-0005-0000-0000-0000D9060000}"/>
    <cellStyle name="Comma 3 8 2" xfId="11626" xr:uid="{00000000-0005-0000-0000-0000DA060000}"/>
    <cellStyle name="Comma 3 8 3" xfId="12268" xr:uid="{00000000-0005-0000-0000-0000D9060000}"/>
    <cellStyle name="Comma 3 9" xfId="11446" xr:uid="{00000000-0005-0000-0000-0000DB060000}"/>
    <cellStyle name="Comma 4" xfId="55" xr:uid="{00000000-0005-0000-0000-0000FD060000}"/>
    <cellStyle name="Comma 4 2" xfId="1779" xr:uid="{00000000-0005-0000-0000-0000FE060000}"/>
    <cellStyle name="Comma 4 2 10" xfId="2866" xr:uid="{00000000-0005-0000-0000-0000DD060000}"/>
    <cellStyle name="Comma 4 2 2" xfId="1780" xr:uid="{00000000-0005-0000-0000-0000FF060000}"/>
    <cellStyle name="Comma 4 2 2 2" xfId="2617" xr:uid="{00000000-0005-0000-0000-000000070000}"/>
    <cellStyle name="Comma 4 2 2 2 2" xfId="2911" xr:uid="{00000000-0005-0000-0000-0000E0060000}"/>
    <cellStyle name="Comma 4 2 2 2 2 2" xfId="2971" xr:uid="{00000000-0005-0000-0000-0000E1060000}"/>
    <cellStyle name="Comma 4 2 2 2 2 2 2" xfId="11560" xr:uid="{00000000-0005-0000-0000-0000E2060000}"/>
    <cellStyle name="Comma 4 2 2 2 2 3" xfId="3031" xr:uid="{00000000-0005-0000-0000-0000E3060000}"/>
    <cellStyle name="Comma 4 2 2 2 2 3 2" xfId="11620" xr:uid="{00000000-0005-0000-0000-0000E4060000}"/>
    <cellStyle name="Comma 4 2 2 2 2 4" xfId="3091" xr:uid="{00000000-0005-0000-0000-0000E5060000}"/>
    <cellStyle name="Comma 4 2 2 2 2 4 2" xfId="11680" xr:uid="{00000000-0005-0000-0000-0000E6060000}"/>
    <cellStyle name="Comma 4 2 2 2 2 5" xfId="11500" xr:uid="{00000000-0005-0000-0000-0000E7060000}"/>
    <cellStyle name="Comma 4 2 2 2 3" xfId="2893" xr:uid="{00000000-0005-0000-0000-0000E8060000}"/>
    <cellStyle name="Comma 4 2 2 2 3 2" xfId="2951" xr:uid="{00000000-0005-0000-0000-0000E9060000}"/>
    <cellStyle name="Comma 4 2 2 2 3 2 2" xfId="11540" xr:uid="{00000000-0005-0000-0000-0000EA060000}"/>
    <cellStyle name="Comma 4 2 2 2 3 3" xfId="3011" xr:uid="{00000000-0005-0000-0000-0000EB060000}"/>
    <cellStyle name="Comma 4 2 2 2 3 3 2" xfId="11600" xr:uid="{00000000-0005-0000-0000-0000EC060000}"/>
    <cellStyle name="Comma 4 2 2 2 3 4" xfId="3071" xr:uid="{00000000-0005-0000-0000-0000ED060000}"/>
    <cellStyle name="Comma 4 2 2 2 3 4 2" xfId="11660" xr:uid="{00000000-0005-0000-0000-0000EE060000}"/>
    <cellStyle name="Comma 4 2 2 2 3 5" xfId="11480" xr:uid="{00000000-0005-0000-0000-0000EF060000}"/>
    <cellStyle name="Comma 4 2 2 2 4" xfId="2931" xr:uid="{00000000-0005-0000-0000-0000F0060000}"/>
    <cellStyle name="Comma 4 2 2 2 4 2" xfId="11520" xr:uid="{00000000-0005-0000-0000-0000F1060000}"/>
    <cellStyle name="Comma 4 2 2 2 5" xfId="2991" xr:uid="{00000000-0005-0000-0000-0000F2060000}"/>
    <cellStyle name="Comma 4 2 2 2 5 2" xfId="11580" xr:uid="{00000000-0005-0000-0000-0000F3060000}"/>
    <cellStyle name="Comma 4 2 2 2 6" xfId="3051" xr:uid="{00000000-0005-0000-0000-0000F4060000}"/>
    <cellStyle name="Comma 4 2 2 2 6 2" xfId="11640" xr:uid="{00000000-0005-0000-0000-0000F5060000}"/>
    <cellStyle name="Comma 4 2 2 2 7" xfId="11460" xr:uid="{00000000-0005-0000-0000-0000F6060000}"/>
    <cellStyle name="Comma 4 2 2 3" xfId="2901" xr:uid="{00000000-0005-0000-0000-0000F7060000}"/>
    <cellStyle name="Comma 4 2 2 3 2" xfId="2961" xr:uid="{00000000-0005-0000-0000-0000F8060000}"/>
    <cellStyle name="Comma 4 2 2 3 2 2" xfId="11550" xr:uid="{00000000-0005-0000-0000-0000F9060000}"/>
    <cellStyle name="Comma 4 2 2 3 3" xfId="3021" xr:uid="{00000000-0005-0000-0000-0000FA060000}"/>
    <cellStyle name="Comma 4 2 2 3 3 2" xfId="11610" xr:uid="{00000000-0005-0000-0000-0000FB060000}"/>
    <cellStyle name="Comma 4 2 2 3 4" xfId="3081" xr:uid="{00000000-0005-0000-0000-0000FC060000}"/>
    <cellStyle name="Comma 4 2 2 3 4 2" xfId="11670" xr:uid="{00000000-0005-0000-0000-0000FD060000}"/>
    <cellStyle name="Comma 4 2 2 3 5" xfId="11490" xr:uid="{00000000-0005-0000-0000-0000FE060000}"/>
    <cellStyle name="Comma 4 2 2 4" xfId="2883" xr:uid="{00000000-0005-0000-0000-0000FF060000}"/>
    <cellStyle name="Comma 4 2 2 4 2" xfId="2941" xr:uid="{00000000-0005-0000-0000-000000070000}"/>
    <cellStyle name="Comma 4 2 2 4 2 2" xfId="11530" xr:uid="{00000000-0005-0000-0000-000001070000}"/>
    <cellStyle name="Comma 4 2 2 4 3" xfId="3001" xr:uid="{00000000-0005-0000-0000-000002070000}"/>
    <cellStyle name="Comma 4 2 2 4 3 2" xfId="11590" xr:uid="{00000000-0005-0000-0000-000003070000}"/>
    <cellStyle name="Comma 4 2 2 4 4" xfId="3061" xr:uid="{00000000-0005-0000-0000-000004070000}"/>
    <cellStyle name="Comma 4 2 2 4 4 2" xfId="11650" xr:uid="{00000000-0005-0000-0000-000005070000}"/>
    <cellStyle name="Comma 4 2 2 4 5" xfId="11470" xr:uid="{00000000-0005-0000-0000-000006070000}"/>
    <cellStyle name="Comma 4 2 2 5" xfId="2921" xr:uid="{00000000-0005-0000-0000-000007070000}"/>
    <cellStyle name="Comma 4 2 2 5 2" xfId="11510" xr:uid="{00000000-0005-0000-0000-000008070000}"/>
    <cellStyle name="Comma 4 2 2 6" xfId="2981" xr:uid="{00000000-0005-0000-0000-000009070000}"/>
    <cellStyle name="Comma 4 2 2 6 2" xfId="11570" xr:uid="{00000000-0005-0000-0000-00000A070000}"/>
    <cellStyle name="Comma 4 2 2 7" xfId="3041" xr:uid="{00000000-0005-0000-0000-00000B070000}"/>
    <cellStyle name="Comma 4 2 2 7 2" xfId="11630" xr:uid="{00000000-0005-0000-0000-00000C070000}"/>
    <cellStyle name="Comma 4 2 2 8" xfId="11450" xr:uid="{00000000-0005-0000-0000-00000D070000}"/>
    <cellStyle name="Comma 4 2 3" xfId="2618" xr:uid="{00000000-0005-0000-0000-000001070000}"/>
    <cellStyle name="Comma 4 2 3 2" xfId="2910" xr:uid="{00000000-0005-0000-0000-00000F070000}"/>
    <cellStyle name="Comma 4 2 3 2 2" xfId="2970" xr:uid="{00000000-0005-0000-0000-000010070000}"/>
    <cellStyle name="Comma 4 2 3 2 2 2" xfId="11559" xr:uid="{00000000-0005-0000-0000-000011070000}"/>
    <cellStyle name="Comma 4 2 3 2 3" xfId="3030" xr:uid="{00000000-0005-0000-0000-000012070000}"/>
    <cellStyle name="Comma 4 2 3 2 3 2" xfId="11619" xr:uid="{00000000-0005-0000-0000-000013070000}"/>
    <cellStyle name="Comma 4 2 3 2 4" xfId="3090" xr:uid="{00000000-0005-0000-0000-000014070000}"/>
    <cellStyle name="Comma 4 2 3 2 4 2" xfId="11679" xr:uid="{00000000-0005-0000-0000-000015070000}"/>
    <cellStyle name="Comma 4 2 3 2 5" xfId="11499" xr:uid="{00000000-0005-0000-0000-000016070000}"/>
    <cellStyle name="Comma 4 2 3 3" xfId="2892" xr:uid="{00000000-0005-0000-0000-000017070000}"/>
    <cellStyle name="Comma 4 2 3 3 2" xfId="2950" xr:uid="{00000000-0005-0000-0000-000018070000}"/>
    <cellStyle name="Comma 4 2 3 3 2 2" xfId="11539" xr:uid="{00000000-0005-0000-0000-000019070000}"/>
    <cellStyle name="Comma 4 2 3 3 3" xfId="3010" xr:uid="{00000000-0005-0000-0000-00001A070000}"/>
    <cellStyle name="Comma 4 2 3 3 3 2" xfId="11599" xr:uid="{00000000-0005-0000-0000-00001B070000}"/>
    <cellStyle name="Comma 4 2 3 3 4" xfId="3070" xr:uid="{00000000-0005-0000-0000-00001C070000}"/>
    <cellStyle name="Comma 4 2 3 3 4 2" xfId="11659" xr:uid="{00000000-0005-0000-0000-00001D070000}"/>
    <cellStyle name="Comma 4 2 3 3 5" xfId="11479" xr:uid="{00000000-0005-0000-0000-00001E070000}"/>
    <cellStyle name="Comma 4 2 3 4" xfId="2930" xr:uid="{00000000-0005-0000-0000-00001F070000}"/>
    <cellStyle name="Comma 4 2 3 4 2" xfId="11519" xr:uid="{00000000-0005-0000-0000-000020070000}"/>
    <cellStyle name="Comma 4 2 3 5" xfId="2990" xr:uid="{00000000-0005-0000-0000-000021070000}"/>
    <cellStyle name="Comma 4 2 3 5 2" xfId="11579" xr:uid="{00000000-0005-0000-0000-000022070000}"/>
    <cellStyle name="Comma 4 2 3 6" xfId="3050" xr:uid="{00000000-0005-0000-0000-000023070000}"/>
    <cellStyle name="Comma 4 2 3 6 2" xfId="11639" xr:uid="{00000000-0005-0000-0000-000024070000}"/>
    <cellStyle name="Comma 4 2 3 7" xfId="11459" xr:uid="{00000000-0005-0000-0000-000025070000}"/>
    <cellStyle name="Comma 4 2 3 8" xfId="2874" xr:uid="{00000000-0005-0000-0000-00000E070000}"/>
    <cellStyle name="Comma 4 2 4" xfId="2619" xr:uid="{00000000-0005-0000-0000-000002070000}"/>
    <cellStyle name="Comma 4 2 4 2" xfId="2960" xr:uid="{00000000-0005-0000-0000-000027070000}"/>
    <cellStyle name="Comma 4 2 4 2 2" xfId="11549" xr:uid="{00000000-0005-0000-0000-000028070000}"/>
    <cellStyle name="Comma 4 2 4 2 3" xfId="12261" xr:uid="{00000000-0005-0000-0000-000027070000}"/>
    <cellStyle name="Comma 4 2 4 2 4" xfId="12047" xr:uid="{00000000-0005-0000-0000-000097080000}"/>
    <cellStyle name="Comma 4 2 4 3" xfId="3020" xr:uid="{00000000-0005-0000-0000-000029070000}"/>
    <cellStyle name="Comma 4 2 4 3 2" xfId="11609" xr:uid="{00000000-0005-0000-0000-00002A070000}"/>
    <cellStyle name="Comma 4 2 4 4" xfId="3080" xr:uid="{00000000-0005-0000-0000-00002B070000}"/>
    <cellStyle name="Comma 4 2 4 4 2" xfId="11669" xr:uid="{00000000-0005-0000-0000-00002C070000}"/>
    <cellStyle name="Comma 4 2 4 5" xfId="11489" xr:uid="{00000000-0005-0000-0000-00002D070000}"/>
    <cellStyle name="Comma 4 2 4 6" xfId="2900" xr:uid="{00000000-0005-0000-0000-000026070000}"/>
    <cellStyle name="Comma 4 2 5" xfId="2882" xr:uid="{00000000-0005-0000-0000-00002E070000}"/>
    <cellStyle name="Comma 4 2 5 2" xfId="2940" xr:uid="{00000000-0005-0000-0000-00002F070000}"/>
    <cellStyle name="Comma 4 2 5 2 2" xfId="11529" xr:uid="{00000000-0005-0000-0000-000030070000}"/>
    <cellStyle name="Comma 4 2 5 3" xfId="3000" xr:uid="{00000000-0005-0000-0000-000031070000}"/>
    <cellStyle name="Comma 4 2 5 3 2" xfId="11589" xr:uid="{00000000-0005-0000-0000-000032070000}"/>
    <cellStyle name="Comma 4 2 5 4" xfId="3060" xr:uid="{00000000-0005-0000-0000-000033070000}"/>
    <cellStyle name="Comma 4 2 5 4 2" xfId="11649" xr:uid="{00000000-0005-0000-0000-000034070000}"/>
    <cellStyle name="Comma 4 2 5 5" xfId="11469" xr:uid="{00000000-0005-0000-0000-000035070000}"/>
    <cellStyle name="Comma 4 2 5 6" xfId="12250" xr:uid="{00000000-0005-0000-0000-00002E070000}"/>
    <cellStyle name="Comma 4 2 5 7" xfId="12048" xr:uid="{00000000-0005-0000-0000-000098080000}"/>
    <cellStyle name="Comma 4 2 6" xfId="2920" xr:uid="{00000000-0005-0000-0000-000036070000}"/>
    <cellStyle name="Comma 4 2 6 2" xfId="11509" xr:uid="{00000000-0005-0000-0000-000037070000}"/>
    <cellStyle name="Comma 4 2 7" xfId="2980" xr:uid="{00000000-0005-0000-0000-000038070000}"/>
    <cellStyle name="Comma 4 2 7 2" xfId="11569" xr:uid="{00000000-0005-0000-0000-000039070000}"/>
    <cellStyle name="Comma 4 2 8" xfId="3040" xr:uid="{00000000-0005-0000-0000-00003A070000}"/>
    <cellStyle name="Comma 4 2 8 2" xfId="11629" xr:uid="{00000000-0005-0000-0000-00003B070000}"/>
    <cellStyle name="Comma 4 2 9" xfId="11449" xr:uid="{00000000-0005-0000-0000-00003C070000}"/>
    <cellStyle name="Comma 4 3" xfId="1781" xr:uid="{00000000-0005-0000-0000-000003070000}"/>
    <cellStyle name="Comma 4 3 10" xfId="12049" xr:uid="{00000000-0005-0000-0000-000099080000}"/>
    <cellStyle name="Comma 4 3 2" xfId="2621" xr:uid="{00000000-0005-0000-0000-000004070000}"/>
    <cellStyle name="Comma 4 3 2 2" xfId="2969" xr:uid="{00000000-0005-0000-0000-00003F070000}"/>
    <cellStyle name="Comma 4 3 2 2 2" xfId="11558" xr:uid="{00000000-0005-0000-0000-000040070000}"/>
    <cellStyle name="Comma 4 3 2 3" xfId="3029" xr:uid="{00000000-0005-0000-0000-000041070000}"/>
    <cellStyle name="Comma 4 3 2 3 2" xfId="11618" xr:uid="{00000000-0005-0000-0000-000042070000}"/>
    <cellStyle name="Comma 4 3 2 4" xfId="3089" xr:uid="{00000000-0005-0000-0000-000043070000}"/>
    <cellStyle name="Comma 4 3 2 4 2" xfId="11678" xr:uid="{00000000-0005-0000-0000-000044070000}"/>
    <cellStyle name="Comma 4 3 2 5" xfId="11498" xr:uid="{00000000-0005-0000-0000-000045070000}"/>
    <cellStyle name="Comma 4 3 2 6" xfId="2909" xr:uid="{00000000-0005-0000-0000-00003E070000}"/>
    <cellStyle name="Comma 4 3 3" xfId="2622" xr:uid="{00000000-0005-0000-0000-000005070000}"/>
    <cellStyle name="Comma 4 3 3 2" xfId="2949" xr:uid="{00000000-0005-0000-0000-000047070000}"/>
    <cellStyle name="Comma 4 3 3 2 2" xfId="11538" xr:uid="{00000000-0005-0000-0000-000048070000}"/>
    <cellStyle name="Comma 4 3 3 2 3" xfId="12258" xr:uid="{00000000-0005-0000-0000-000047070000}"/>
    <cellStyle name="Comma 4 3 3 2 4" xfId="12051" xr:uid="{00000000-0005-0000-0000-00009C080000}"/>
    <cellStyle name="Comma 4 3 3 3" xfId="3009" xr:uid="{00000000-0005-0000-0000-000049070000}"/>
    <cellStyle name="Comma 4 3 3 3 2" xfId="11598" xr:uid="{00000000-0005-0000-0000-00004A070000}"/>
    <cellStyle name="Comma 4 3 3 4" xfId="3069" xr:uid="{00000000-0005-0000-0000-00004B070000}"/>
    <cellStyle name="Comma 4 3 3 4 2" xfId="11658" xr:uid="{00000000-0005-0000-0000-00004C070000}"/>
    <cellStyle name="Comma 4 3 3 5" xfId="11478" xr:uid="{00000000-0005-0000-0000-00004D070000}"/>
    <cellStyle name="Comma 4 3 3 6" xfId="2891" xr:uid="{00000000-0005-0000-0000-000046070000}"/>
    <cellStyle name="Comma 4 3 3 7" xfId="12050" xr:uid="{00000000-0005-0000-0000-00009B080000}"/>
    <cellStyle name="Comma 4 3 4" xfId="2620" xr:uid="{00000000-0005-0000-0000-000006070000}"/>
    <cellStyle name="Comma 4 3 4 2" xfId="11518" xr:uid="{00000000-0005-0000-0000-00004F070000}"/>
    <cellStyle name="Comma 4 3 4 2 2" xfId="12284" xr:uid="{00000000-0005-0000-0000-00004F070000}"/>
    <cellStyle name="Comma 4 3 4 2 3" xfId="12053" xr:uid="{00000000-0005-0000-0000-00009E080000}"/>
    <cellStyle name="Comma 4 3 4 3" xfId="2929" xr:uid="{00000000-0005-0000-0000-00004E070000}"/>
    <cellStyle name="Comma 4 3 4 4" xfId="12052" xr:uid="{00000000-0005-0000-0000-00009D080000}"/>
    <cellStyle name="Comma 4 3 5" xfId="2795" xr:uid="{00000000-0005-0000-0000-000003070000}"/>
    <cellStyle name="Comma 4 3 5 2" xfId="11578" xr:uid="{00000000-0005-0000-0000-000051070000}"/>
    <cellStyle name="Comma 4 3 5 2 2" xfId="12056" xr:uid="{00000000-0005-0000-0000-0000A1080000}"/>
    <cellStyle name="Comma 4 3 5 2 3" xfId="12286" xr:uid="{00000000-0005-0000-0000-000051070000}"/>
    <cellStyle name="Comma 4 3 5 2 4" xfId="12055" xr:uid="{00000000-0005-0000-0000-0000A0080000}"/>
    <cellStyle name="Comma 4 3 5 3" xfId="2989" xr:uid="{00000000-0005-0000-0000-000050070000}"/>
    <cellStyle name="Comma 4 3 5 3 2" xfId="12057" xr:uid="{00000000-0005-0000-0000-0000A2080000}"/>
    <cellStyle name="Comma 4 3 5 4" xfId="12058" xr:uid="{00000000-0005-0000-0000-0000A3080000}"/>
    <cellStyle name="Comma 4 3 5 5" xfId="12265" xr:uid="{00000000-0005-0000-0000-000050070000}"/>
    <cellStyle name="Comma 4 3 5 6" xfId="12054" xr:uid="{00000000-0005-0000-0000-00009F080000}"/>
    <cellStyle name="Comma 4 3 6" xfId="3049" xr:uid="{00000000-0005-0000-0000-000052070000}"/>
    <cellStyle name="Comma 4 3 6 2" xfId="11638" xr:uid="{00000000-0005-0000-0000-000053070000}"/>
    <cellStyle name="Comma 4 3 6 2 2" xfId="12288" xr:uid="{00000000-0005-0000-0000-000053070000}"/>
    <cellStyle name="Comma 4 3 6 2 3" xfId="12060" xr:uid="{00000000-0005-0000-0000-0000A5080000}"/>
    <cellStyle name="Comma 4 3 6 3" xfId="12269" xr:uid="{00000000-0005-0000-0000-000052070000}"/>
    <cellStyle name="Comma 4 3 6 4" xfId="12059" xr:uid="{00000000-0005-0000-0000-0000A4080000}"/>
    <cellStyle name="Comma 4 3 7" xfId="11458" xr:uid="{00000000-0005-0000-0000-000054070000}"/>
    <cellStyle name="Comma 4 3 7 2" xfId="12062" xr:uid="{00000000-0005-0000-0000-0000A7080000}"/>
    <cellStyle name="Comma 4 3 7 3" xfId="12282" xr:uid="{00000000-0005-0000-0000-000054070000}"/>
    <cellStyle name="Comma 4 3 7 4" xfId="12061" xr:uid="{00000000-0005-0000-0000-0000A6080000}"/>
    <cellStyle name="Comma 4 3 8" xfId="2873" xr:uid="{00000000-0005-0000-0000-00003D070000}"/>
    <cellStyle name="Comma 4 3 8 2" xfId="12063" xr:uid="{00000000-0005-0000-0000-0000A8080000}"/>
    <cellStyle name="Comma 4 3 9" xfId="12246" xr:uid="{00000000-0005-0000-0000-00003D070000}"/>
    <cellStyle name="Comma 4 4" xfId="1778" xr:uid="{00000000-0005-0000-0000-000007070000}"/>
    <cellStyle name="Comma 4 4 2" xfId="2959" xr:uid="{00000000-0005-0000-0000-000056070000}"/>
    <cellStyle name="Comma 4 4 2 2" xfId="11548" xr:uid="{00000000-0005-0000-0000-000057070000}"/>
    <cellStyle name="Comma 4 4 3" xfId="3019" xr:uid="{00000000-0005-0000-0000-000058070000}"/>
    <cellStyle name="Comma 4 4 3 2" xfId="11608" xr:uid="{00000000-0005-0000-0000-000059070000}"/>
    <cellStyle name="Comma 4 4 4" xfId="3079" xr:uid="{00000000-0005-0000-0000-00005A070000}"/>
    <cellStyle name="Comma 4 4 4 2" xfId="11668" xr:uid="{00000000-0005-0000-0000-00005B070000}"/>
    <cellStyle name="Comma 4 4 5" xfId="11488" xr:uid="{00000000-0005-0000-0000-00005C070000}"/>
    <cellStyle name="Comma 4 5" xfId="2623" xr:uid="{00000000-0005-0000-0000-000008070000}"/>
    <cellStyle name="Comma 4 5 2" xfId="2939" xr:uid="{00000000-0005-0000-0000-00005E070000}"/>
    <cellStyle name="Comma 4 5 2 2" xfId="11528" xr:uid="{00000000-0005-0000-0000-00005F070000}"/>
    <cellStyle name="Comma 4 5 3" xfId="2999" xr:uid="{00000000-0005-0000-0000-000060070000}"/>
    <cellStyle name="Comma 4 5 3 2" xfId="11588" xr:uid="{00000000-0005-0000-0000-000061070000}"/>
    <cellStyle name="Comma 4 5 4" xfId="3059" xr:uid="{00000000-0005-0000-0000-000062070000}"/>
    <cellStyle name="Comma 4 5 4 2" xfId="11648" xr:uid="{00000000-0005-0000-0000-000063070000}"/>
    <cellStyle name="Comma 4 5 5" xfId="11468" xr:uid="{00000000-0005-0000-0000-000064070000}"/>
    <cellStyle name="Comma 4 6" xfId="2745" xr:uid="{00000000-0005-0000-0000-0000CB000000}"/>
    <cellStyle name="Comma 4 6 2" xfId="11508" xr:uid="{00000000-0005-0000-0000-000066070000}"/>
    <cellStyle name="Comma 4 6 2 2" xfId="12064" xr:uid="{00000000-0005-0000-0000-0000AD080000}"/>
    <cellStyle name="Comma 4 6 3" xfId="2919" xr:uid="{00000000-0005-0000-0000-000065070000}"/>
    <cellStyle name="Comma 4 6 4" xfId="12065" xr:uid="{00000000-0005-0000-0000-0000AF080000}"/>
    <cellStyle name="Comma 4 7" xfId="2979" xr:uid="{00000000-0005-0000-0000-000067070000}"/>
    <cellStyle name="Comma 4 7 2" xfId="11568" xr:uid="{00000000-0005-0000-0000-000068070000}"/>
    <cellStyle name="Comma 4 8" xfId="3039" xr:uid="{00000000-0005-0000-0000-000069070000}"/>
    <cellStyle name="Comma 4 8 2" xfId="11628" xr:uid="{00000000-0005-0000-0000-00006A070000}"/>
    <cellStyle name="Comma 4 9" xfId="11448" xr:uid="{00000000-0005-0000-0000-00006B070000}"/>
    <cellStyle name="Comma 4 9 2" xfId="12281" xr:uid="{00000000-0005-0000-0000-00006B070000}"/>
    <cellStyle name="Comma 5" xfId="1782" xr:uid="{00000000-0005-0000-0000-000009070000}"/>
    <cellStyle name="Comma 5 2" xfId="2624" xr:uid="{00000000-0005-0000-0000-00000A070000}"/>
    <cellStyle name="Comma 5 2 2" xfId="2912" xr:uid="{00000000-0005-0000-0000-00006E070000}"/>
    <cellStyle name="Comma 5 2 2 2" xfId="2972" xr:uid="{00000000-0005-0000-0000-00006F070000}"/>
    <cellStyle name="Comma 5 2 2 2 2" xfId="11561" xr:uid="{00000000-0005-0000-0000-000070070000}"/>
    <cellStyle name="Comma 5 2 2 3" xfId="3032" xr:uid="{00000000-0005-0000-0000-000071070000}"/>
    <cellStyle name="Comma 5 2 2 3 2" xfId="11621" xr:uid="{00000000-0005-0000-0000-000072070000}"/>
    <cellStyle name="Comma 5 2 2 4" xfId="3092" xr:uid="{00000000-0005-0000-0000-000073070000}"/>
    <cellStyle name="Comma 5 2 2 4 2" xfId="11681" xr:uid="{00000000-0005-0000-0000-000074070000}"/>
    <cellStyle name="Comma 5 2 2 5" xfId="11501" xr:uid="{00000000-0005-0000-0000-000075070000}"/>
    <cellStyle name="Comma 5 2 3" xfId="2894" xr:uid="{00000000-0005-0000-0000-000076070000}"/>
    <cellStyle name="Comma 5 2 3 2" xfId="2952" xr:uid="{00000000-0005-0000-0000-000077070000}"/>
    <cellStyle name="Comma 5 2 3 2 2" xfId="11541" xr:uid="{00000000-0005-0000-0000-000078070000}"/>
    <cellStyle name="Comma 5 2 3 3" xfId="3012" xr:uid="{00000000-0005-0000-0000-000079070000}"/>
    <cellStyle name="Comma 5 2 3 3 2" xfId="11601" xr:uid="{00000000-0005-0000-0000-00007A070000}"/>
    <cellStyle name="Comma 5 2 3 4" xfId="3072" xr:uid="{00000000-0005-0000-0000-00007B070000}"/>
    <cellStyle name="Comma 5 2 3 4 2" xfId="11661" xr:uid="{00000000-0005-0000-0000-00007C070000}"/>
    <cellStyle name="Comma 5 2 3 5" xfId="11481" xr:uid="{00000000-0005-0000-0000-00007D070000}"/>
    <cellStyle name="Comma 5 2 4" xfId="2932" xr:uid="{00000000-0005-0000-0000-00007E070000}"/>
    <cellStyle name="Comma 5 2 4 2" xfId="11521" xr:uid="{00000000-0005-0000-0000-00007F070000}"/>
    <cellStyle name="Comma 5 2 5" xfId="2992" xr:uid="{00000000-0005-0000-0000-000080070000}"/>
    <cellStyle name="Comma 5 2 5 2" xfId="11581" xr:uid="{00000000-0005-0000-0000-000081070000}"/>
    <cellStyle name="Comma 5 2 6" xfId="3052" xr:uid="{00000000-0005-0000-0000-000082070000}"/>
    <cellStyle name="Comma 5 2 6 2" xfId="11641" xr:uid="{00000000-0005-0000-0000-000083070000}"/>
    <cellStyle name="Comma 5 2 7" xfId="11461" xr:uid="{00000000-0005-0000-0000-000084070000}"/>
    <cellStyle name="Comma 5 2 8" xfId="2875" xr:uid="{00000000-0005-0000-0000-00006D070000}"/>
    <cellStyle name="Comma 5 3" xfId="2625" xr:uid="{00000000-0005-0000-0000-00000B070000}"/>
    <cellStyle name="Comma 5 3 2" xfId="2962" xr:uid="{00000000-0005-0000-0000-000086070000}"/>
    <cellStyle name="Comma 5 3 2 2" xfId="11551" xr:uid="{00000000-0005-0000-0000-000087070000}"/>
    <cellStyle name="Comma 5 3 2 3" xfId="12262" xr:uid="{00000000-0005-0000-0000-000086070000}"/>
    <cellStyle name="Comma 5 3 2 4" xfId="12066" xr:uid="{00000000-0005-0000-0000-0000B8080000}"/>
    <cellStyle name="Comma 5 3 3" xfId="3022" xr:uid="{00000000-0005-0000-0000-000088070000}"/>
    <cellStyle name="Comma 5 3 3 2" xfId="11611" xr:uid="{00000000-0005-0000-0000-000089070000}"/>
    <cellStyle name="Comma 5 3 4" xfId="3082" xr:uid="{00000000-0005-0000-0000-00008A070000}"/>
    <cellStyle name="Comma 5 3 4 2" xfId="11671" xr:uid="{00000000-0005-0000-0000-00008B070000}"/>
    <cellStyle name="Comma 5 3 5" xfId="11491" xr:uid="{00000000-0005-0000-0000-00008C070000}"/>
    <cellStyle name="Comma 5 3 6" xfId="2902" xr:uid="{00000000-0005-0000-0000-000085070000}"/>
    <cellStyle name="Comma 5 4" xfId="2884" xr:uid="{00000000-0005-0000-0000-00008D070000}"/>
    <cellStyle name="Comma 5 4 2" xfId="2942" xr:uid="{00000000-0005-0000-0000-00008E070000}"/>
    <cellStyle name="Comma 5 4 2 2" xfId="11531" xr:uid="{00000000-0005-0000-0000-00008F070000}"/>
    <cellStyle name="Comma 5 4 3" xfId="3002" xr:uid="{00000000-0005-0000-0000-000090070000}"/>
    <cellStyle name="Comma 5 4 3 2" xfId="11591" xr:uid="{00000000-0005-0000-0000-000091070000}"/>
    <cellStyle name="Comma 5 4 4" xfId="3062" xr:uid="{00000000-0005-0000-0000-000092070000}"/>
    <cellStyle name="Comma 5 4 4 2" xfId="11651" xr:uid="{00000000-0005-0000-0000-000093070000}"/>
    <cellStyle name="Comma 5 4 5" xfId="11471" xr:uid="{00000000-0005-0000-0000-000094070000}"/>
    <cellStyle name="Comma 5 4 6" xfId="12251" xr:uid="{00000000-0005-0000-0000-00008D070000}"/>
    <cellStyle name="Comma 5 4 7" xfId="12067" xr:uid="{00000000-0005-0000-0000-0000B9080000}"/>
    <cellStyle name="Comma 5 5" xfId="2922" xr:uid="{00000000-0005-0000-0000-000095070000}"/>
    <cellStyle name="Comma 5 5 2" xfId="11511" xr:uid="{00000000-0005-0000-0000-000096070000}"/>
    <cellStyle name="Comma 5 6" xfId="2982" xr:uid="{00000000-0005-0000-0000-000097070000}"/>
    <cellStyle name="Comma 5 6 2" xfId="11571" xr:uid="{00000000-0005-0000-0000-000098070000}"/>
    <cellStyle name="Comma 5 7" xfId="3042" xr:uid="{00000000-0005-0000-0000-000099070000}"/>
    <cellStyle name="Comma 5 7 2" xfId="11631" xr:uid="{00000000-0005-0000-0000-00009A070000}"/>
    <cellStyle name="Comma 5 8" xfId="11451" xr:uid="{00000000-0005-0000-0000-00009B070000}"/>
    <cellStyle name="Comma 5 9" xfId="2867" xr:uid="{00000000-0005-0000-0000-00006C070000}"/>
    <cellStyle name="Comma 6" xfId="2626" xr:uid="{00000000-0005-0000-0000-00000C070000}"/>
    <cellStyle name="Comma 7" xfId="12068" xr:uid="{00000000-0005-0000-0000-0000BB080000}"/>
    <cellStyle name="Comma 7 2" xfId="12069" xr:uid="{00000000-0005-0000-0000-0000BC080000}"/>
    <cellStyle name="Explanatory Text 2" xfId="269" xr:uid="{00000000-0005-0000-0000-00000D070000}"/>
    <cellStyle name="Explanatory Text 2 10" xfId="1783" xr:uid="{00000000-0005-0000-0000-00000E070000}"/>
    <cellStyle name="Explanatory Text 2 11" xfId="1784" xr:uid="{00000000-0005-0000-0000-00000F070000}"/>
    <cellStyle name="Explanatory Text 2 12" xfId="1785" xr:uid="{00000000-0005-0000-0000-000010070000}"/>
    <cellStyle name="Explanatory Text 2 13" xfId="1786" xr:uid="{00000000-0005-0000-0000-000011070000}"/>
    <cellStyle name="Explanatory Text 2 14" xfId="1787" xr:uid="{00000000-0005-0000-0000-000012070000}"/>
    <cellStyle name="Explanatory Text 2 15" xfId="1788" xr:uid="{00000000-0005-0000-0000-000013070000}"/>
    <cellStyle name="Explanatory Text 2 16" xfId="1789" xr:uid="{00000000-0005-0000-0000-000014070000}"/>
    <cellStyle name="Explanatory Text 2 17" xfId="1790" xr:uid="{00000000-0005-0000-0000-000015070000}"/>
    <cellStyle name="Explanatory Text 2 2" xfId="1791" xr:uid="{00000000-0005-0000-0000-000016070000}"/>
    <cellStyle name="Explanatory Text 2 3" xfId="1792" xr:uid="{00000000-0005-0000-0000-000017070000}"/>
    <cellStyle name="Explanatory Text 2 4" xfId="1793" xr:uid="{00000000-0005-0000-0000-000018070000}"/>
    <cellStyle name="Explanatory Text 2 5" xfId="1794" xr:uid="{00000000-0005-0000-0000-000019070000}"/>
    <cellStyle name="Explanatory Text 2 6" xfId="1795" xr:uid="{00000000-0005-0000-0000-00001A070000}"/>
    <cellStyle name="Explanatory Text 2 7" xfId="1796" xr:uid="{00000000-0005-0000-0000-00001B070000}"/>
    <cellStyle name="Explanatory Text 2 8" xfId="1797" xr:uid="{00000000-0005-0000-0000-00001C070000}"/>
    <cellStyle name="Explanatory Text 2 9" xfId="1798" xr:uid="{00000000-0005-0000-0000-00001D070000}"/>
    <cellStyle name="Explanatory Text 3 10" xfId="1799" xr:uid="{00000000-0005-0000-0000-00001E070000}"/>
    <cellStyle name="Explanatory Text 3 11" xfId="1800" xr:uid="{00000000-0005-0000-0000-00001F070000}"/>
    <cellStyle name="Explanatory Text 3 12" xfId="1801" xr:uid="{00000000-0005-0000-0000-000020070000}"/>
    <cellStyle name="Explanatory Text 3 13" xfId="1802" xr:uid="{00000000-0005-0000-0000-000021070000}"/>
    <cellStyle name="Explanatory Text 3 14" xfId="1803" xr:uid="{00000000-0005-0000-0000-000022070000}"/>
    <cellStyle name="Explanatory Text 3 15" xfId="1804" xr:uid="{00000000-0005-0000-0000-000023070000}"/>
    <cellStyle name="Explanatory Text 3 16" xfId="1805" xr:uid="{00000000-0005-0000-0000-000024070000}"/>
    <cellStyle name="Explanatory Text 3 17" xfId="1806" xr:uid="{00000000-0005-0000-0000-000025070000}"/>
    <cellStyle name="Explanatory Text 3 2" xfId="1807" xr:uid="{00000000-0005-0000-0000-000026070000}"/>
    <cellStyle name="Explanatory Text 3 3" xfId="1808" xr:uid="{00000000-0005-0000-0000-000027070000}"/>
    <cellStyle name="Explanatory Text 3 4" xfId="1809" xr:uid="{00000000-0005-0000-0000-000028070000}"/>
    <cellStyle name="Explanatory Text 3 5" xfId="1810" xr:uid="{00000000-0005-0000-0000-000029070000}"/>
    <cellStyle name="Explanatory Text 3 6" xfId="1811" xr:uid="{00000000-0005-0000-0000-00002A070000}"/>
    <cellStyle name="Explanatory Text 3 7" xfId="1812" xr:uid="{00000000-0005-0000-0000-00002B070000}"/>
    <cellStyle name="Explanatory Text 3 8" xfId="1813" xr:uid="{00000000-0005-0000-0000-00002C070000}"/>
    <cellStyle name="Explanatory Text 3 9" xfId="1814" xr:uid="{00000000-0005-0000-0000-00002D070000}"/>
    <cellStyle name="Good 2" xfId="250" xr:uid="{00000000-0005-0000-0000-00002E070000}"/>
    <cellStyle name="Good 2 10" xfId="1815" xr:uid="{00000000-0005-0000-0000-00002F070000}"/>
    <cellStyle name="Good 2 11" xfId="1816" xr:uid="{00000000-0005-0000-0000-000030070000}"/>
    <cellStyle name="Good 2 12" xfId="1817" xr:uid="{00000000-0005-0000-0000-000031070000}"/>
    <cellStyle name="Good 2 13" xfId="1818" xr:uid="{00000000-0005-0000-0000-000032070000}"/>
    <cellStyle name="Good 2 14" xfId="1819" xr:uid="{00000000-0005-0000-0000-000033070000}"/>
    <cellStyle name="Good 2 15" xfId="1820" xr:uid="{00000000-0005-0000-0000-000034070000}"/>
    <cellStyle name="Good 2 16" xfId="1821" xr:uid="{00000000-0005-0000-0000-000035070000}"/>
    <cellStyle name="Good 2 17" xfId="1822" xr:uid="{00000000-0005-0000-0000-000036070000}"/>
    <cellStyle name="Good 2 2" xfId="1823" xr:uid="{00000000-0005-0000-0000-000037070000}"/>
    <cellStyle name="Good 2 3" xfId="1824" xr:uid="{00000000-0005-0000-0000-000038070000}"/>
    <cellStyle name="Good 2 4" xfId="1825" xr:uid="{00000000-0005-0000-0000-000039070000}"/>
    <cellStyle name="Good 2 5" xfId="1826" xr:uid="{00000000-0005-0000-0000-00003A070000}"/>
    <cellStyle name="Good 2 6" xfId="1827" xr:uid="{00000000-0005-0000-0000-00003B070000}"/>
    <cellStyle name="Good 2 7" xfId="1828" xr:uid="{00000000-0005-0000-0000-00003C070000}"/>
    <cellStyle name="Good 2 8" xfId="1829" xr:uid="{00000000-0005-0000-0000-00003D070000}"/>
    <cellStyle name="Good 2 9" xfId="1830" xr:uid="{00000000-0005-0000-0000-00003E070000}"/>
    <cellStyle name="Good 3 10" xfId="1831" xr:uid="{00000000-0005-0000-0000-00003F070000}"/>
    <cellStyle name="Good 3 11" xfId="1832" xr:uid="{00000000-0005-0000-0000-000040070000}"/>
    <cellStyle name="Good 3 12" xfId="1833" xr:uid="{00000000-0005-0000-0000-000041070000}"/>
    <cellStyle name="Good 3 13" xfId="1834" xr:uid="{00000000-0005-0000-0000-000042070000}"/>
    <cellStyle name="Good 3 14" xfId="1835" xr:uid="{00000000-0005-0000-0000-000043070000}"/>
    <cellStyle name="Good 3 15" xfId="1836" xr:uid="{00000000-0005-0000-0000-000044070000}"/>
    <cellStyle name="Good 3 16" xfId="1837" xr:uid="{00000000-0005-0000-0000-000045070000}"/>
    <cellStyle name="Good 3 17" xfId="1838" xr:uid="{00000000-0005-0000-0000-000046070000}"/>
    <cellStyle name="Good 3 2" xfId="1839" xr:uid="{00000000-0005-0000-0000-000047070000}"/>
    <cellStyle name="Good 3 3" xfId="1840" xr:uid="{00000000-0005-0000-0000-000048070000}"/>
    <cellStyle name="Good 3 4" xfId="1841" xr:uid="{00000000-0005-0000-0000-000049070000}"/>
    <cellStyle name="Good 3 5" xfId="1842" xr:uid="{00000000-0005-0000-0000-00004A070000}"/>
    <cellStyle name="Good 3 6" xfId="1843" xr:uid="{00000000-0005-0000-0000-00004B070000}"/>
    <cellStyle name="Good 3 7" xfId="1844" xr:uid="{00000000-0005-0000-0000-00004C070000}"/>
    <cellStyle name="Good 3 8" xfId="1845" xr:uid="{00000000-0005-0000-0000-00004D070000}"/>
    <cellStyle name="Good 3 9" xfId="1846" xr:uid="{00000000-0005-0000-0000-00004E070000}"/>
    <cellStyle name="Heading 1 2" xfId="261" xr:uid="{00000000-0005-0000-0000-00004F070000}"/>
    <cellStyle name="Heading 1 2 10" xfId="1847" xr:uid="{00000000-0005-0000-0000-000050070000}"/>
    <cellStyle name="Heading 1 2 11" xfId="1848" xr:uid="{00000000-0005-0000-0000-000051070000}"/>
    <cellStyle name="Heading 1 2 12" xfId="1849" xr:uid="{00000000-0005-0000-0000-000052070000}"/>
    <cellStyle name="Heading 1 2 13" xfId="1850" xr:uid="{00000000-0005-0000-0000-000053070000}"/>
    <cellStyle name="Heading 1 2 14" xfId="1851" xr:uid="{00000000-0005-0000-0000-000054070000}"/>
    <cellStyle name="Heading 1 2 15" xfId="1852" xr:uid="{00000000-0005-0000-0000-000055070000}"/>
    <cellStyle name="Heading 1 2 16" xfId="1853" xr:uid="{00000000-0005-0000-0000-000056070000}"/>
    <cellStyle name="Heading 1 2 17" xfId="1854" xr:uid="{00000000-0005-0000-0000-000057070000}"/>
    <cellStyle name="Heading 1 2 18" xfId="1855" xr:uid="{00000000-0005-0000-0000-000058070000}"/>
    <cellStyle name="Heading 1 2 2" xfId="1856" xr:uid="{00000000-0005-0000-0000-000059070000}"/>
    <cellStyle name="Heading 1 2 2 2" xfId="1857" xr:uid="{00000000-0005-0000-0000-00005A070000}"/>
    <cellStyle name="Heading 1 2 3" xfId="1858" xr:uid="{00000000-0005-0000-0000-00005B070000}"/>
    <cellStyle name="Heading 1 2 4" xfId="1859" xr:uid="{00000000-0005-0000-0000-00005C070000}"/>
    <cellStyle name="Heading 1 2 5" xfId="1860" xr:uid="{00000000-0005-0000-0000-00005D070000}"/>
    <cellStyle name="Heading 1 2 6" xfId="1861" xr:uid="{00000000-0005-0000-0000-00005E070000}"/>
    <cellStyle name="Heading 1 2 7" xfId="1862" xr:uid="{00000000-0005-0000-0000-00005F070000}"/>
    <cellStyle name="Heading 1 2 8" xfId="1863" xr:uid="{00000000-0005-0000-0000-000060070000}"/>
    <cellStyle name="Heading 1 2 9" xfId="1864" xr:uid="{00000000-0005-0000-0000-000061070000}"/>
    <cellStyle name="Heading 1 3" xfId="1865" xr:uid="{00000000-0005-0000-0000-000062070000}"/>
    <cellStyle name="Heading 1 3 10" xfId="1866" xr:uid="{00000000-0005-0000-0000-000063070000}"/>
    <cellStyle name="Heading 1 3 11" xfId="1867" xr:uid="{00000000-0005-0000-0000-000064070000}"/>
    <cellStyle name="Heading 1 3 12" xfId="1868" xr:uid="{00000000-0005-0000-0000-000065070000}"/>
    <cellStyle name="Heading 1 3 13" xfId="1869" xr:uid="{00000000-0005-0000-0000-000066070000}"/>
    <cellStyle name="Heading 1 3 14" xfId="1870" xr:uid="{00000000-0005-0000-0000-000067070000}"/>
    <cellStyle name="Heading 1 3 15" xfId="1871" xr:uid="{00000000-0005-0000-0000-000068070000}"/>
    <cellStyle name="Heading 1 3 16" xfId="1872" xr:uid="{00000000-0005-0000-0000-000069070000}"/>
    <cellStyle name="Heading 1 3 17" xfId="1873" xr:uid="{00000000-0005-0000-0000-00006A070000}"/>
    <cellStyle name="Heading 1 3 2" xfId="1874" xr:uid="{00000000-0005-0000-0000-00006B070000}"/>
    <cellStyle name="Heading 1 3 3" xfId="1875" xr:uid="{00000000-0005-0000-0000-00006C070000}"/>
    <cellStyle name="Heading 1 3 4" xfId="1876" xr:uid="{00000000-0005-0000-0000-00006D070000}"/>
    <cellStyle name="Heading 1 3 5" xfId="1877" xr:uid="{00000000-0005-0000-0000-00006E070000}"/>
    <cellStyle name="Heading 1 3 6" xfId="1878" xr:uid="{00000000-0005-0000-0000-00006F070000}"/>
    <cellStyle name="Heading 1 3 7" xfId="1879" xr:uid="{00000000-0005-0000-0000-000070070000}"/>
    <cellStyle name="Heading 1 3 8" xfId="1880" xr:uid="{00000000-0005-0000-0000-000071070000}"/>
    <cellStyle name="Heading 1 3 9" xfId="1881" xr:uid="{00000000-0005-0000-0000-000072070000}"/>
    <cellStyle name="Heading 2 2" xfId="262" xr:uid="{00000000-0005-0000-0000-000073070000}"/>
    <cellStyle name="Heading 2 2 10" xfId="1882" xr:uid="{00000000-0005-0000-0000-000074070000}"/>
    <cellStyle name="Heading 2 2 11" xfId="1883" xr:uid="{00000000-0005-0000-0000-000075070000}"/>
    <cellStyle name="Heading 2 2 12" xfId="1884" xr:uid="{00000000-0005-0000-0000-000076070000}"/>
    <cellStyle name="Heading 2 2 13" xfId="1885" xr:uid="{00000000-0005-0000-0000-000077070000}"/>
    <cellStyle name="Heading 2 2 14" xfId="1886" xr:uid="{00000000-0005-0000-0000-000078070000}"/>
    <cellStyle name="Heading 2 2 15" xfId="1887" xr:uid="{00000000-0005-0000-0000-000079070000}"/>
    <cellStyle name="Heading 2 2 16" xfId="1888" xr:uid="{00000000-0005-0000-0000-00007A070000}"/>
    <cellStyle name="Heading 2 2 17" xfId="1889" xr:uid="{00000000-0005-0000-0000-00007B070000}"/>
    <cellStyle name="Heading 2 2 2" xfId="1890" xr:uid="{00000000-0005-0000-0000-00007C070000}"/>
    <cellStyle name="Heading 2 2 3" xfId="1891" xr:uid="{00000000-0005-0000-0000-00007D070000}"/>
    <cellStyle name="Heading 2 2 4" xfId="1892" xr:uid="{00000000-0005-0000-0000-00007E070000}"/>
    <cellStyle name="Heading 2 2 5" xfId="1893" xr:uid="{00000000-0005-0000-0000-00007F070000}"/>
    <cellStyle name="Heading 2 2 6" xfId="1894" xr:uid="{00000000-0005-0000-0000-000080070000}"/>
    <cellStyle name="Heading 2 2 7" xfId="1895" xr:uid="{00000000-0005-0000-0000-000081070000}"/>
    <cellStyle name="Heading 2 2 8" xfId="1896" xr:uid="{00000000-0005-0000-0000-000082070000}"/>
    <cellStyle name="Heading 2 2 9" xfId="1897" xr:uid="{00000000-0005-0000-0000-000083070000}"/>
    <cellStyle name="Heading 2 3 10" xfId="1898" xr:uid="{00000000-0005-0000-0000-000084070000}"/>
    <cellStyle name="Heading 2 3 11" xfId="1899" xr:uid="{00000000-0005-0000-0000-000085070000}"/>
    <cellStyle name="Heading 2 3 12" xfId="1900" xr:uid="{00000000-0005-0000-0000-000086070000}"/>
    <cellStyle name="Heading 2 3 13" xfId="1901" xr:uid="{00000000-0005-0000-0000-000087070000}"/>
    <cellStyle name="Heading 2 3 14" xfId="1902" xr:uid="{00000000-0005-0000-0000-000088070000}"/>
    <cellStyle name="Heading 2 3 15" xfId="1903" xr:uid="{00000000-0005-0000-0000-000089070000}"/>
    <cellStyle name="Heading 2 3 16" xfId="1904" xr:uid="{00000000-0005-0000-0000-00008A070000}"/>
    <cellStyle name="Heading 2 3 17" xfId="1905" xr:uid="{00000000-0005-0000-0000-00008B070000}"/>
    <cellStyle name="Heading 2 3 2" xfId="1906" xr:uid="{00000000-0005-0000-0000-00008C070000}"/>
    <cellStyle name="Heading 2 3 3" xfId="1907" xr:uid="{00000000-0005-0000-0000-00008D070000}"/>
    <cellStyle name="Heading 2 3 4" xfId="1908" xr:uid="{00000000-0005-0000-0000-00008E070000}"/>
    <cellStyle name="Heading 2 3 5" xfId="1909" xr:uid="{00000000-0005-0000-0000-00008F070000}"/>
    <cellStyle name="Heading 2 3 6" xfId="1910" xr:uid="{00000000-0005-0000-0000-000090070000}"/>
    <cellStyle name="Heading 2 3 7" xfId="1911" xr:uid="{00000000-0005-0000-0000-000091070000}"/>
    <cellStyle name="Heading 2 3 8" xfId="1912" xr:uid="{00000000-0005-0000-0000-000092070000}"/>
    <cellStyle name="Heading 2 3 9" xfId="1913" xr:uid="{00000000-0005-0000-0000-000093070000}"/>
    <cellStyle name="Heading 3 2" xfId="263" xr:uid="{00000000-0005-0000-0000-000094070000}"/>
    <cellStyle name="Heading 3 2 10" xfId="1914" xr:uid="{00000000-0005-0000-0000-000095070000}"/>
    <cellStyle name="Heading 3 2 11" xfId="1915" xr:uid="{00000000-0005-0000-0000-000096070000}"/>
    <cellStyle name="Heading 3 2 12" xfId="1916" xr:uid="{00000000-0005-0000-0000-000097070000}"/>
    <cellStyle name="Heading 3 2 13" xfId="1917" xr:uid="{00000000-0005-0000-0000-000098070000}"/>
    <cellStyle name="Heading 3 2 14" xfId="1918" xr:uid="{00000000-0005-0000-0000-000099070000}"/>
    <cellStyle name="Heading 3 2 15" xfId="1919" xr:uid="{00000000-0005-0000-0000-00009A070000}"/>
    <cellStyle name="Heading 3 2 16" xfId="1920" xr:uid="{00000000-0005-0000-0000-00009B070000}"/>
    <cellStyle name="Heading 3 2 17" xfId="1921" xr:uid="{00000000-0005-0000-0000-00009C070000}"/>
    <cellStyle name="Heading 3 2 2" xfId="1922" xr:uid="{00000000-0005-0000-0000-00009D070000}"/>
    <cellStyle name="Heading 3 2 3" xfId="1923" xr:uid="{00000000-0005-0000-0000-00009E070000}"/>
    <cellStyle name="Heading 3 2 4" xfId="1924" xr:uid="{00000000-0005-0000-0000-00009F070000}"/>
    <cellStyle name="Heading 3 2 5" xfId="1925" xr:uid="{00000000-0005-0000-0000-0000A0070000}"/>
    <cellStyle name="Heading 3 2 6" xfId="1926" xr:uid="{00000000-0005-0000-0000-0000A1070000}"/>
    <cellStyle name="Heading 3 2 7" xfId="1927" xr:uid="{00000000-0005-0000-0000-0000A2070000}"/>
    <cellStyle name="Heading 3 2 8" xfId="1928" xr:uid="{00000000-0005-0000-0000-0000A3070000}"/>
    <cellStyle name="Heading 3 2 9" xfId="1929" xr:uid="{00000000-0005-0000-0000-0000A4070000}"/>
    <cellStyle name="Heading 3 3 10" xfId="1930" xr:uid="{00000000-0005-0000-0000-0000A5070000}"/>
    <cellStyle name="Heading 3 3 11" xfId="1931" xr:uid="{00000000-0005-0000-0000-0000A6070000}"/>
    <cellStyle name="Heading 3 3 12" xfId="1932" xr:uid="{00000000-0005-0000-0000-0000A7070000}"/>
    <cellStyle name="Heading 3 3 13" xfId="1933" xr:uid="{00000000-0005-0000-0000-0000A8070000}"/>
    <cellStyle name="Heading 3 3 14" xfId="1934" xr:uid="{00000000-0005-0000-0000-0000A9070000}"/>
    <cellStyle name="Heading 3 3 15" xfId="1935" xr:uid="{00000000-0005-0000-0000-0000AA070000}"/>
    <cellStyle name="Heading 3 3 16" xfId="1936" xr:uid="{00000000-0005-0000-0000-0000AB070000}"/>
    <cellStyle name="Heading 3 3 17" xfId="1937" xr:uid="{00000000-0005-0000-0000-0000AC070000}"/>
    <cellStyle name="Heading 3 3 2" xfId="1938" xr:uid="{00000000-0005-0000-0000-0000AD070000}"/>
    <cellStyle name="Heading 3 3 3" xfId="1939" xr:uid="{00000000-0005-0000-0000-0000AE070000}"/>
    <cellStyle name="Heading 3 3 4" xfId="1940" xr:uid="{00000000-0005-0000-0000-0000AF070000}"/>
    <cellStyle name="Heading 3 3 5" xfId="1941" xr:uid="{00000000-0005-0000-0000-0000B0070000}"/>
    <cellStyle name="Heading 3 3 6" xfId="1942" xr:uid="{00000000-0005-0000-0000-0000B1070000}"/>
    <cellStyle name="Heading 3 3 7" xfId="1943" xr:uid="{00000000-0005-0000-0000-0000B2070000}"/>
    <cellStyle name="Heading 3 3 8" xfId="1944" xr:uid="{00000000-0005-0000-0000-0000B3070000}"/>
    <cellStyle name="Heading 3 3 9" xfId="1945" xr:uid="{00000000-0005-0000-0000-0000B4070000}"/>
    <cellStyle name="Heading 4 2" xfId="264" xr:uid="{00000000-0005-0000-0000-0000B5070000}"/>
    <cellStyle name="Heading 4 2 10" xfId="1946" xr:uid="{00000000-0005-0000-0000-0000B6070000}"/>
    <cellStyle name="Heading 4 2 11" xfId="1947" xr:uid="{00000000-0005-0000-0000-0000B7070000}"/>
    <cellStyle name="Heading 4 2 12" xfId="1948" xr:uid="{00000000-0005-0000-0000-0000B8070000}"/>
    <cellStyle name="Heading 4 2 13" xfId="1949" xr:uid="{00000000-0005-0000-0000-0000B9070000}"/>
    <cellStyle name="Heading 4 2 14" xfId="1950" xr:uid="{00000000-0005-0000-0000-0000BA070000}"/>
    <cellStyle name="Heading 4 2 15" xfId="1951" xr:uid="{00000000-0005-0000-0000-0000BB070000}"/>
    <cellStyle name="Heading 4 2 16" xfId="1952" xr:uid="{00000000-0005-0000-0000-0000BC070000}"/>
    <cellStyle name="Heading 4 2 17" xfId="1953" xr:uid="{00000000-0005-0000-0000-0000BD070000}"/>
    <cellStyle name="Heading 4 2 2" xfId="1954" xr:uid="{00000000-0005-0000-0000-0000BE070000}"/>
    <cellStyle name="Heading 4 2 3" xfId="1955" xr:uid="{00000000-0005-0000-0000-0000BF070000}"/>
    <cellStyle name="Heading 4 2 4" xfId="1956" xr:uid="{00000000-0005-0000-0000-0000C0070000}"/>
    <cellStyle name="Heading 4 2 5" xfId="1957" xr:uid="{00000000-0005-0000-0000-0000C1070000}"/>
    <cellStyle name="Heading 4 2 6" xfId="1958" xr:uid="{00000000-0005-0000-0000-0000C2070000}"/>
    <cellStyle name="Heading 4 2 7" xfId="1959" xr:uid="{00000000-0005-0000-0000-0000C3070000}"/>
    <cellStyle name="Heading 4 2 8" xfId="1960" xr:uid="{00000000-0005-0000-0000-0000C4070000}"/>
    <cellStyle name="Heading 4 2 9" xfId="1961" xr:uid="{00000000-0005-0000-0000-0000C5070000}"/>
    <cellStyle name="Heading 4 3 10" xfId="1962" xr:uid="{00000000-0005-0000-0000-0000C6070000}"/>
    <cellStyle name="Heading 4 3 11" xfId="1963" xr:uid="{00000000-0005-0000-0000-0000C7070000}"/>
    <cellStyle name="Heading 4 3 12" xfId="1964" xr:uid="{00000000-0005-0000-0000-0000C8070000}"/>
    <cellStyle name="Heading 4 3 13" xfId="1965" xr:uid="{00000000-0005-0000-0000-0000C9070000}"/>
    <cellStyle name="Heading 4 3 14" xfId="1966" xr:uid="{00000000-0005-0000-0000-0000CA070000}"/>
    <cellStyle name="Heading 4 3 15" xfId="1967" xr:uid="{00000000-0005-0000-0000-0000CB070000}"/>
    <cellStyle name="Heading 4 3 16" xfId="1968" xr:uid="{00000000-0005-0000-0000-0000CC070000}"/>
    <cellStyle name="Heading 4 3 17" xfId="1969" xr:uid="{00000000-0005-0000-0000-0000CD070000}"/>
    <cellStyle name="Heading 4 3 2" xfId="1970" xr:uid="{00000000-0005-0000-0000-0000CE070000}"/>
    <cellStyle name="Heading 4 3 3" xfId="1971" xr:uid="{00000000-0005-0000-0000-0000CF070000}"/>
    <cellStyle name="Heading 4 3 4" xfId="1972" xr:uid="{00000000-0005-0000-0000-0000D0070000}"/>
    <cellStyle name="Heading 4 3 5" xfId="1973" xr:uid="{00000000-0005-0000-0000-0000D1070000}"/>
    <cellStyle name="Heading 4 3 6" xfId="1974" xr:uid="{00000000-0005-0000-0000-0000D2070000}"/>
    <cellStyle name="Heading 4 3 7" xfId="1975" xr:uid="{00000000-0005-0000-0000-0000D3070000}"/>
    <cellStyle name="Heading 4 3 8" xfId="1976" xr:uid="{00000000-0005-0000-0000-0000D4070000}"/>
    <cellStyle name="Heading 4 3 9" xfId="1977" xr:uid="{00000000-0005-0000-0000-0000D5070000}"/>
    <cellStyle name="Hyperlink 2" xfId="16" xr:uid="{26FF3A0B-758B-427E-B082-C71B16F25262}"/>
    <cellStyle name="Hyperlink 2 2" xfId="2414" xr:uid="{00000000-0005-0000-0000-0000D8070000}"/>
    <cellStyle name="Hyperlink 3" xfId="276" xr:uid="{00000000-0005-0000-0000-0000D9070000}"/>
    <cellStyle name="Hyperlink 4" xfId="12070" xr:uid="{00000000-0005-0000-0000-000089090000}"/>
    <cellStyle name="Input 2" xfId="59" xr:uid="{00000000-0005-0000-0000-0000DA070000}"/>
    <cellStyle name="Input 2 10" xfId="1978" xr:uid="{00000000-0005-0000-0000-0000DB070000}"/>
    <cellStyle name="Input 2 11" xfId="1979" xr:uid="{00000000-0005-0000-0000-0000DC070000}"/>
    <cellStyle name="Input 2 12" xfId="1980" xr:uid="{00000000-0005-0000-0000-0000DD070000}"/>
    <cellStyle name="Input 2 13" xfId="1981" xr:uid="{00000000-0005-0000-0000-0000DE070000}"/>
    <cellStyle name="Input 2 14" xfId="1982" xr:uid="{00000000-0005-0000-0000-0000DF070000}"/>
    <cellStyle name="Input 2 15" xfId="1983" xr:uid="{00000000-0005-0000-0000-0000E0070000}"/>
    <cellStyle name="Input 2 16" xfId="1984" xr:uid="{00000000-0005-0000-0000-0000E1070000}"/>
    <cellStyle name="Input 2 17" xfId="1985" xr:uid="{00000000-0005-0000-0000-0000E2070000}"/>
    <cellStyle name="Input 2 18" xfId="1986" xr:uid="{00000000-0005-0000-0000-0000E3070000}"/>
    <cellStyle name="Input 2 19" xfId="1987" xr:uid="{00000000-0005-0000-0000-0000E4070000}"/>
    <cellStyle name="Input 2 2" xfId="1988" xr:uid="{00000000-0005-0000-0000-0000E5070000}"/>
    <cellStyle name="Input 2 20" xfId="2627" xr:uid="{00000000-0005-0000-0000-0000E6070000}"/>
    <cellStyle name="Input 2 3" xfId="1989" xr:uid="{00000000-0005-0000-0000-0000E7070000}"/>
    <cellStyle name="Input 2 4" xfId="1990" xr:uid="{00000000-0005-0000-0000-0000E8070000}"/>
    <cellStyle name="Input 2 5" xfId="1991" xr:uid="{00000000-0005-0000-0000-0000E9070000}"/>
    <cellStyle name="Input 2 6" xfId="1992" xr:uid="{00000000-0005-0000-0000-0000EA070000}"/>
    <cellStyle name="Input 2 7" xfId="1993" xr:uid="{00000000-0005-0000-0000-0000EB070000}"/>
    <cellStyle name="Input 2 8" xfId="1994" xr:uid="{00000000-0005-0000-0000-0000EC070000}"/>
    <cellStyle name="Input 2 9" xfId="1995" xr:uid="{00000000-0005-0000-0000-0000ED070000}"/>
    <cellStyle name="Input 3" xfId="272" xr:uid="{00000000-0005-0000-0000-0000EE070000}"/>
    <cellStyle name="Input 3 10" xfId="1996" xr:uid="{00000000-0005-0000-0000-0000EF070000}"/>
    <cellStyle name="Input 3 11" xfId="1997" xr:uid="{00000000-0005-0000-0000-0000F0070000}"/>
    <cellStyle name="Input 3 12" xfId="1998" xr:uid="{00000000-0005-0000-0000-0000F1070000}"/>
    <cellStyle name="Input 3 13" xfId="1999" xr:uid="{00000000-0005-0000-0000-0000F2070000}"/>
    <cellStyle name="Input 3 14" xfId="2000" xr:uid="{00000000-0005-0000-0000-0000F3070000}"/>
    <cellStyle name="Input 3 15" xfId="2001" xr:uid="{00000000-0005-0000-0000-0000F4070000}"/>
    <cellStyle name="Input 3 16" xfId="2002" xr:uid="{00000000-0005-0000-0000-0000F5070000}"/>
    <cellStyle name="Input 3 17" xfId="2003" xr:uid="{00000000-0005-0000-0000-0000F6070000}"/>
    <cellStyle name="Input 3 2" xfId="2004" xr:uid="{00000000-0005-0000-0000-0000F7070000}"/>
    <cellStyle name="Input 3 3" xfId="2005" xr:uid="{00000000-0005-0000-0000-0000F8070000}"/>
    <cellStyle name="Input 3 4" xfId="2006" xr:uid="{00000000-0005-0000-0000-0000F9070000}"/>
    <cellStyle name="Input 3 5" xfId="2007" xr:uid="{00000000-0005-0000-0000-0000FA070000}"/>
    <cellStyle name="Input 3 6" xfId="2008" xr:uid="{00000000-0005-0000-0000-0000FB070000}"/>
    <cellStyle name="Input 3 7" xfId="2009" xr:uid="{00000000-0005-0000-0000-0000FC070000}"/>
    <cellStyle name="Input 3 8" xfId="2010" xr:uid="{00000000-0005-0000-0000-0000FD070000}"/>
    <cellStyle name="Input 3 9" xfId="2011" xr:uid="{00000000-0005-0000-0000-0000FE070000}"/>
    <cellStyle name="Input 4" xfId="298" xr:uid="{00000000-0005-0000-0000-0000FF070000}"/>
    <cellStyle name="Linked Cell 2" xfId="267" xr:uid="{00000000-0005-0000-0000-000000080000}"/>
    <cellStyle name="Linked Cell 2 10" xfId="2012" xr:uid="{00000000-0005-0000-0000-000001080000}"/>
    <cellStyle name="Linked Cell 2 11" xfId="2013" xr:uid="{00000000-0005-0000-0000-000002080000}"/>
    <cellStyle name="Linked Cell 2 12" xfId="2014" xr:uid="{00000000-0005-0000-0000-000003080000}"/>
    <cellStyle name="Linked Cell 2 13" xfId="2015" xr:uid="{00000000-0005-0000-0000-000004080000}"/>
    <cellStyle name="Linked Cell 2 14" xfId="2016" xr:uid="{00000000-0005-0000-0000-000005080000}"/>
    <cellStyle name="Linked Cell 2 15" xfId="2017" xr:uid="{00000000-0005-0000-0000-000006080000}"/>
    <cellStyle name="Linked Cell 2 16" xfId="2018" xr:uid="{00000000-0005-0000-0000-000007080000}"/>
    <cellStyle name="Linked Cell 2 17" xfId="2019" xr:uid="{00000000-0005-0000-0000-000008080000}"/>
    <cellStyle name="Linked Cell 2 2" xfId="2020" xr:uid="{00000000-0005-0000-0000-000009080000}"/>
    <cellStyle name="Linked Cell 2 3" xfId="2021" xr:uid="{00000000-0005-0000-0000-00000A080000}"/>
    <cellStyle name="Linked Cell 2 4" xfId="2022" xr:uid="{00000000-0005-0000-0000-00000B080000}"/>
    <cellStyle name="Linked Cell 2 5" xfId="2023" xr:uid="{00000000-0005-0000-0000-00000C080000}"/>
    <cellStyle name="Linked Cell 2 6" xfId="2024" xr:uid="{00000000-0005-0000-0000-00000D080000}"/>
    <cellStyle name="Linked Cell 2 7" xfId="2025" xr:uid="{00000000-0005-0000-0000-00000E080000}"/>
    <cellStyle name="Linked Cell 2 8" xfId="2026" xr:uid="{00000000-0005-0000-0000-00000F080000}"/>
    <cellStyle name="Linked Cell 2 9" xfId="2027" xr:uid="{00000000-0005-0000-0000-000010080000}"/>
    <cellStyle name="Linked Cell 3 10" xfId="2028" xr:uid="{00000000-0005-0000-0000-000011080000}"/>
    <cellStyle name="Linked Cell 3 11" xfId="2029" xr:uid="{00000000-0005-0000-0000-000012080000}"/>
    <cellStyle name="Linked Cell 3 12" xfId="2030" xr:uid="{00000000-0005-0000-0000-000013080000}"/>
    <cellStyle name="Linked Cell 3 13" xfId="2031" xr:uid="{00000000-0005-0000-0000-000014080000}"/>
    <cellStyle name="Linked Cell 3 14" xfId="2032" xr:uid="{00000000-0005-0000-0000-000015080000}"/>
    <cellStyle name="Linked Cell 3 15" xfId="2033" xr:uid="{00000000-0005-0000-0000-000016080000}"/>
    <cellStyle name="Linked Cell 3 16" xfId="2034" xr:uid="{00000000-0005-0000-0000-000017080000}"/>
    <cellStyle name="Linked Cell 3 17" xfId="2035" xr:uid="{00000000-0005-0000-0000-000018080000}"/>
    <cellStyle name="Linked Cell 3 2" xfId="2036" xr:uid="{00000000-0005-0000-0000-000019080000}"/>
    <cellStyle name="Linked Cell 3 3" xfId="2037" xr:uid="{00000000-0005-0000-0000-00001A080000}"/>
    <cellStyle name="Linked Cell 3 4" xfId="2038" xr:uid="{00000000-0005-0000-0000-00001B080000}"/>
    <cellStyle name="Linked Cell 3 5" xfId="2039" xr:uid="{00000000-0005-0000-0000-00001C080000}"/>
    <cellStyle name="Linked Cell 3 6" xfId="2040" xr:uid="{00000000-0005-0000-0000-00001D080000}"/>
    <cellStyle name="Linked Cell 3 7" xfId="2041" xr:uid="{00000000-0005-0000-0000-00001E080000}"/>
    <cellStyle name="Linked Cell 3 8" xfId="2042" xr:uid="{00000000-0005-0000-0000-00001F080000}"/>
    <cellStyle name="Linked Cell 3 9" xfId="2043" xr:uid="{00000000-0005-0000-0000-000020080000}"/>
    <cellStyle name="Migliaia 2" xfId="196" xr:uid="{00000000-0005-0000-0000-000021080000}"/>
    <cellStyle name="Migliaia 2 2" xfId="2044" xr:uid="{00000000-0005-0000-0000-000022080000}"/>
    <cellStyle name="Migliaia 2 3" xfId="2628" xr:uid="{00000000-0005-0000-0000-000023080000}"/>
    <cellStyle name="Migliaia 2 4" xfId="12071" xr:uid="{00000000-0005-0000-0000-0000D4090000}"/>
    <cellStyle name="Migliaia 2 4 2" xfId="12072" xr:uid="{00000000-0005-0000-0000-0000D5090000}"/>
    <cellStyle name="Migliaia 2 5" xfId="12073" xr:uid="{00000000-0005-0000-0000-0000D6090000}"/>
    <cellStyle name="Migliaia 3" xfId="197" xr:uid="{00000000-0005-0000-0000-000024080000}"/>
    <cellStyle name="Migliaia 3 2" xfId="2045" xr:uid="{00000000-0005-0000-0000-000025080000}"/>
    <cellStyle name="Migliaia 3 3" xfId="2629" xr:uid="{00000000-0005-0000-0000-000026080000}"/>
    <cellStyle name="Migliaia 3 4" xfId="12074" xr:uid="{00000000-0005-0000-0000-0000DA090000}"/>
    <cellStyle name="Migliaia 3 4 2" xfId="12075" xr:uid="{00000000-0005-0000-0000-0000DB090000}"/>
    <cellStyle name="Migliaia 3 5" xfId="12076" xr:uid="{00000000-0005-0000-0000-0000DC090000}"/>
    <cellStyle name="Neutral 2" xfId="265" xr:uid="{00000000-0005-0000-0000-000027080000}"/>
    <cellStyle name="Neutral 2 10" xfId="2046" xr:uid="{00000000-0005-0000-0000-000028080000}"/>
    <cellStyle name="Neutral 2 11" xfId="2047" xr:uid="{00000000-0005-0000-0000-000029080000}"/>
    <cellStyle name="Neutral 2 12" xfId="2048" xr:uid="{00000000-0005-0000-0000-00002A080000}"/>
    <cellStyle name="Neutral 2 13" xfId="2049" xr:uid="{00000000-0005-0000-0000-00002B080000}"/>
    <cellStyle name="Neutral 2 14" xfId="2050" xr:uid="{00000000-0005-0000-0000-00002C080000}"/>
    <cellStyle name="Neutral 2 15" xfId="2051" xr:uid="{00000000-0005-0000-0000-00002D080000}"/>
    <cellStyle name="Neutral 2 16" xfId="2052" xr:uid="{00000000-0005-0000-0000-00002E080000}"/>
    <cellStyle name="Neutral 2 17" xfId="2053" xr:uid="{00000000-0005-0000-0000-00002F080000}"/>
    <cellStyle name="Neutral 2 2" xfId="2054" xr:uid="{00000000-0005-0000-0000-000030080000}"/>
    <cellStyle name="Neutral 2 3" xfId="2055" xr:uid="{00000000-0005-0000-0000-000031080000}"/>
    <cellStyle name="Neutral 2 4" xfId="2056" xr:uid="{00000000-0005-0000-0000-000032080000}"/>
    <cellStyle name="Neutral 2 5" xfId="2057" xr:uid="{00000000-0005-0000-0000-000033080000}"/>
    <cellStyle name="Neutral 2 6" xfId="2058" xr:uid="{00000000-0005-0000-0000-000034080000}"/>
    <cellStyle name="Neutral 2 7" xfId="2059" xr:uid="{00000000-0005-0000-0000-000035080000}"/>
    <cellStyle name="Neutral 2 8" xfId="2060" xr:uid="{00000000-0005-0000-0000-000036080000}"/>
    <cellStyle name="Neutral 2 9" xfId="2061" xr:uid="{00000000-0005-0000-0000-000037080000}"/>
    <cellStyle name="Neutral 3 10" xfId="2062" xr:uid="{00000000-0005-0000-0000-000038080000}"/>
    <cellStyle name="Neutral 3 11" xfId="2063" xr:uid="{00000000-0005-0000-0000-000039080000}"/>
    <cellStyle name="Neutral 3 12" xfId="2064" xr:uid="{00000000-0005-0000-0000-00003A080000}"/>
    <cellStyle name="Neutral 3 13" xfId="2065" xr:uid="{00000000-0005-0000-0000-00003B080000}"/>
    <cellStyle name="Neutral 3 14" xfId="2066" xr:uid="{00000000-0005-0000-0000-00003C080000}"/>
    <cellStyle name="Neutral 3 15" xfId="2067" xr:uid="{00000000-0005-0000-0000-00003D080000}"/>
    <cellStyle name="Neutral 3 16" xfId="2068" xr:uid="{00000000-0005-0000-0000-00003E080000}"/>
    <cellStyle name="Neutral 3 17" xfId="2069" xr:uid="{00000000-0005-0000-0000-00003F080000}"/>
    <cellStyle name="Neutral 3 2" xfId="2070" xr:uid="{00000000-0005-0000-0000-000040080000}"/>
    <cellStyle name="Neutral 3 3" xfId="2071" xr:uid="{00000000-0005-0000-0000-000041080000}"/>
    <cellStyle name="Neutral 3 4" xfId="2072" xr:uid="{00000000-0005-0000-0000-000042080000}"/>
    <cellStyle name="Neutral 3 5" xfId="2073" xr:uid="{00000000-0005-0000-0000-000043080000}"/>
    <cellStyle name="Neutral 3 6" xfId="2074" xr:uid="{00000000-0005-0000-0000-000044080000}"/>
    <cellStyle name="Neutral 3 7" xfId="2075" xr:uid="{00000000-0005-0000-0000-000045080000}"/>
    <cellStyle name="Neutral 3 8" xfId="2076" xr:uid="{00000000-0005-0000-0000-000046080000}"/>
    <cellStyle name="Neutral 3 9" xfId="2077" xr:uid="{00000000-0005-0000-0000-000047080000}"/>
    <cellStyle name="Neutrale" xfId="198" xr:uid="{00000000-0005-0000-0000-000048080000}"/>
    <cellStyle name="Neutrale 2" xfId="327" xr:uid="{00000000-0005-0000-0000-000049080000}"/>
    <cellStyle name="Neutrale 2 2" xfId="2078" xr:uid="{00000000-0005-0000-0000-00004A080000}"/>
    <cellStyle name="Neutrale 2 2 2" xfId="2630" xr:uid="{00000000-0005-0000-0000-00004B080000}"/>
    <cellStyle name="Neutrale 3" xfId="2079" xr:uid="{00000000-0005-0000-0000-00004C080000}"/>
    <cellStyle name="Neutrale 4" xfId="2631" xr:uid="{00000000-0005-0000-0000-00004D080000}"/>
    <cellStyle name="Normal" xfId="0" builtinId="0"/>
    <cellStyle name="Normal 10" xfId="357" xr:uid="{00000000-0005-0000-0000-00004F080000}"/>
    <cellStyle name="Normal 10 2" xfId="44" xr:uid="{166DC57F-9252-4296-9FAE-45BCF0DF7082}"/>
    <cellStyle name="Normal 10 3" xfId="35" xr:uid="{FC56B2A4-B036-4FA8-9CBD-7D5575AF09A8}"/>
    <cellStyle name="Normal 10 4" xfId="2080" xr:uid="{00000000-0005-0000-0000-000052080000}"/>
    <cellStyle name="Normal 11" xfId="29" xr:uid="{24B78437-D001-4A59-96D7-E22AE72558B4}"/>
    <cellStyle name="Normal 11 2" xfId="53" xr:uid="{194E24A8-72AA-4D01-AC4B-0F8992A2F2D3}"/>
    <cellStyle name="Normal 11 2 2" xfId="2081" xr:uid="{00000000-0005-0000-0000-000055080000}"/>
    <cellStyle name="Normal 11 3" xfId="23" xr:uid="{CD47691C-36F6-4FB2-9D3A-9B1ACF0E6771}"/>
    <cellStyle name="Normal 12" xfId="49" xr:uid="{0972348A-4D61-44F7-BB03-15C0C00E079B}"/>
    <cellStyle name="Normal 13" xfId="21" xr:uid="{F086BFD0-9396-4911-8D81-97F6248814BD}"/>
    <cellStyle name="Normal 13 10" xfId="3779" xr:uid="{00000000-0005-0000-0000-0000DC080000}"/>
    <cellStyle name="Normal 13 10 2" xfId="4038" xr:uid="{00000000-0005-0000-0000-0000DD080000}"/>
    <cellStyle name="Normal 13 10 2 2" xfId="5713" xr:uid="{00000000-0005-0000-0000-0000DE080000}"/>
    <cellStyle name="Normal 13 10 2 2 2" xfId="9063" xr:uid="{00000000-0005-0000-0000-0000DF080000}"/>
    <cellStyle name="Normal 13 10 2 3" xfId="10738" xr:uid="{00000000-0005-0000-0000-0000E0080000}"/>
    <cellStyle name="Normal 13 10 2 4" xfId="7388" xr:uid="{00000000-0005-0000-0000-0000E1080000}"/>
    <cellStyle name="Normal 13 10 3" xfId="5454" xr:uid="{00000000-0005-0000-0000-0000E2080000}"/>
    <cellStyle name="Normal 13 10 3 2" xfId="8804" xr:uid="{00000000-0005-0000-0000-0000E3080000}"/>
    <cellStyle name="Normal 13 10 4" xfId="10479" xr:uid="{00000000-0005-0000-0000-0000E4080000}"/>
    <cellStyle name="Normal 13 10 5" xfId="7129" xr:uid="{00000000-0005-0000-0000-0000E5080000}"/>
    <cellStyle name="Normal 13 11" xfId="4015" xr:uid="{00000000-0005-0000-0000-0000E6080000}"/>
    <cellStyle name="Normal 13 11 2" xfId="5690" xr:uid="{00000000-0005-0000-0000-0000E7080000}"/>
    <cellStyle name="Normal 13 11 2 2" xfId="9040" xr:uid="{00000000-0005-0000-0000-0000E8080000}"/>
    <cellStyle name="Normal 13 11 3" xfId="10715" xr:uid="{00000000-0005-0000-0000-0000E9080000}"/>
    <cellStyle name="Normal 13 11 4" xfId="7365" xr:uid="{00000000-0005-0000-0000-0000EA080000}"/>
    <cellStyle name="Normal 13 12" xfId="4746" xr:uid="{00000000-0005-0000-0000-0000EB080000}"/>
    <cellStyle name="Normal 13 12 2" xfId="8096" xr:uid="{00000000-0005-0000-0000-0000EC080000}"/>
    <cellStyle name="Normal 13 13" xfId="9771" xr:uid="{00000000-0005-0000-0000-0000ED080000}"/>
    <cellStyle name="Normal 13 14" xfId="6421" xr:uid="{00000000-0005-0000-0000-0000EE080000}"/>
    <cellStyle name="Normal 13 15" xfId="12228" xr:uid="{00000000-0005-0000-0000-0000DB080000}"/>
    <cellStyle name="Normal 13 2" xfId="2082" xr:uid="{00000000-0005-0000-0000-000058080000}"/>
    <cellStyle name="Normal 13 2 10" xfId="4016" xr:uid="{00000000-0005-0000-0000-0000F0080000}"/>
    <cellStyle name="Normal 13 2 10 2" xfId="5691" xr:uid="{00000000-0005-0000-0000-0000F1080000}"/>
    <cellStyle name="Normal 13 2 10 2 2" xfId="9041" xr:uid="{00000000-0005-0000-0000-0000F2080000}"/>
    <cellStyle name="Normal 13 2 10 3" xfId="10716" xr:uid="{00000000-0005-0000-0000-0000F3080000}"/>
    <cellStyle name="Normal 13 2 10 4" xfId="7366" xr:uid="{00000000-0005-0000-0000-0000F4080000}"/>
    <cellStyle name="Normal 13 2 11" xfId="4747" xr:uid="{00000000-0005-0000-0000-0000F5080000}"/>
    <cellStyle name="Normal 13 2 11 2" xfId="8097" xr:uid="{00000000-0005-0000-0000-0000F6080000}"/>
    <cellStyle name="Normal 13 2 12" xfId="9772" xr:uid="{00000000-0005-0000-0000-0000F7080000}"/>
    <cellStyle name="Normal 13 2 13" xfId="6422" xr:uid="{00000000-0005-0000-0000-0000F8080000}"/>
    <cellStyle name="Normal 13 2 14" xfId="12229" xr:uid="{00000000-0005-0000-0000-0000EF080000}"/>
    <cellStyle name="Normal 13 2 2" xfId="3098" xr:uid="{00000000-0005-0000-0000-0000F9080000}"/>
    <cellStyle name="Normal 13 2 2 2" xfId="3215" xr:uid="{00000000-0005-0000-0000-0000FA080000}"/>
    <cellStyle name="Normal 13 2 2 2 2" xfId="3451" xr:uid="{00000000-0005-0000-0000-0000FB080000}"/>
    <cellStyle name="Normal 13 2 2 2 2 2" xfId="4417" xr:uid="{00000000-0005-0000-0000-0000FC080000}"/>
    <cellStyle name="Normal 13 2 2 2 2 2 2" xfId="6092" xr:uid="{00000000-0005-0000-0000-0000FD080000}"/>
    <cellStyle name="Normal 13 2 2 2 2 2 2 2" xfId="9442" xr:uid="{00000000-0005-0000-0000-0000FE080000}"/>
    <cellStyle name="Normal 13 2 2 2 2 2 3" xfId="11117" xr:uid="{00000000-0005-0000-0000-0000FF080000}"/>
    <cellStyle name="Normal 13 2 2 2 2 2 4" xfId="7767" xr:uid="{00000000-0005-0000-0000-000000090000}"/>
    <cellStyle name="Normal 13 2 2 2 2 3" xfId="5125" xr:uid="{00000000-0005-0000-0000-000001090000}"/>
    <cellStyle name="Normal 13 2 2 2 2 3 2" xfId="8475" xr:uid="{00000000-0005-0000-0000-000002090000}"/>
    <cellStyle name="Normal 13 2 2 2 2 4" xfId="10150" xr:uid="{00000000-0005-0000-0000-000003090000}"/>
    <cellStyle name="Normal 13 2 2 2 2 5" xfId="6800" xr:uid="{00000000-0005-0000-0000-000004090000}"/>
    <cellStyle name="Normal 13 2 2 2 3" xfId="3686" xr:uid="{00000000-0005-0000-0000-000005090000}"/>
    <cellStyle name="Normal 13 2 2 2 3 2" xfId="4653" xr:uid="{00000000-0005-0000-0000-000006090000}"/>
    <cellStyle name="Normal 13 2 2 2 3 2 2" xfId="6328" xr:uid="{00000000-0005-0000-0000-000007090000}"/>
    <cellStyle name="Normal 13 2 2 2 3 2 2 2" xfId="9678" xr:uid="{00000000-0005-0000-0000-000008090000}"/>
    <cellStyle name="Normal 13 2 2 2 3 2 3" xfId="11353" xr:uid="{00000000-0005-0000-0000-000009090000}"/>
    <cellStyle name="Normal 13 2 2 2 3 2 4" xfId="8003" xr:uid="{00000000-0005-0000-0000-00000A090000}"/>
    <cellStyle name="Normal 13 2 2 2 3 3" xfId="5361" xr:uid="{00000000-0005-0000-0000-00000B090000}"/>
    <cellStyle name="Normal 13 2 2 2 3 3 2" xfId="8711" xr:uid="{00000000-0005-0000-0000-00000C090000}"/>
    <cellStyle name="Normal 13 2 2 2 3 4" xfId="10386" xr:uid="{00000000-0005-0000-0000-00000D090000}"/>
    <cellStyle name="Normal 13 2 2 2 3 5" xfId="7036" xr:uid="{00000000-0005-0000-0000-00000E090000}"/>
    <cellStyle name="Normal 13 2 2 2 4" xfId="3922" xr:uid="{00000000-0005-0000-0000-00000F090000}"/>
    <cellStyle name="Normal 13 2 2 2 4 2" xfId="5597" xr:uid="{00000000-0005-0000-0000-000010090000}"/>
    <cellStyle name="Normal 13 2 2 2 4 2 2" xfId="8947" xr:uid="{00000000-0005-0000-0000-000011090000}"/>
    <cellStyle name="Normal 13 2 2 2 4 3" xfId="10622" xr:uid="{00000000-0005-0000-0000-000012090000}"/>
    <cellStyle name="Normal 13 2 2 2 4 4" xfId="7272" xr:uid="{00000000-0005-0000-0000-000013090000}"/>
    <cellStyle name="Normal 13 2 2 2 5" xfId="4181" xr:uid="{00000000-0005-0000-0000-000014090000}"/>
    <cellStyle name="Normal 13 2 2 2 5 2" xfId="5856" xr:uid="{00000000-0005-0000-0000-000015090000}"/>
    <cellStyle name="Normal 13 2 2 2 5 2 2" xfId="9206" xr:uid="{00000000-0005-0000-0000-000016090000}"/>
    <cellStyle name="Normal 13 2 2 2 5 3" xfId="10881" xr:uid="{00000000-0005-0000-0000-000017090000}"/>
    <cellStyle name="Normal 13 2 2 2 5 4" xfId="7531" xr:uid="{00000000-0005-0000-0000-000018090000}"/>
    <cellStyle name="Normal 13 2 2 2 6" xfId="4889" xr:uid="{00000000-0005-0000-0000-000019090000}"/>
    <cellStyle name="Normal 13 2 2 2 6 2" xfId="8239" xr:uid="{00000000-0005-0000-0000-00001A090000}"/>
    <cellStyle name="Normal 13 2 2 2 7" xfId="9914" xr:uid="{00000000-0005-0000-0000-00001B090000}"/>
    <cellStyle name="Normal 13 2 2 2 8" xfId="6564" xr:uid="{00000000-0005-0000-0000-00001C090000}"/>
    <cellStyle name="Normal 13 2 2 3" xfId="3332" xr:uid="{00000000-0005-0000-0000-00001D090000}"/>
    <cellStyle name="Normal 13 2 2 3 2" xfId="4298" xr:uid="{00000000-0005-0000-0000-00001E090000}"/>
    <cellStyle name="Normal 13 2 2 3 2 2" xfId="5973" xr:uid="{00000000-0005-0000-0000-00001F090000}"/>
    <cellStyle name="Normal 13 2 2 3 2 2 2" xfId="9323" xr:uid="{00000000-0005-0000-0000-000020090000}"/>
    <cellStyle name="Normal 13 2 2 3 2 3" xfId="10998" xr:uid="{00000000-0005-0000-0000-000021090000}"/>
    <cellStyle name="Normal 13 2 2 3 2 4" xfId="7648" xr:uid="{00000000-0005-0000-0000-000022090000}"/>
    <cellStyle name="Normal 13 2 2 3 3" xfId="5006" xr:uid="{00000000-0005-0000-0000-000023090000}"/>
    <cellStyle name="Normal 13 2 2 3 3 2" xfId="8356" xr:uid="{00000000-0005-0000-0000-000024090000}"/>
    <cellStyle name="Normal 13 2 2 3 4" xfId="10031" xr:uid="{00000000-0005-0000-0000-000025090000}"/>
    <cellStyle name="Normal 13 2 2 3 5" xfId="6681" xr:uid="{00000000-0005-0000-0000-000026090000}"/>
    <cellStyle name="Normal 13 2 2 4" xfId="3567" xr:uid="{00000000-0005-0000-0000-000027090000}"/>
    <cellStyle name="Normal 13 2 2 4 2" xfId="4534" xr:uid="{00000000-0005-0000-0000-000028090000}"/>
    <cellStyle name="Normal 13 2 2 4 2 2" xfId="6209" xr:uid="{00000000-0005-0000-0000-000029090000}"/>
    <cellStyle name="Normal 13 2 2 4 2 2 2" xfId="9559" xr:uid="{00000000-0005-0000-0000-00002A090000}"/>
    <cellStyle name="Normal 13 2 2 4 2 3" xfId="11234" xr:uid="{00000000-0005-0000-0000-00002B090000}"/>
    <cellStyle name="Normal 13 2 2 4 2 4" xfId="7884" xr:uid="{00000000-0005-0000-0000-00002C090000}"/>
    <cellStyle name="Normal 13 2 2 4 3" xfId="5242" xr:uid="{00000000-0005-0000-0000-00002D090000}"/>
    <cellStyle name="Normal 13 2 2 4 3 2" xfId="8592" xr:uid="{00000000-0005-0000-0000-00002E090000}"/>
    <cellStyle name="Normal 13 2 2 4 4" xfId="10267" xr:uid="{00000000-0005-0000-0000-00002F090000}"/>
    <cellStyle name="Normal 13 2 2 4 5" xfId="6917" xr:uid="{00000000-0005-0000-0000-000030090000}"/>
    <cellStyle name="Normal 13 2 2 5" xfId="3803" xr:uid="{00000000-0005-0000-0000-000031090000}"/>
    <cellStyle name="Normal 13 2 2 5 2" xfId="5478" xr:uid="{00000000-0005-0000-0000-000032090000}"/>
    <cellStyle name="Normal 13 2 2 5 2 2" xfId="8828" xr:uid="{00000000-0005-0000-0000-000033090000}"/>
    <cellStyle name="Normal 13 2 2 5 3" xfId="10503" xr:uid="{00000000-0005-0000-0000-000034090000}"/>
    <cellStyle name="Normal 13 2 2 5 4" xfId="7153" xr:uid="{00000000-0005-0000-0000-000035090000}"/>
    <cellStyle name="Normal 13 2 2 6" xfId="4062" xr:uid="{00000000-0005-0000-0000-000036090000}"/>
    <cellStyle name="Normal 13 2 2 6 2" xfId="5737" xr:uid="{00000000-0005-0000-0000-000037090000}"/>
    <cellStyle name="Normal 13 2 2 6 2 2" xfId="9087" xr:uid="{00000000-0005-0000-0000-000038090000}"/>
    <cellStyle name="Normal 13 2 2 6 3" xfId="10762" xr:uid="{00000000-0005-0000-0000-000039090000}"/>
    <cellStyle name="Normal 13 2 2 6 4" xfId="7412" xr:uid="{00000000-0005-0000-0000-00003A090000}"/>
    <cellStyle name="Normal 13 2 2 7" xfId="4770" xr:uid="{00000000-0005-0000-0000-00003B090000}"/>
    <cellStyle name="Normal 13 2 2 7 2" xfId="8120" xr:uid="{00000000-0005-0000-0000-00003C090000}"/>
    <cellStyle name="Normal 13 2 2 8" xfId="9795" xr:uid="{00000000-0005-0000-0000-00003D090000}"/>
    <cellStyle name="Normal 13 2 2 9" xfId="6445" xr:uid="{00000000-0005-0000-0000-00003E090000}"/>
    <cellStyle name="Normal 13 2 3" xfId="3120" xr:uid="{00000000-0005-0000-0000-00003F090000}"/>
    <cellStyle name="Normal 13 2 3 2" xfId="3237" xr:uid="{00000000-0005-0000-0000-000040090000}"/>
    <cellStyle name="Normal 13 2 3 2 2" xfId="3473" xr:uid="{00000000-0005-0000-0000-000041090000}"/>
    <cellStyle name="Normal 13 2 3 2 2 2" xfId="4439" xr:uid="{00000000-0005-0000-0000-000042090000}"/>
    <cellStyle name="Normal 13 2 3 2 2 2 2" xfId="6114" xr:uid="{00000000-0005-0000-0000-000043090000}"/>
    <cellStyle name="Normal 13 2 3 2 2 2 2 2" xfId="9464" xr:uid="{00000000-0005-0000-0000-000044090000}"/>
    <cellStyle name="Normal 13 2 3 2 2 2 3" xfId="11139" xr:uid="{00000000-0005-0000-0000-000045090000}"/>
    <cellStyle name="Normal 13 2 3 2 2 2 4" xfId="7789" xr:uid="{00000000-0005-0000-0000-000046090000}"/>
    <cellStyle name="Normal 13 2 3 2 2 3" xfId="5147" xr:uid="{00000000-0005-0000-0000-000047090000}"/>
    <cellStyle name="Normal 13 2 3 2 2 3 2" xfId="8497" xr:uid="{00000000-0005-0000-0000-000048090000}"/>
    <cellStyle name="Normal 13 2 3 2 2 4" xfId="10172" xr:uid="{00000000-0005-0000-0000-000049090000}"/>
    <cellStyle name="Normal 13 2 3 2 2 5" xfId="6822" xr:uid="{00000000-0005-0000-0000-00004A090000}"/>
    <cellStyle name="Normal 13 2 3 2 3" xfId="3708" xr:uid="{00000000-0005-0000-0000-00004B090000}"/>
    <cellStyle name="Normal 13 2 3 2 3 2" xfId="4675" xr:uid="{00000000-0005-0000-0000-00004C090000}"/>
    <cellStyle name="Normal 13 2 3 2 3 2 2" xfId="6350" xr:uid="{00000000-0005-0000-0000-00004D090000}"/>
    <cellStyle name="Normal 13 2 3 2 3 2 2 2" xfId="9700" xr:uid="{00000000-0005-0000-0000-00004E090000}"/>
    <cellStyle name="Normal 13 2 3 2 3 2 3" xfId="11375" xr:uid="{00000000-0005-0000-0000-00004F090000}"/>
    <cellStyle name="Normal 13 2 3 2 3 2 4" xfId="8025" xr:uid="{00000000-0005-0000-0000-000050090000}"/>
    <cellStyle name="Normal 13 2 3 2 3 3" xfId="5383" xr:uid="{00000000-0005-0000-0000-000051090000}"/>
    <cellStyle name="Normal 13 2 3 2 3 3 2" xfId="8733" xr:uid="{00000000-0005-0000-0000-000052090000}"/>
    <cellStyle name="Normal 13 2 3 2 3 4" xfId="10408" xr:uid="{00000000-0005-0000-0000-000053090000}"/>
    <cellStyle name="Normal 13 2 3 2 3 5" xfId="7058" xr:uid="{00000000-0005-0000-0000-000054090000}"/>
    <cellStyle name="Normal 13 2 3 2 4" xfId="3944" xr:uid="{00000000-0005-0000-0000-000055090000}"/>
    <cellStyle name="Normal 13 2 3 2 4 2" xfId="5619" xr:uid="{00000000-0005-0000-0000-000056090000}"/>
    <cellStyle name="Normal 13 2 3 2 4 2 2" xfId="8969" xr:uid="{00000000-0005-0000-0000-000057090000}"/>
    <cellStyle name="Normal 13 2 3 2 4 3" xfId="10644" xr:uid="{00000000-0005-0000-0000-000058090000}"/>
    <cellStyle name="Normal 13 2 3 2 4 4" xfId="7294" xr:uid="{00000000-0005-0000-0000-000059090000}"/>
    <cellStyle name="Normal 13 2 3 2 5" xfId="4203" xr:uid="{00000000-0005-0000-0000-00005A090000}"/>
    <cellStyle name="Normal 13 2 3 2 5 2" xfId="5878" xr:uid="{00000000-0005-0000-0000-00005B090000}"/>
    <cellStyle name="Normal 13 2 3 2 5 2 2" xfId="9228" xr:uid="{00000000-0005-0000-0000-00005C090000}"/>
    <cellStyle name="Normal 13 2 3 2 5 3" xfId="10903" xr:uid="{00000000-0005-0000-0000-00005D090000}"/>
    <cellStyle name="Normal 13 2 3 2 5 4" xfId="7553" xr:uid="{00000000-0005-0000-0000-00005E090000}"/>
    <cellStyle name="Normal 13 2 3 2 6" xfId="4911" xr:uid="{00000000-0005-0000-0000-00005F090000}"/>
    <cellStyle name="Normal 13 2 3 2 6 2" xfId="8261" xr:uid="{00000000-0005-0000-0000-000060090000}"/>
    <cellStyle name="Normal 13 2 3 2 7" xfId="9936" xr:uid="{00000000-0005-0000-0000-000061090000}"/>
    <cellStyle name="Normal 13 2 3 2 8" xfId="6586" xr:uid="{00000000-0005-0000-0000-000062090000}"/>
    <cellStyle name="Normal 13 2 3 3" xfId="3355" xr:uid="{00000000-0005-0000-0000-000063090000}"/>
    <cellStyle name="Normal 13 2 3 3 2" xfId="4321" xr:uid="{00000000-0005-0000-0000-000064090000}"/>
    <cellStyle name="Normal 13 2 3 3 2 2" xfId="5996" xr:uid="{00000000-0005-0000-0000-000065090000}"/>
    <cellStyle name="Normal 13 2 3 3 2 2 2" xfId="9346" xr:uid="{00000000-0005-0000-0000-000066090000}"/>
    <cellStyle name="Normal 13 2 3 3 2 3" xfId="11021" xr:uid="{00000000-0005-0000-0000-000067090000}"/>
    <cellStyle name="Normal 13 2 3 3 2 4" xfId="7671" xr:uid="{00000000-0005-0000-0000-000068090000}"/>
    <cellStyle name="Normal 13 2 3 3 3" xfId="5029" xr:uid="{00000000-0005-0000-0000-000069090000}"/>
    <cellStyle name="Normal 13 2 3 3 3 2" xfId="8379" xr:uid="{00000000-0005-0000-0000-00006A090000}"/>
    <cellStyle name="Normal 13 2 3 3 4" xfId="10054" xr:uid="{00000000-0005-0000-0000-00006B090000}"/>
    <cellStyle name="Normal 13 2 3 3 5" xfId="6704" xr:uid="{00000000-0005-0000-0000-00006C090000}"/>
    <cellStyle name="Normal 13 2 3 4" xfId="3590" xr:uid="{00000000-0005-0000-0000-00006D090000}"/>
    <cellStyle name="Normal 13 2 3 4 2" xfId="4557" xr:uid="{00000000-0005-0000-0000-00006E090000}"/>
    <cellStyle name="Normal 13 2 3 4 2 2" xfId="6232" xr:uid="{00000000-0005-0000-0000-00006F090000}"/>
    <cellStyle name="Normal 13 2 3 4 2 2 2" xfId="9582" xr:uid="{00000000-0005-0000-0000-000070090000}"/>
    <cellStyle name="Normal 13 2 3 4 2 3" xfId="11257" xr:uid="{00000000-0005-0000-0000-000071090000}"/>
    <cellStyle name="Normal 13 2 3 4 2 4" xfId="7907" xr:uid="{00000000-0005-0000-0000-000072090000}"/>
    <cellStyle name="Normal 13 2 3 4 3" xfId="5265" xr:uid="{00000000-0005-0000-0000-000073090000}"/>
    <cellStyle name="Normal 13 2 3 4 3 2" xfId="8615" xr:uid="{00000000-0005-0000-0000-000074090000}"/>
    <cellStyle name="Normal 13 2 3 4 4" xfId="10290" xr:uid="{00000000-0005-0000-0000-000075090000}"/>
    <cellStyle name="Normal 13 2 3 4 5" xfId="6940" xr:uid="{00000000-0005-0000-0000-000076090000}"/>
    <cellStyle name="Normal 13 2 3 5" xfId="3826" xr:uid="{00000000-0005-0000-0000-000077090000}"/>
    <cellStyle name="Normal 13 2 3 5 2" xfId="5501" xr:uid="{00000000-0005-0000-0000-000078090000}"/>
    <cellStyle name="Normal 13 2 3 5 2 2" xfId="8851" xr:uid="{00000000-0005-0000-0000-000079090000}"/>
    <cellStyle name="Normal 13 2 3 5 3" xfId="10526" xr:uid="{00000000-0005-0000-0000-00007A090000}"/>
    <cellStyle name="Normal 13 2 3 5 4" xfId="7176" xr:uid="{00000000-0005-0000-0000-00007B090000}"/>
    <cellStyle name="Normal 13 2 3 6" xfId="4085" xr:uid="{00000000-0005-0000-0000-00007C090000}"/>
    <cellStyle name="Normal 13 2 3 6 2" xfId="5760" xr:uid="{00000000-0005-0000-0000-00007D090000}"/>
    <cellStyle name="Normal 13 2 3 6 2 2" xfId="9110" xr:uid="{00000000-0005-0000-0000-00007E090000}"/>
    <cellStyle name="Normal 13 2 3 6 3" xfId="10785" xr:uid="{00000000-0005-0000-0000-00007F090000}"/>
    <cellStyle name="Normal 13 2 3 6 4" xfId="7435" xr:uid="{00000000-0005-0000-0000-000080090000}"/>
    <cellStyle name="Normal 13 2 3 7" xfId="4793" xr:uid="{00000000-0005-0000-0000-000081090000}"/>
    <cellStyle name="Normal 13 2 3 7 2" xfId="8143" xr:uid="{00000000-0005-0000-0000-000082090000}"/>
    <cellStyle name="Normal 13 2 3 8" xfId="9818" xr:uid="{00000000-0005-0000-0000-000083090000}"/>
    <cellStyle name="Normal 13 2 3 9" xfId="6468" xr:uid="{00000000-0005-0000-0000-000084090000}"/>
    <cellStyle name="Normal 13 2 4" xfId="3143" xr:uid="{00000000-0005-0000-0000-000085090000}"/>
    <cellStyle name="Normal 13 2 4 2" xfId="3261" xr:uid="{00000000-0005-0000-0000-000086090000}"/>
    <cellStyle name="Normal 13 2 4 2 2" xfId="3497" xr:uid="{00000000-0005-0000-0000-000087090000}"/>
    <cellStyle name="Normal 13 2 4 2 2 2" xfId="4463" xr:uid="{00000000-0005-0000-0000-000088090000}"/>
    <cellStyle name="Normal 13 2 4 2 2 2 2" xfId="6138" xr:uid="{00000000-0005-0000-0000-000089090000}"/>
    <cellStyle name="Normal 13 2 4 2 2 2 2 2" xfId="9488" xr:uid="{00000000-0005-0000-0000-00008A090000}"/>
    <cellStyle name="Normal 13 2 4 2 2 2 3" xfId="11163" xr:uid="{00000000-0005-0000-0000-00008B090000}"/>
    <cellStyle name="Normal 13 2 4 2 2 2 4" xfId="7813" xr:uid="{00000000-0005-0000-0000-00008C090000}"/>
    <cellStyle name="Normal 13 2 4 2 2 3" xfId="5171" xr:uid="{00000000-0005-0000-0000-00008D090000}"/>
    <cellStyle name="Normal 13 2 4 2 2 3 2" xfId="8521" xr:uid="{00000000-0005-0000-0000-00008E090000}"/>
    <cellStyle name="Normal 13 2 4 2 2 4" xfId="10196" xr:uid="{00000000-0005-0000-0000-00008F090000}"/>
    <cellStyle name="Normal 13 2 4 2 2 5" xfId="6846" xr:uid="{00000000-0005-0000-0000-000090090000}"/>
    <cellStyle name="Normal 13 2 4 2 3" xfId="3732" xr:uid="{00000000-0005-0000-0000-000091090000}"/>
    <cellStyle name="Normal 13 2 4 2 3 2" xfId="4699" xr:uid="{00000000-0005-0000-0000-000092090000}"/>
    <cellStyle name="Normal 13 2 4 2 3 2 2" xfId="6374" xr:uid="{00000000-0005-0000-0000-000093090000}"/>
    <cellStyle name="Normal 13 2 4 2 3 2 2 2" xfId="9724" xr:uid="{00000000-0005-0000-0000-000094090000}"/>
    <cellStyle name="Normal 13 2 4 2 3 2 3" xfId="11399" xr:uid="{00000000-0005-0000-0000-000095090000}"/>
    <cellStyle name="Normal 13 2 4 2 3 2 4" xfId="8049" xr:uid="{00000000-0005-0000-0000-000096090000}"/>
    <cellStyle name="Normal 13 2 4 2 3 3" xfId="5407" xr:uid="{00000000-0005-0000-0000-000097090000}"/>
    <cellStyle name="Normal 13 2 4 2 3 3 2" xfId="8757" xr:uid="{00000000-0005-0000-0000-000098090000}"/>
    <cellStyle name="Normal 13 2 4 2 3 4" xfId="10432" xr:uid="{00000000-0005-0000-0000-000099090000}"/>
    <cellStyle name="Normal 13 2 4 2 3 5" xfId="7082" xr:uid="{00000000-0005-0000-0000-00009A090000}"/>
    <cellStyle name="Normal 13 2 4 2 4" xfId="3968" xr:uid="{00000000-0005-0000-0000-00009B090000}"/>
    <cellStyle name="Normal 13 2 4 2 4 2" xfId="5643" xr:uid="{00000000-0005-0000-0000-00009C090000}"/>
    <cellStyle name="Normal 13 2 4 2 4 2 2" xfId="8993" xr:uid="{00000000-0005-0000-0000-00009D090000}"/>
    <cellStyle name="Normal 13 2 4 2 4 3" xfId="10668" xr:uid="{00000000-0005-0000-0000-00009E090000}"/>
    <cellStyle name="Normal 13 2 4 2 4 4" xfId="7318" xr:uid="{00000000-0005-0000-0000-00009F090000}"/>
    <cellStyle name="Normal 13 2 4 2 5" xfId="4227" xr:uid="{00000000-0005-0000-0000-0000A0090000}"/>
    <cellStyle name="Normal 13 2 4 2 5 2" xfId="5902" xr:uid="{00000000-0005-0000-0000-0000A1090000}"/>
    <cellStyle name="Normal 13 2 4 2 5 2 2" xfId="9252" xr:uid="{00000000-0005-0000-0000-0000A2090000}"/>
    <cellStyle name="Normal 13 2 4 2 5 3" xfId="10927" xr:uid="{00000000-0005-0000-0000-0000A3090000}"/>
    <cellStyle name="Normal 13 2 4 2 5 4" xfId="7577" xr:uid="{00000000-0005-0000-0000-0000A4090000}"/>
    <cellStyle name="Normal 13 2 4 2 6" xfId="4935" xr:uid="{00000000-0005-0000-0000-0000A5090000}"/>
    <cellStyle name="Normal 13 2 4 2 6 2" xfId="8285" xr:uid="{00000000-0005-0000-0000-0000A6090000}"/>
    <cellStyle name="Normal 13 2 4 2 7" xfId="9960" xr:uid="{00000000-0005-0000-0000-0000A7090000}"/>
    <cellStyle name="Normal 13 2 4 2 8" xfId="6610" xr:uid="{00000000-0005-0000-0000-0000A8090000}"/>
    <cellStyle name="Normal 13 2 4 3" xfId="3379" xr:uid="{00000000-0005-0000-0000-0000A9090000}"/>
    <cellStyle name="Normal 13 2 4 3 2" xfId="4345" xr:uid="{00000000-0005-0000-0000-0000AA090000}"/>
    <cellStyle name="Normal 13 2 4 3 2 2" xfId="6020" xr:uid="{00000000-0005-0000-0000-0000AB090000}"/>
    <cellStyle name="Normal 13 2 4 3 2 2 2" xfId="9370" xr:uid="{00000000-0005-0000-0000-0000AC090000}"/>
    <cellStyle name="Normal 13 2 4 3 2 3" xfId="11045" xr:uid="{00000000-0005-0000-0000-0000AD090000}"/>
    <cellStyle name="Normal 13 2 4 3 2 4" xfId="7695" xr:uid="{00000000-0005-0000-0000-0000AE090000}"/>
    <cellStyle name="Normal 13 2 4 3 3" xfId="5053" xr:uid="{00000000-0005-0000-0000-0000AF090000}"/>
    <cellStyle name="Normal 13 2 4 3 3 2" xfId="8403" xr:uid="{00000000-0005-0000-0000-0000B0090000}"/>
    <cellStyle name="Normal 13 2 4 3 4" xfId="10078" xr:uid="{00000000-0005-0000-0000-0000B1090000}"/>
    <cellStyle name="Normal 13 2 4 3 5" xfId="6728" xr:uid="{00000000-0005-0000-0000-0000B2090000}"/>
    <cellStyle name="Normal 13 2 4 4" xfId="3614" xr:uid="{00000000-0005-0000-0000-0000B3090000}"/>
    <cellStyle name="Normal 13 2 4 4 2" xfId="4581" xr:uid="{00000000-0005-0000-0000-0000B4090000}"/>
    <cellStyle name="Normal 13 2 4 4 2 2" xfId="6256" xr:uid="{00000000-0005-0000-0000-0000B5090000}"/>
    <cellStyle name="Normal 13 2 4 4 2 2 2" xfId="9606" xr:uid="{00000000-0005-0000-0000-0000B6090000}"/>
    <cellStyle name="Normal 13 2 4 4 2 3" xfId="11281" xr:uid="{00000000-0005-0000-0000-0000B7090000}"/>
    <cellStyle name="Normal 13 2 4 4 2 4" xfId="7931" xr:uid="{00000000-0005-0000-0000-0000B8090000}"/>
    <cellStyle name="Normal 13 2 4 4 3" xfId="5289" xr:uid="{00000000-0005-0000-0000-0000B9090000}"/>
    <cellStyle name="Normal 13 2 4 4 3 2" xfId="8639" xr:uid="{00000000-0005-0000-0000-0000BA090000}"/>
    <cellStyle name="Normal 13 2 4 4 4" xfId="10314" xr:uid="{00000000-0005-0000-0000-0000BB090000}"/>
    <cellStyle name="Normal 13 2 4 4 5" xfId="6964" xr:uid="{00000000-0005-0000-0000-0000BC090000}"/>
    <cellStyle name="Normal 13 2 4 5" xfId="3850" xr:uid="{00000000-0005-0000-0000-0000BD090000}"/>
    <cellStyle name="Normal 13 2 4 5 2" xfId="5525" xr:uid="{00000000-0005-0000-0000-0000BE090000}"/>
    <cellStyle name="Normal 13 2 4 5 2 2" xfId="8875" xr:uid="{00000000-0005-0000-0000-0000BF090000}"/>
    <cellStyle name="Normal 13 2 4 5 3" xfId="10550" xr:uid="{00000000-0005-0000-0000-0000C0090000}"/>
    <cellStyle name="Normal 13 2 4 5 4" xfId="7200" xr:uid="{00000000-0005-0000-0000-0000C1090000}"/>
    <cellStyle name="Normal 13 2 4 6" xfId="4109" xr:uid="{00000000-0005-0000-0000-0000C2090000}"/>
    <cellStyle name="Normal 13 2 4 6 2" xfId="5784" xr:uid="{00000000-0005-0000-0000-0000C3090000}"/>
    <cellStyle name="Normal 13 2 4 6 2 2" xfId="9134" xr:uid="{00000000-0005-0000-0000-0000C4090000}"/>
    <cellStyle name="Normal 13 2 4 6 3" xfId="10809" xr:uid="{00000000-0005-0000-0000-0000C5090000}"/>
    <cellStyle name="Normal 13 2 4 6 4" xfId="7459" xr:uid="{00000000-0005-0000-0000-0000C6090000}"/>
    <cellStyle name="Normal 13 2 4 7" xfId="4817" xr:uid="{00000000-0005-0000-0000-0000C7090000}"/>
    <cellStyle name="Normal 13 2 4 7 2" xfId="8167" xr:uid="{00000000-0005-0000-0000-0000C8090000}"/>
    <cellStyle name="Normal 13 2 4 8" xfId="9842" xr:uid="{00000000-0005-0000-0000-0000C9090000}"/>
    <cellStyle name="Normal 13 2 4 9" xfId="6492" xr:uid="{00000000-0005-0000-0000-0000CA090000}"/>
    <cellStyle name="Normal 13 2 5" xfId="3167" xr:uid="{00000000-0005-0000-0000-0000CB090000}"/>
    <cellStyle name="Normal 13 2 5 2" xfId="3285" xr:uid="{00000000-0005-0000-0000-0000CC090000}"/>
    <cellStyle name="Normal 13 2 5 2 2" xfId="3521" xr:uid="{00000000-0005-0000-0000-0000CD090000}"/>
    <cellStyle name="Normal 13 2 5 2 2 2" xfId="4487" xr:uid="{00000000-0005-0000-0000-0000CE090000}"/>
    <cellStyle name="Normal 13 2 5 2 2 2 2" xfId="6162" xr:uid="{00000000-0005-0000-0000-0000CF090000}"/>
    <cellStyle name="Normal 13 2 5 2 2 2 2 2" xfId="9512" xr:uid="{00000000-0005-0000-0000-0000D0090000}"/>
    <cellStyle name="Normal 13 2 5 2 2 2 3" xfId="11187" xr:uid="{00000000-0005-0000-0000-0000D1090000}"/>
    <cellStyle name="Normal 13 2 5 2 2 2 4" xfId="7837" xr:uid="{00000000-0005-0000-0000-0000D2090000}"/>
    <cellStyle name="Normal 13 2 5 2 2 3" xfId="5195" xr:uid="{00000000-0005-0000-0000-0000D3090000}"/>
    <cellStyle name="Normal 13 2 5 2 2 3 2" xfId="8545" xr:uid="{00000000-0005-0000-0000-0000D4090000}"/>
    <cellStyle name="Normal 13 2 5 2 2 4" xfId="10220" xr:uid="{00000000-0005-0000-0000-0000D5090000}"/>
    <cellStyle name="Normal 13 2 5 2 2 5" xfId="6870" xr:uid="{00000000-0005-0000-0000-0000D6090000}"/>
    <cellStyle name="Normal 13 2 5 2 3" xfId="3756" xr:uid="{00000000-0005-0000-0000-0000D7090000}"/>
    <cellStyle name="Normal 13 2 5 2 3 2" xfId="4723" xr:uid="{00000000-0005-0000-0000-0000D8090000}"/>
    <cellStyle name="Normal 13 2 5 2 3 2 2" xfId="6398" xr:uid="{00000000-0005-0000-0000-0000D9090000}"/>
    <cellStyle name="Normal 13 2 5 2 3 2 2 2" xfId="9748" xr:uid="{00000000-0005-0000-0000-0000DA090000}"/>
    <cellStyle name="Normal 13 2 5 2 3 2 3" xfId="11423" xr:uid="{00000000-0005-0000-0000-0000DB090000}"/>
    <cellStyle name="Normal 13 2 5 2 3 2 4" xfId="8073" xr:uid="{00000000-0005-0000-0000-0000DC090000}"/>
    <cellStyle name="Normal 13 2 5 2 3 3" xfId="5431" xr:uid="{00000000-0005-0000-0000-0000DD090000}"/>
    <cellStyle name="Normal 13 2 5 2 3 3 2" xfId="8781" xr:uid="{00000000-0005-0000-0000-0000DE090000}"/>
    <cellStyle name="Normal 13 2 5 2 3 4" xfId="10456" xr:uid="{00000000-0005-0000-0000-0000DF090000}"/>
    <cellStyle name="Normal 13 2 5 2 3 5" xfId="7106" xr:uid="{00000000-0005-0000-0000-0000E0090000}"/>
    <cellStyle name="Normal 13 2 5 2 4" xfId="3992" xr:uid="{00000000-0005-0000-0000-0000E1090000}"/>
    <cellStyle name="Normal 13 2 5 2 4 2" xfId="5667" xr:uid="{00000000-0005-0000-0000-0000E2090000}"/>
    <cellStyle name="Normal 13 2 5 2 4 2 2" xfId="9017" xr:uid="{00000000-0005-0000-0000-0000E3090000}"/>
    <cellStyle name="Normal 13 2 5 2 4 3" xfId="10692" xr:uid="{00000000-0005-0000-0000-0000E4090000}"/>
    <cellStyle name="Normal 13 2 5 2 4 4" xfId="7342" xr:uid="{00000000-0005-0000-0000-0000E5090000}"/>
    <cellStyle name="Normal 13 2 5 2 5" xfId="4251" xr:uid="{00000000-0005-0000-0000-0000E6090000}"/>
    <cellStyle name="Normal 13 2 5 2 5 2" xfId="5926" xr:uid="{00000000-0005-0000-0000-0000E7090000}"/>
    <cellStyle name="Normal 13 2 5 2 5 2 2" xfId="9276" xr:uid="{00000000-0005-0000-0000-0000E8090000}"/>
    <cellStyle name="Normal 13 2 5 2 5 3" xfId="10951" xr:uid="{00000000-0005-0000-0000-0000E9090000}"/>
    <cellStyle name="Normal 13 2 5 2 5 4" xfId="7601" xr:uid="{00000000-0005-0000-0000-0000EA090000}"/>
    <cellStyle name="Normal 13 2 5 2 6" xfId="4959" xr:uid="{00000000-0005-0000-0000-0000EB090000}"/>
    <cellStyle name="Normal 13 2 5 2 6 2" xfId="8309" xr:uid="{00000000-0005-0000-0000-0000EC090000}"/>
    <cellStyle name="Normal 13 2 5 2 7" xfId="9984" xr:uid="{00000000-0005-0000-0000-0000ED090000}"/>
    <cellStyle name="Normal 13 2 5 2 8" xfId="6634" xr:uid="{00000000-0005-0000-0000-0000EE090000}"/>
    <cellStyle name="Normal 13 2 5 3" xfId="3403" xr:uid="{00000000-0005-0000-0000-0000EF090000}"/>
    <cellStyle name="Normal 13 2 5 3 2" xfId="4369" xr:uid="{00000000-0005-0000-0000-0000F0090000}"/>
    <cellStyle name="Normal 13 2 5 3 2 2" xfId="6044" xr:uid="{00000000-0005-0000-0000-0000F1090000}"/>
    <cellStyle name="Normal 13 2 5 3 2 2 2" xfId="9394" xr:uid="{00000000-0005-0000-0000-0000F2090000}"/>
    <cellStyle name="Normal 13 2 5 3 2 3" xfId="11069" xr:uid="{00000000-0005-0000-0000-0000F3090000}"/>
    <cellStyle name="Normal 13 2 5 3 2 4" xfId="7719" xr:uid="{00000000-0005-0000-0000-0000F4090000}"/>
    <cellStyle name="Normal 13 2 5 3 3" xfId="5077" xr:uid="{00000000-0005-0000-0000-0000F5090000}"/>
    <cellStyle name="Normal 13 2 5 3 3 2" xfId="8427" xr:uid="{00000000-0005-0000-0000-0000F6090000}"/>
    <cellStyle name="Normal 13 2 5 3 4" xfId="10102" xr:uid="{00000000-0005-0000-0000-0000F7090000}"/>
    <cellStyle name="Normal 13 2 5 3 5" xfId="6752" xr:uid="{00000000-0005-0000-0000-0000F8090000}"/>
    <cellStyle name="Normal 13 2 5 4" xfId="3638" xr:uid="{00000000-0005-0000-0000-0000F9090000}"/>
    <cellStyle name="Normal 13 2 5 4 2" xfId="4605" xr:uid="{00000000-0005-0000-0000-0000FA090000}"/>
    <cellStyle name="Normal 13 2 5 4 2 2" xfId="6280" xr:uid="{00000000-0005-0000-0000-0000FB090000}"/>
    <cellStyle name="Normal 13 2 5 4 2 2 2" xfId="9630" xr:uid="{00000000-0005-0000-0000-0000FC090000}"/>
    <cellStyle name="Normal 13 2 5 4 2 3" xfId="11305" xr:uid="{00000000-0005-0000-0000-0000FD090000}"/>
    <cellStyle name="Normal 13 2 5 4 2 4" xfId="7955" xr:uid="{00000000-0005-0000-0000-0000FE090000}"/>
    <cellStyle name="Normal 13 2 5 4 3" xfId="5313" xr:uid="{00000000-0005-0000-0000-0000FF090000}"/>
    <cellStyle name="Normal 13 2 5 4 3 2" xfId="8663" xr:uid="{00000000-0005-0000-0000-0000000A0000}"/>
    <cellStyle name="Normal 13 2 5 4 4" xfId="10338" xr:uid="{00000000-0005-0000-0000-0000010A0000}"/>
    <cellStyle name="Normal 13 2 5 4 5" xfId="6988" xr:uid="{00000000-0005-0000-0000-0000020A0000}"/>
    <cellStyle name="Normal 13 2 5 5" xfId="3874" xr:uid="{00000000-0005-0000-0000-0000030A0000}"/>
    <cellStyle name="Normal 13 2 5 5 2" xfId="5549" xr:uid="{00000000-0005-0000-0000-0000040A0000}"/>
    <cellStyle name="Normal 13 2 5 5 2 2" xfId="8899" xr:uid="{00000000-0005-0000-0000-0000050A0000}"/>
    <cellStyle name="Normal 13 2 5 5 3" xfId="10574" xr:uid="{00000000-0005-0000-0000-0000060A0000}"/>
    <cellStyle name="Normal 13 2 5 5 4" xfId="7224" xr:uid="{00000000-0005-0000-0000-0000070A0000}"/>
    <cellStyle name="Normal 13 2 5 6" xfId="4133" xr:uid="{00000000-0005-0000-0000-0000080A0000}"/>
    <cellStyle name="Normal 13 2 5 6 2" xfId="5808" xr:uid="{00000000-0005-0000-0000-0000090A0000}"/>
    <cellStyle name="Normal 13 2 5 6 2 2" xfId="9158" xr:uid="{00000000-0005-0000-0000-00000A0A0000}"/>
    <cellStyle name="Normal 13 2 5 6 3" xfId="10833" xr:uid="{00000000-0005-0000-0000-00000B0A0000}"/>
    <cellStyle name="Normal 13 2 5 6 4" xfId="7483" xr:uid="{00000000-0005-0000-0000-00000C0A0000}"/>
    <cellStyle name="Normal 13 2 5 7" xfId="4841" xr:uid="{00000000-0005-0000-0000-00000D0A0000}"/>
    <cellStyle name="Normal 13 2 5 7 2" xfId="8191" xr:uid="{00000000-0005-0000-0000-00000E0A0000}"/>
    <cellStyle name="Normal 13 2 5 8" xfId="9866" xr:uid="{00000000-0005-0000-0000-00000F0A0000}"/>
    <cellStyle name="Normal 13 2 5 9" xfId="6516" xr:uid="{00000000-0005-0000-0000-0000100A0000}"/>
    <cellStyle name="Normal 13 2 6" xfId="3191" xr:uid="{00000000-0005-0000-0000-0000110A0000}"/>
    <cellStyle name="Normal 13 2 6 2" xfId="3427" xr:uid="{00000000-0005-0000-0000-0000120A0000}"/>
    <cellStyle name="Normal 13 2 6 2 2" xfId="4393" xr:uid="{00000000-0005-0000-0000-0000130A0000}"/>
    <cellStyle name="Normal 13 2 6 2 2 2" xfId="6068" xr:uid="{00000000-0005-0000-0000-0000140A0000}"/>
    <cellStyle name="Normal 13 2 6 2 2 2 2" xfId="9418" xr:uid="{00000000-0005-0000-0000-0000150A0000}"/>
    <cellStyle name="Normal 13 2 6 2 2 3" xfId="11093" xr:uid="{00000000-0005-0000-0000-0000160A0000}"/>
    <cellStyle name="Normal 13 2 6 2 2 4" xfId="7743" xr:uid="{00000000-0005-0000-0000-0000170A0000}"/>
    <cellStyle name="Normal 13 2 6 2 3" xfId="5101" xr:uid="{00000000-0005-0000-0000-0000180A0000}"/>
    <cellStyle name="Normal 13 2 6 2 3 2" xfId="8451" xr:uid="{00000000-0005-0000-0000-0000190A0000}"/>
    <cellStyle name="Normal 13 2 6 2 4" xfId="10126" xr:uid="{00000000-0005-0000-0000-00001A0A0000}"/>
    <cellStyle name="Normal 13 2 6 2 5" xfId="6776" xr:uid="{00000000-0005-0000-0000-00001B0A0000}"/>
    <cellStyle name="Normal 13 2 6 3" xfId="3662" xr:uid="{00000000-0005-0000-0000-00001C0A0000}"/>
    <cellStyle name="Normal 13 2 6 3 2" xfId="4629" xr:uid="{00000000-0005-0000-0000-00001D0A0000}"/>
    <cellStyle name="Normal 13 2 6 3 2 2" xfId="6304" xr:uid="{00000000-0005-0000-0000-00001E0A0000}"/>
    <cellStyle name="Normal 13 2 6 3 2 2 2" xfId="9654" xr:uid="{00000000-0005-0000-0000-00001F0A0000}"/>
    <cellStyle name="Normal 13 2 6 3 2 3" xfId="11329" xr:uid="{00000000-0005-0000-0000-0000200A0000}"/>
    <cellStyle name="Normal 13 2 6 3 2 4" xfId="7979" xr:uid="{00000000-0005-0000-0000-0000210A0000}"/>
    <cellStyle name="Normal 13 2 6 3 3" xfId="5337" xr:uid="{00000000-0005-0000-0000-0000220A0000}"/>
    <cellStyle name="Normal 13 2 6 3 3 2" xfId="8687" xr:uid="{00000000-0005-0000-0000-0000230A0000}"/>
    <cellStyle name="Normal 13 2 6 3 4" xfId="10362" xr:uid="{00000000-0005-0000-0000-0000240A0000}"/>
    <cellStyle name="Normal 13 2 6 3 5" xfId="7012" xr:uid="{00000000-0005-0000-0000-0000250A0000}"/>
    <cellStyle name="Normal 13 2 6 4" xfId="3898" xr:uid="{00000000-0005-0000-0000-0000260A0000}"/>
    <cellStyle name="Normal 13 2 6 4 2" xfId="5573" xr:uid="{00000000-0005-0000-0000-0000270A0000}"/>
    <cellStyle name="Normal 13 2 6 4 2 2" xfId="8923" xr:uid="{00000000-0005-0000-0000-0000280A0000}"/>
    <cellStyle name="Normal 13 2 6 4 3" xfId="10598" xr:uid="{00000000-0005-0000-0000-0000290A0000}"/>
    <cellStyle name="Normal 13 2 6 4 4" xfId="7248" xr:uid="{00000000-0005-0000-0000-00002A0A0000}"/>
    <cellStyle name="Normal 13 2 6 5" xfId="4157" xr:uid="{00000000-0005-0000-0000-00002B0A0000}"/>
    <cellStyle name="Normal 13 2 6 5 2" xfId="5832" xr:uid="{00000000-0005-0000-0000-00002C0A0000}"/>
    <cellStyle name="Normal 13 2 6 5 2 2" xfId="9182" xr:uid="{00000000-0005-0000-0000-00002D0A0000}"/>
    <cellStyle name="Normal 13 2 6 5 3" xfId="10857" xr:uid="{00000000-0005-0000-0000-00002E0A0000}"/>
    <cellStyle name="Normal 13 2 6 5 4" xfId="7507" xr:uid="{00000000-0005-0000-0000-00002F0A0000}"/>
    <cellStyle name="Normal 13 2 6 6" xfId="4865" xr:uid="{00000000-0005-0000-0000-0000300A0000}"/>
    <cellStyle name="Normal 13 2 6 6 2" xfId="8215" xr:uid="{00000000-0005-0000-0000-0000310A0000}"/>
    <cellStyle name="Normal 13 2 6 7" xfId="9890" xr:uid="{00000000-0005-0000-0000-0000320A0000}"/>
    <cellStyle name="Normal 13 2 6 8" xfId="6540" xr:uid="{00000000-0005-0000-0000-0000330A0000}"/>
    <cellStyle name="Normal 13 2 7" xfId="3309" xr:uid="{00000000-0005-0000-0000-0000340A0000}"/>
    <cellStyle name="Normal 13 2 7 2" xfId="4275" xr:uid="{00000000-0005-0000-0000-0000350A0000}"/>
    <cellStyle name="Normal 13 2 7 2 2" xfId="5950" xr:uid="{00000000-0005-0000-0000-0000360A0000}"/>
    <cellStyle name="Normal 13 2 7 2 2 2" xfId="9300" xr:uid="{00000000-0005-0000-0000-0000370A0000}"/>
    <cellStyle name="Normal 13 2 7 2 3" xfId="10975" xr:uid="{00000000-0005-0000-0000-0000380A0000}"/>
    <cellStyle name="Normal 13 2 7 2 4" xfId="7625" xr:uid="{00000000-0005-0000-0000-0000390A0000}"/>
    <cellStyle name="Normal 13 2 7 3" xfId="4983" xr:uid="{00000000-0005-0000-0000-00003A0A0000}"/>
    <cellStyle name="Normal 13 2 7 3 2" xfId="8333" xr:uid="{00000000-0005-0000-0000-00003B0A0000}"/>
    <cellStyle name="Normal 13 2 7 4" xfId="10008" xr:uid="{00000000-0005-0000-0000-00003C0A0000}"/>
    <cellStyle name="Normal 13 2 7 5" xfId="6658" xr:uid="{00000000-0005-0000-0000-00003D0A0000}"/>
    <cellStyle name="Normal 13 2 8" xfId="3545" xr:uid="{00000000-0005-0000-0000-00003E0A0000}"/>
    <cellStyle name="Normal 13 2 8 2" xfId="4511" xr:uid="{00000000-0005-0000-0000-00003F0A0000}"/>
    <cellStyle name="Normal 13 2 8 2 2" xfId="6186" xr:uid="{00000000-0005-0000-0000-0000400A0000}"/>
    <cellStyle name="Normal 13 2 8 2 2 2" xfId="9536" xr:uid="{00000000-0005-0000-0000-0000410A0000}"/>
    <cellStyle name="Normal 13 2 8 2 3" xfId="11211" xr:uid="{00000000-0005-0000-0000-0000420A0000}"/>
    <cellStyle name="Normal 13 2 8 2 4" xfId="7861" xr:uid="{00000000-0005-0000-0000-0000430A0000}"/>
    <cellStyle name="Normal 13 2 8 3" xfId="5219" xr:uid="{00000000-0005-0000-0000-0000440A0000}"/>
    <cellStyle name="Normal 13 2 8 3 2" xfId="8569" xr:uid="{00000000-0005-0000-0000-0000450A0000}"/>
    <cellStyle name="Normal 13 2 8 4" xfId="10244" xr:uid="{00000000-0005-0000-0000-0000460A0000}"/>
    <cellStyle name="Normal 13 2 8 5" xfId="6894" xr:uid="{00000000-0005-0000-0000-0000470A0000}"/>
    <cellStyle name="Normal 13 2 9" xfId="3780" xr:uid="{00000000-0005-0000-0000-0000480A0000}"/>
    <cellStyle name="Normal 13 2 9 2" xfId="4039" xr:uid="{00000000-0005-0000-0000-0000490A0000}"/>
    <cellStyle name="Normal 13 2 9 2 2" xfId="5714" xr:uid="{00000000-0005-0000-0000-00004A0A0000}"/>
    <cellStyle name="Normal 13 2 9 2 2 2" xfId="9064" xr:uid="{00000000-0005-0000-0000-00004B0A0000}"/>
    <cellStyle name="Normal 13 2 9 2 3" xfId="10739" xr:uid="{00000000-0005-0000-0000-00004C0A0000}"/>
    <cellStyle name="Normal 13 2 9 2 4" xfId="7389" xr:uid="{00000000-0005-0000-0000-00004D0A0000}"/>
    <cellStyle name="Normal 13 2 9 3" xfId="5455" xr:uid="{00000000-0005-0000-0000-00004E0A0000}"/>
    <cellStyle name="Normal 13 2 9 3 2" xfId="8805" xr:uid="{00000000-0005-0000-0000-00004F0A0000}"/>
    <cellStyle name="Normal 13 2 9 4" xfId="10480" xr:uid="{00000000-0005-0000-0000-0000500A0000}"/>
    <cellStyle name="Normal 13 2 9 5" xfId="7130" xr:uid="{00000000-0005-0000-0000-0000510A0000}"/>
    <cellStyle name="Normal 13 3" xfId="3097" xr:uid="{00000000-0005-0000-0000-0000520A0000}"/>
    <cellStyle name="Normal 13 3 2" xfId="3214" xr:uid="{00000000-0005-0000-0000-0000530A0000}"/>
    <cellStyle name="Normal 13 3 2 2" xfId="3450" xr:uid="{00000000-0005-0000-0000-0000540A0000}"/>
    <cellStyle name="Normal 13 3 2 2 2" xfId="4416" xr:uid="{00000000-0005-0000-0000-0000550A0000}"/>
    <cellStyle name="Normal 13 3 2 2 2 2" xfId="6091" xr:uid="{00000000-0005-0000-0000-0000560A0000}"/>
    <cellStyle name="Normal 13 3 2 2 2 2 2" xfId="9441" xr:uid="{00000000-0005-0000-0000-0000570A0000}"/>
    <cellStyle name="Normal 13 3 2 2 2 3" xfId="11116" xr:uid="{00000000-0005-0000-0000-0000580A0000}"/>
    <cellStyle name="Normal 13 3 2 2 2 4" xfId="7766" xr:uid="{00000000-0005-0000-0000-0000590A0000}"/>
    <cellStyle name="Normal 13 3 2 2 3" xfId="5124" xr:uid="{00000000-0005-0000-0000-00005A0A0000}"/>
    <cellStyle name="Normal 13 3 2 2 3 2" xfId="8474" xr:uid="{00000000-0005-0000-0000-00005B0A0000}"/>
    <cellStyle name="Normal 13 3 2 2 4" xfId="10149" xr:uid="{00000000-0005-0000-0000-00005C0A0000}"/>
    <cellStyle name="Normal 13 3 2 2 5" xfId="6799" xr:uid="{00000000-0005-0000-0000-00005D0A0000}"/>
    <cellStyle name="Normal 13 3 2 3" xfId="3685" xr:uid="{00000000-0005-0000-0000-00005E0A0000}"/>
    <cellStyle name="Normal 13 3 2 3 2" xfId="4652" xr:uid="{00000000-0005-0000-0000-00005F0A0000}"/>
    <cellStyle name="Normal 13 3 2 3 2 2" xfId="6327" xr:uid="{00000000-0005-0000-0000-0000600A0000}"/>
    <cellStyle name="Normal 13 3 2 3 2 2 2" xfId="9677" xr:uid="{00000000-0005-0000-0000-0000610A0000}"/>
    <cellStyle name="Normal 13 3 2 3 2 3" xfId="11352" xr:uid="{00000000-0005-0000-0000-0000620A0000}"/>
    <cellStyle name="Normal 13 3 2 3 2 4" xfId="8002" xr:uid="{00000000-0005-0000-0000-0000630A0000}"/>
    <cellStyle name="Normal 13 3 2 3 3" xfId="5360" xr:uid="{00000000-0005-0000-0000-0000640A0000}"/>
    <cellStyle name="Normal 13 3 2 3 3 2" xfId="8710" xr:uid="{00000000-0005-0000-0000-0000650A0000}"/>
    <cellStyle name="Normal 13 3 2 3 4" xfId="10385" xr:uid="{00000000-0005-0000-0000-0000660A0000}"/>
    <cellStyle name="Normal 13 3 2 3 5" xfId="7035" xr:uid="{00000000-0005-0000-0000-0000670A0000}"/>
    <cellStyle name="Normal 13 3 2 4" xfId="3921" xr:uid="{00000000-0005-0000-0000-0000680A0000}"/>
    <cellStyle name="Normal 13 3 2 4 2" xfId="5596" xr:uid="{00000000-0005-0000-0000-0000690A0000}"/>
    <cellStyle name="Normal 13 3 2 4 2 2" xfId="8946" xr:uid="{00000000-0005-0000-0000-00006A0A0000}"/>
    <cellStyle name="Normal 13 3 2 4 3" xfId="10621" xr:uid="{00000000-0005-0000-0000-00006B0A0000}"/>
    <cellStyle name="Normal 13 3 2 4 4" xfId="7271" xr:uid="{00000000-0005-0000-0000-00006C0A0000}"/>
    <cellStyle name="Normal 13 3 2 5" xfId="4180" xr:uid="{00000000-0005-0000-0000-00006D0A0000}"/>
    <cellStyle name="Normal 13 3 2 5 2" xfId="5855" xr:uid="{00000000-0005-0000-0000-00006E0A0000}"/>
    <cellStyle name="Normal 13 3 2 5 2 2" xfId="9205" xr:uid="{00000000-0005-0000-0000-00006F0A0000}"/>
    <cellStyle name="Normal 13 3 2 5 3" xfId="10880" xr:uid="{00000000-0005-0000-0000-0000700A0000}"/>
    <cellStyle name="Normal 13 3 2 5 4" xfId="7530" xr:uid="{00000000-0005-0000-0000-0000710A0000}"/>
    <cellStyle name="Normal 13 3 2 6" xfId="4888" xr:uid="{00000000-0005-0000-0000-0000720A0000}"/>
    <cellStyle name="Normal 13 3 2 6 2" xfId="8238" xr:uid="{00000000-0005-0000-0000-0000730A0000}"/>
    <cellStyle name="Normal 13 3 2 7" xfId="9913" xr:uid="{00000000-0005-0000-0000-0000740A0000}"/>
    <cellStyle name="Normal 13 3 2 8" xfId="6563" xr:uid="{00000000-0005-0000-0000-0000750A0000}"/>
    <cellStyle name="Normal 13 3 3" xfId="3331" xr:uid="{00000000-0005-0000-0000-0000760A0000}"/>
    <cellStyle name="Normal 13 3 3 2" xfId="4297" xr:uid="{00000000-0005-0000-0000-0000770A0000}"/>
    <cellStyle name="Normal 13 3 3 2 2" xfId="5972" xr:uid="{00000000-0005-0000-0000-0000780A0000}"/>
    <cellStyle name="Normal 13 3 3 2 2 2" xfId="9322" xr:uid="{00000000-0005-0000-0000-0000790A0000}"/>
    <cellStyle name="Normal 13 3 3 2 3" xfId="10997" xr:uid="{00000000-0005-0000-0000-00007A0A0000}"/>
    <cellStyle name="Normal 13 3 3 2 4" xfId="7647" xr:uid="{00000000-0005-0000-0000-00007B0A0000}"/>
    <cellStyle name="Normal 13 3 3 3" xfId="5005" xr:uid="{00000000-0005-0000-0000-00007C0A0000}"/>
    <cellStyle name="Normal 13 3 3 3 2" xfId="8355" xr:uid="{00000000-0005-0000-0000-00007D0A0000}"/>
    <cellStyle name="Normal 13 3 3 4" xfId="10030" xr:uid="{00000000-0005-0000-0000-00007E0A0000}"/>
    <cellStyle name="Normal 13 3 3 5" xfId="6680" xr:uid="{00000000-0005-0000-0000-00007F0A0000}"/>
    <cellStyle name="Normal 13 3 4" xfId="3566" xr:uid="{00000000-0005-0000-0000-0000800A0000}"/>
    <cellStyle name="Normal 13 3 4 2" xfId="4533" xr:uid="{00000000-0005-0000-0000-0000810A0000}"/>
    <cellStyle name="Normal 13 3 4 2 2" xfId="6208" xr:uid="{00000000-0005-0000-0000-0000820A0000}"/>
    <cellStyle name="Normal 13 3 4 2 2 2" xfId="9558" xr:uid="{00000000-0005-0000-0000-0000830A0000}"/>
    <cellStyle name="Normal 13 3 4 2 3" xfId="11233" xr:uid="{00000000-0005-0000-0000-0000840A0000}"/>
    <cellStyle name="Normal 13 3 4 2 4" xfId="7883" xr:uid="{00000000-0005-0000-0000-0000850A0000}"/>
    <cellStyle name="Normal 13 3 4 3" xfId="5241" xr:uid="{00000000-0005-0000-0000-0000860A0000}"/>
    <cellStyle name="Normal 13 3 4 3 2" xfId="8591" xr:uid="{00000000-0005-0000-0000-0000870A0000}"/>
    <cellStyle name="Normal 13 3 4 4" xfId="10266" xr:uid="{00000000-0005-0000-0000-0000880A0000}"/>
    <cellStyle name="Normal 13 3 4 5" xfId="6916" xr:uid="{00000000-0005-0000-0000-0000890A0000}"/>
    <cellStyle name="Normal 13 3 5" xfId="3802" xr:uid="{00000000-0005-0000-0000-00008A0A0000}"/>
    <cellStyle name="Normal 13 3 5 2" xfId="5477" xr:uid="{00000000-0005-0000-0000-00008B0A0000}"/>
    <cellStyle name="Normal 13 3 5 2 2" xfId="8827" xr:uid="{00000000-0005-0000-0000-00008C0A0000}"/>
    <cellStyle name="Normal 13 3 5 3" xfId="10502" xr:uid="{00000000-0005-0000-0000-00008D0A0000}"/>
    <cellStyle name="Normal 13 3 5 4" xfId="7152" xr:uid="{00000000-0005-0000-0000-00008E0A0000}"/>
    <cellStyle name="Normal 13 3 6" xfId="4061" xr:uid="{00000000-0005-0000-0000-00008F0A0000}"/>
    <cellStyle name="Normal 13 3 6 2" xfId="5736" xr:uid="{00000000-0005-0000-0000-0000900A0000}"/>
    <cellStyle name="Normal 13 3 6 2 2" xfId="9086" xr:uid="{00000000-0005-0000-0000-0000910A0000}"/>
    <cellStyle name="Normal 13 3 6 3" xfId="10761" xr:uid="{00000000-0005-0000-0000-0000920A0000}"/>
    <cellStyle name="Normal 13 3 6 4" xfId="7411" xr:uid="{00000000-0005-0000-0000-0000930A0000}"/>
    <cellStyle name="Normal 13 3 7" xfId="4769" xr:uid="{00000000-0005-0000-0000-0000940A0000}"/>
    <cellStyle name="Normal 13 3 7 2" xfId="8119" xr:uid="{00000000-0005-0000-0000-0000950A0000}"/>
    <cellStyle name="Normal 13 3 8" xfId="9794" xr:uid="{00000000-0005-0000-0000-0000960A0000}"/>
    <cellStyle name="Normal 13 3 9" xfId="6444" xr:uid="{00000000-0005-0000-0000-0000970A0000}"/>
    <cellStyle name="Normal 13 4" xfId="3119" xr:uid="{00000000-0005-0000-0000-0000980A0000}"/>
    <cellStyle name="Normal 13 4 2" xfId="3236" xr:uid="{00000000-0005-0000-0000-0000990A0000}"/>
    <cellStyle name="Normal 13 4 2 2" xfId="3472" xr:uid="{00000000-0005-0000-0000-00009A0A0000}"/>
    <cellStyle name="Normal 13 4 2 2 2" xfId="4438" xr:uid="{00000000-0005-0000-0000-00009B0A0000}"/>
    <cellStyle name="Normal 13 4 2 2 2 2" xfId="6113" xr:uid="{00000000-0005-0000-0000-00009C0A0000}"/>
    <cellStyle name="Normal 13 4 2 2 2 2 2" xfId="9463" xr:uid="{00000000-0005-0000-0000-00009D0A0000}"/>
    <cellStyle name="Normal 13 4 2 2 2 3" xfId="11138" xr:uid="{00000000-0005-0000-0000-00009E0A0000}"/>
    <cellStyle name="Normal 13 4 2 2 2 4" xfId="7788" xr:uid="{00000000-0005-0000-0000-00009F0A0000}"/>
    <cellStyle name="Normal 13 4 2 2 3" xfId="5146" xr:uid="{00000000-0005-0000-0000-0000A00A0000}"/>
    <cellStyle name="Normal 13 4 2 2 3 2" xfId="8496" xr:uid="{00000000-0005-0000-0000-0000A10A0000}"/>
    <cellStyle name="Normal 13 4 2 2 4" xfId="10171" xr:uid="{00000000-0005-0000-0000-0000A20A0000}"/>
    <cellStyle name="Normal 13 4 2 2 5" xfId="6821" xr:uid="{00000000-0005-0000-0000-0000A30A0000}"/>
    <cellStyle name="Normal 13 4 2 3" xfId="3707" xr:uid="{00000000-0005-0000-0000-0000A40A0000}"/>
    <cellStyle name="Normal 13 4 2 3 2" xfId="4674" xr:uid="{00000000-0005-0000-0000-0000A50A0000}"/>
    <cellStyle name="Normal 13 4 2 3 2 2" xfId="6349" xr:uid="{00000000-0005-0000-0000-0000A60A0000}"/>
    <cellStyle name="Normal 13 4 2 3 2 2 2" xfId="9699" xr:uid="{00000000-0005-0000-0000-0000A70A0000}"/>
    <cellStyle name="Normal 13 4 2 3 2 3" xfId="11374" xr:uid="{00000000-0005-0000-0000-0000A80A0000}"/>
    <cellStyle name="Normal 13 4 2 3 2 4" xfId="8024" xr:uid="{00000000-0005-0000-0000-0000A90A0000}"/>
    <cellStyle name="Normal 13 4 2 3 3" xfId="5382" xr:uid="{00000000-0005-0000-0000-0000AA0A0000}"/>
    <cellStyle name="Normal 13 4 2 3 3 2" xfId="8732" xr:uid="{00000000-0005-0000-0000-0000AB0A0000}"/>
    <cellStyle name="Normal 13 4 2 3 4" xfId="10407" xr:uid="{00000000-0005-0000-0000-0000AC0A0000}"/>
    <cellStyle name="Normal 13 4 2 3 5" xfId="7057" xr:uid="{00000000-0005-0000-0000-0000AD0A0000}"/>
    <cellStyle name="Normal 13 4 2 4" xfId="3943" xr:uid="{00000000-0005-0000-0000-0000AE0A0000}"/>
    <cellStyle name="Normal 13 4 2 4 2" xfId="5618" xr:uid="{00000000-0005-0000-0000-0000AF0A0000}"/>
    <cellStyle name="Normal 13 4 2 4 2 2" xfId="8968" xr:uid="{00000000-0005-0000-0000-0000B00A0000}"/>
    <cellStyle name="Normal 13 4 2 4 3" xfId="10643" xr:uid="{00000000-0005-0000-0000-0000B10A0000}"/>
    <cellStyle name="Normal 13 4 2 4 4" xfId="7293" xr:uid="{00000000-0005-0000-0000-0000B20A0000}"/>
    <cellStyle name="Normal 13 4 2 5" xfId="4202" xr:uid="{00000000-0005-0000-0000-0000B30A0000}"/>
    <cellStyle name="Normal 13 4 2 5 2" xfId="5877" xr:uid="{00000000-0005-0000-0000-0000B40A0000}"/>
    <cellStyle name="Normal 13 4 2 5 2 2" xfId="9227" xr:uid="{00000000-0005-0000-0000-0000B50A0000}"/>
    <cellStyle name="Normal 13 4 2 5 3" xfId="10902" xr:uid="{00000000-0005-0000-0000-0000B60A0000}"/>
    <cellStyle name="Normal 13 4 2 5 4" xfId="7552" xr:uid="{00000000-0005-0000-0000-0000B70A0000}"/>
    <cellStyle name="Normal 13 4 2 6" xfId="4910" xr:uid="{00000000-0005-0000-0000-0000B80A0000}"/>
    <cellStyle name="Normal 13 4 2 6 2" xfId="8260" xr:uid="{00000000-0005-0000-0000-0000B90A0000}"/>
    <cellStyle name="Normal 13 4 2 7" xfId="9935" xr:uid="{00000000-0005-0000-0000-0000BA0A0000}"/>
    <cellStyle name="Normal 13 4 2 8" xfId="6585" xr:uid="{00000000-0005-0000-0000-0000BB0A0000}"/>
    <cellStyle name="Normal 13 4 3" xfId="3354" xr:uid="{00000000-0005-0000-0000-0000BC0A0000}"/>
    <cellStyle name="Normal 13 4 3 2" xfId="4320" xr:uid="{00000000-0005-0000-0000-0000BD0A0000}"/>
    <cellStyle name="Normal 13 4 3 2 2" xfId="5995" xr:uid="{00000000-0005-0000-0000-0000BE0A0000}"/>
    <cellStyle name="Normal 13 4 3 2 2 2" xfId="9345" xr:uid="{00000000-0005-0000-0000-0000BF0A0000}"/>
    <cellStyle name="Normal 13 4 3 2 3" xfId="11020" xr:uid="{00000000-0005-0000-0000-0000C00A0000}"/>
    <cellStyle name="Normal 13 4 3 2 4" xfId="7670" xr:uid="{00000000-0005-0000-0000-0000C10A0000}"/>
    <cellStyle name="Normal 13 4 3 3" xfId="5028" xr:uid="{00000000-0005-0000-0000-0000C20A0000}"/>
    <cellStyle name="Normal 13 4 3 3 2" xfId="8378" xr:uid="{00000000-0005-0000-0000-0000C30A0000}"/>
    <cellStyle name="Normal 13 4 3 4" xfId="10053" xr:uid="{00000000-0005-0000-0000-0000C40A0000}"/>
    <cellStyle name="Normal 13 4 3 5" xfId="6703" xr:uid="{00000000-0005-0000-0000-0000C50A0000}"/>
    <cellStyle name="Normal 13 4 4" xfId="3589" xr:uid="{00000000-0005-0000-0000-0000C60A0000}"/>
    <cellStyle name="Normal 13 4 4 2" xfId="4556" xr:uid="{00000000-0005-0000-0000-0000C70A0000}"/>
    <cellStyle name="Normal 13 4 4 2 2" xfId="6231" xr:uid="{00000000-0005-0000-0000-0000C80A0000}"/>
    <cellStyle name="Normal 13 4 4 2 2 2" xfId="9581" xr:uid="{00000000-0005-0000-0000-0000C90A0000}"/>
    <cellStyle name="Normal 13 4 4 2 3" xfId="11256" xr:uid="{00000000-0005-0000-0000-0000CA0A0000}"/>
    <cellStyle name="Normal 13 4 4 2 4" xfId="7906" xr:uid="{00000000-0005-0000-0000-0000CB0A0000}"/>
    <cellStyle name="Normal 13 4 4 3" xfId="5264" xr:uid="{00000000-0005-0000-0000-0000CC0A0000}"/>
    <cellStyle name="Normal 13 4 4 3 2" xfId="8614" xr:uid="{00000000-0005-0000-0000-0000CD0A0000}"/>
    <cellStyle name="Normal 13 4 4 4" xfId="10289" xr:uid="{00000000-0005-0000-0000-0000CE0A0000}"/>
    <cellStyle name="Normal 13 4 4 5" xfId="6939" xr:uid="{00000000-0005-0000-0000-0000CF0A0000}"/>
    <cellStyle name="Normal 13 4 5" xfId="3825" xr:uid="{00000000-0005-0000-0000-0000D00A0000}"/>
    <cellStyle name="Normal 13 4 5 2" xfId="5500" xr:uid="{00000000-0005-0000-0000-0000D10A0000}"/>
    <cellStyle name="Normal 13 4 5 2 2" xfId="8850" xr:uid="{00000000-0005-0000-0000-0000D20A0000}"/>
    <cellStyle name="Normal 13 4 5 3" xfId="10525" xr:uid="{00000000-0005-0000-0000-0000D30A0000}"/>
    <cellStyle name="Normal 13 4 5 4" xfId="7175" xr:uid="{00000000-0005-0000-0000-0000D40A0000}"/>
    <cellStyle name="Normal 13 4 6" xfId="4084" xr:uid="{00000000-0005-0000-0000-0000D50A0000}"/>
    <cellStyle name="Normal 13 4 6 2" xfId="5759" xr:uid="{00000000-0005-0000-0000-0000D60A0000}"/>
    <cellStyle name="Normal 13 4 6 2 2" xfId="9109" xr:uid="{00000000-0005-0000-0000-0000D70A0000}"/>
    <cellStyle name="Normal 13 4 6 3" xfId="10784" xr:uid="{00000000-0005-0000-0000-0000D80A0000}"/>
    <cellStyle name="Normal 13 4 6 4" xfId="7434" xr:uid="{00000000-0005-0000-0000-0000D90A0000}"/>
    <cellStyle name="Normal 13 4 7" xfId="4792" xr:uid="{00000000-0005-0000-0000-0000DA0A0000}"/>
    <cellStyle name="Normal 13 4 7 2" xfId="8142" xr:uid="{00000000-0005-0000-0000-0000DB0A0000}"/>
    <cellStyle name="Normal 13 4 8" xfId="9817" xr:uid="{00000000-0005-0000-0000-0000DC0A0000}"/>
    <cellStyle name="Normal 13 4 9" xfId="6467" xr:uid="{00000000-0005-0000-0000-0000DD0A0000}"/>
    <cellStyle name="Normal 13 5" xfId="3142" xr:uid="{00000000-0005-0000-0000-0000DE0A0000}"/>
    <cellStyle name="Normal 13 5 2" xfId="3260" xr:uid="{00000000-0005-0000-0000-0000DF0A0000}"/>
    <cellStyle name="Normal 13 5 2 2" xfId="3496" xr:uid="{00000000-0005-0000-0000-0000E00A0000}"/>
    <cellStyle name="Normal 13 5 2 2 2" xfId="4462" xr:uid="{00000000-0005-0000-0000-0000E10A0000}"/>
    <cellStyle name="Normal 13 5 2 2 2 2" xfId="6137" xr:uid="{00000000-0005-0000-0000-0000E20A0000}"/>
    <cellStyle name="Normal 13 5 2 2 2 2 2" xfId="9487" xr:uid="{00000000-0005-0000-0000-0000E30A0000}"/>
    <cellStyle name="Normal 13 5 2 2 2 3" xfId="11162" xr:uid="{00000000-0005-0000-0000-0000E40A0000}"/>
    <cellStyle name="Normal 13 5 2 2 2 4" xfId="7812" xr:uid="{00000000-0005-0000-0000-0000E50A0000}"/>
    <cellStyle name="Normal 13 5 2 2 3" xfId="5170" xr:uid="{00000000-0005-0000-0000-0000E60A0000}"/>
    <cellStyle name="Normal 13 5 2 2 3 2" xfId="8520" xr:uid="{00000000-0005-0000-0000-0000E70A0000}"/>
    <cellStyle name="Normal 13 5 2 2 4" xfId="10195" xr:uid="{00000000-0005-0000-0000-0000E80A0000}"/>
    <cellStyle name="Normal 13 5 2 2 5" xfId="6845" xr:uid="{00000000-0005-0000-0000-0000E90A0000}"/>
    <cellStyle name="Normal 13 5 2 3" xfId="3731" xr:uid="{00000000-0005-0000-0000-0000EA0A0000}"/>
    <cellStyle name="Normal 13 5 2 3 2" xfId="4698" xr:uid="{00000000-0005-0000-0000-0000EB0A0000}"/>
    <cellStyle name="Normal 13 5 2 3 2 2" xfId="6373" xr:uid="{00000000-0005-0000-0000-0000EC0A0000}"/>
    <cellStyle name="Normal 13 5 2 3 2 2 2" xfId="9723" xr:uid="{00000000-0005-0000-0000-0000ED0A0000}"/>
    <cellStyle name="Normal 13 5 2 3 2 3" xfId="11398" xr:uid="{00000000-0005-0000-0000-0000EE0A0000}"/>
    <cellStyle name="Normal 13 5 2 3 2 4" xfId="8048" xr:uid="{00000000-0005-0000-0000-0000EF0A0000}"/>
    <cellStyle name="Normal 13 5 2 3 3" xfId="5406" xr:uid="{00000000-0005-0000-0000-0000F00A0000}"/>
    <cellStyle name="Normal 13 5 2 3 3 2" xfId="8756" xr:uid="{00000000-0005-0000-0000-0000F10A0000}"/>
    <cellStyle name="Normal 13 5 2 3 4" xfId="10431" xr:uid="{00000000-0005-0000-0000-0000F20A0000}"/>
    <cellStyle name="Normal 13 5 2 3 5" xfId="7081" xr:uid="{00000000-0005-0000-0000-0000F30A0000}"/>
    <cellStyle name="Normal 13 5 2 4" xfId="3967" xr:uid="{00000000-0005-0000-0000-0000F40A0000}"/>
    <cellStyle name="Normal 13 5 2 4 2" xfId="5642" xr:uid="{00000000-0005-0000-0000-0000F50A0000}"/>
    <cellStyle name="Normal 13 5 2 4 2 2" xfId="8992" xr:uid="{00000000-0005-0000-0000-0000F60A0000}"/>
    <cellStyle name="Normal 13 5 2 4 3" xfId="10667" xr:uid="{00000000-0005-0000-0000-0000F70A0000}"/>
    <cellStyle name="Normal 13 5 2 4 4" xfId="7317" xr:uid="{00000000-0005-0000-0000-0000F80A0000}"/>
    <cellStyle name="Normal 13 5 2 5" xfId="4226" xr:uid="{00000000-0005-0000-0000-0000F90A0000}"/>
    <cellStyle name="Normal 13 5 2 5 2" xfId="5901" xr:uid="{00000000-0005-0000-0000-0000FA0A0000}"/>
    <cellStyle name="Normal 13 5 2 5 2 2" xfId="9251" xr:uid="{00000000-0005-0000-0000-0000FB0A0000}"/>
    <cellStyle name="Normal 13 5 2 5 3" xfId="10926" xr:uid="{00000000-0005-0000-0000-0000FC0A0000}"/>
    <cellStyle name="Normal 13 5 2 5 4" xfId="7576" xr:uid="{00000000-0005-0000-0000-0000FD0A0000}"/>
    <cellStyle name="Normal 13 5 2 6" xfId="4934" xr:uid="{00000000-0005-0000-0000-0000FE0A0000}"/>
    <cellStyle name="Normal 13 5 2 6 2" xfId="8284" xr:uid="{00000000-0005-0000-0000-0000FF0A0000}"/>
    <cellStyle name="Normal 13 5 2 7" xfId="9959" xr:uid="{00000000-0005-0000-0000-0000000B0000}"/>
    <cellStyle name="Normal 13 5 2 8" xfId="6609" xr:uid="{00000000-0005-0000-0000-0000010B0000}"/>
    <cellStyle name="Normal 13 5 3" xfId="3378" xr:uid="{00000000-0005-0000-0000-0000020B0000}"/>
    <cellStyle name="Normal 13 5 3 2" xfId="4344" xr:uid="{00000000-0005-0000-0000-0000030B0000}"/>
    <cellStyle name="Normal 13 5 3 2 2" xfId="6019" xr:uid="{00000000-0005-0000-0000-0000040B0000}"/>
    <cellStyle name="Normal 13 5 3 2 2 2" xfId="9369" xr:uid="{00000000-0005-0000-0000-0000050B0000}"/>
    <cellStyle name="Normal 13 5 3 2 3" xfId="11044" xr:uid="{00000000-0005-0000-0000-0000060B0000}"/>
    <cellStyle name="Normal 13 5 3 2 4" xfId="7694" xr:uid="{00000000-0005-0000-0000-0000070B0000}"/>
    <cellStyle name="Normal 13 5 3 3" xfId="5052" xr:uid="{00000000-0005-0000-0000-0000080B0000}"/>
    <cellStyle name="Normal 13 5 3 3 2" xfId="8402" xr:uid="{00000000-0005-0000-0000-0000090B0000}"/>
    <cellStyle name="Normal 13 5 3 4" xfId="10077" xr:uid="{00000000-0005-0000-0000-00000A0B0000}"/>
    <cellStyle name="Normal 13 5 3 5" xfId="6727" xr:uid="{00000000-0005-0000-0000-00000B0B0000}"/>
    <cellStyle name="Normal 13 5 4" xfId="3613" xr:uid="{00000000-0005-0000-0000-00000C0B0000}"/>
    <cellStyle name="Normal 13 5 4 2" xfId="4580" xr:uid="{00000000-0005-0000-0000-00000D0B0000}"/>
    <cellStyle name="Normal 13 5 4 2 2" xfId="6255" xr:uid="{00000000-0005-0000-0000-00000E0B0000}"/>
    <cellStyle name="Normal 13 5 4 2 2 2" xfId="9605" xr:uid="{00000000-0005-0000-0000-00000F0B0000}"/>
    <cellStyle name="Normal 13 5 4 2 3" xfId="11280" xr:uid="{00000000-0005-0000-0000-0000100B0000}"/>
    <cellStyle name="Normal 13 5 4 2 4" xfId="7930" xr:uid="{00000000-0005-0000-0000-0000110B0000}"/>
    <cellStyle name="Normal 13 5 4 3" xfId="5288" xr:uid="{00000000-0005-0000-0000-0000120B0000}"/>
    <cellStyle name="Normal 13 5 4 3 2" xfId="8638" xr:uid="{00000000-0005-0000-0000-0000130B0000}"/>
    <cellStyle name="Normal 13 5 4 4" xfId="10313" xr:uid="{00000000-0005-0000-0000-0000140B0000}"/>
    <cellStyle name="Normal 13 5 4 5" xfId="6963" xr:uid="{00000000-0005-0000-0000-0000150B0000}"/>
    <cellStyle name="Normal 13 5 5" xfId="3849" xr:uid="{00000000-0005-0000-0000-0000160B0000}"/>
    <cellStyle name="Normal 13 5 5 2" xfId="5524" xr:uid="{00000000-0005-0000-0000-0000170B0000}"/>
    <cellStyle name="Normal 13 5 5 2 2" xfId="8874" xr:uid="{00000000-0005-0000-0000-0000180B0000}"/>
    <cellStyle name="Normal 13 5 5 3" xfId="10549" xr:uid="{00000000-0005-0000-0000-0000190B0000}"/>
    <cellStyle name="Normal 13 5 5 4" xfId="7199" xr:uid="{00000000-0005-0000-0000-00001A0B0000}"/>
    <cellStyle name="Normal 13 5 6" xfId="4108" xr:uid="{00000000-0005-0000-0000-00001B0B0000}"/>
    <cellStyle name="Normal 13 5 6 2" xfId="5783" xr:uid="{00000000-0005-0000-0000-00001C0B0000}"/>
    <cellStyle name="Normal 13 5 6 2 2" xfId="9133" xr:uid="{00000000-0005-0000-0000-00001D0B0000}"/>
    <cellStyle name="Normal 13 5 6 3" xfId="10808" xr:uid="{00000000-0005-0000-0000-00001E0B0000}"/>
    <cellStyle name="Normal 13 5 6 4" xfId="7458" xr:uid="{00000000-0005-0000-0000-00001F0B0000}"/>
    <cellStyle name="Normal 13 5 7" xfId="4816" xr:uid="{00000000-0005-0000-0000-0000200B0000}"/>
    <cellStyle name="Normal 13 5 7 2" xfId="8166" xr:uid="{00000000-0005-0000-0000-0000210B0000}"/>
    <cellStyle name="Normal 13 5 8" xfId="9841" xr:uid="{00000000-0005-0000-0000-0000220B0000}"/>
    <cellStyle name="Normal 13 5 9" xfId="6491" xr:uid="{00000000-0005-0000-0000-0000230B0000}"/>
    <cellStyle name="Normal 13 6" xfId="3166" xr:uid="{00000000-0005-0000-0000-0000240B0000}"/>
    <cellStyle name="Normal 13 6 2" xfId="3284" xr:uid="{00000000-0005-0000-0000-0000250B0000}"/>
    <cellStyle name="Normal 13 6 2 2" xfId="3520" xr:uid="{00000000-0005-0000-0000-0000260B0000}"/>
    <cellStyle name="Normal 13 6 2 2 2" xfId="4486" xr:uid="{00000000-0005-0000-0000-0000270B0000}"/>
    <cellStyle name="Normal 13 6 2 2 2 2" xfId="6161" xr:uid="{00000000-0005-0000-0000-0000280B0000}"/>
    <cellStyle name="Normal 13 6 2 2 2 2 2" xfId="9511" xr:uid="{00000000-0005-0000-0000-0000290B0000}"/>
    <cellStyle name="Normal 13 6 2 2 2 3" xfId="11186" xr:uid="{00000000-0005-0000-0000-00002A0B0000}"/>
    <cellStyle name="Normal 13 6 2 2 2 4" xfId="7836" xr:uid="{00000000-0005-0000-0000-00002B0B0000}"/>
    <cellStyle name="Normal 13 6 2 2 3" xfId="5194" xr:uid="{00000000-0005-0000-0000-00002C0B0000}"/>
    <cellStyle name="Normal 13 6 2 2 3 2" xfId="8544" xr:uid="{00000000-0005-0000-0000-00002D0B0000}"/>
    <cellStyle name="Normal 13 6 2 2 4" xfId="10219" xr:uid="{00000000-0005-0000-0000-00002E0B0000}"/>
    <cellStyle name="Normal 13 6 2 2 5" xfId="6869" xr:uid="{00000000-0005-0000-0000-00002F0B0000}"/>
    <cellStyle name="Normal 13 6 2 3" xfId="3755" xr:uid="{00000000-0005-0000-0000-0000300B0000}"/>
    <cellStyle name="Normal 13 6 2 3 2" xfId="4722" xr:uid="{00000000-0005-0000-0000-0000310B0000}"/>
    <cellStyle name="Normal 13 6 2 3 2 2" xfId="6397" xr:uid="{00000000-0005-0000-0000-0000320B0000}"/>
    <cellStyle name="Normal 13 6 2 3 2 2 2" xfId="9747" xr:uid="{00000000-0005-0000-0000-0000330B0000}"/>
    <cellStyle name="Normal 13 6 2 3 2 3" xfId="11422" xr:uid="{00000000-0005-0000-0000-0000340B0000}"/>
    <cellStyle name="Normal 13 6 2 3 2 4" xfId="8072" xr:uid="{00000000-0005-0000-0000-0000350B0000}"/>
    <cellStyle name="Normal 13 6 2 3 3" xfId="5430" xr:uid="{00000000-0005-0000-0000-0000360B0000}"/>
    <cellStyle name="Normal 13 6 2 3 3 2" xfId="8780" xr:uid="{00000000-0005-0000-0000-0000370B0000}"/>
    <cellStyle name="Normal 13 6 2 3 4" xfId="10455" xr:uid="{00000000-0005-0000-0000-0000380B0000}"/>
    <cellStyle name="Normal 13 6 2 3 5" xfId="7105" xr:uid="{00000000-0005-0000-0000-0000390B0000}"/>
    <cellStyle name="Normal 13 6 2 4" xfId="3991" xr:uid="{00000000-0005-0000-0000-00003A0B0000}"/>
    <cellStyle name="Normal 13 6 2 4 2" xfId="5666" xr:uid="{00000000-0005-0000-0000-00003B0B0000}"/>
    <cellStyle name="Normal 13 6 2 4 2 2" xfId="9016" xr:uid="{00000000-0005-0000-0000-00003C0B0000}"/>
    <cellStyle name="Normal 13 6 2 4 3" xfId="10691" xr:uid="{00000000-0005-0000-0000-00003D0B0000}"/>
    <cellStyle name="Normal 13 6 2 4 4" xfId="7341" xr:uid="{00000000-0005-0000-0000-00003E0B0000}"/>
    <cellStyle name="Normal 13 6 2 5" xfId="4250" xr:uid="{00000000-0005-0000-0000-00003F0B0000}"/>
    <cellStyle name="Normal 13 6 2 5 2" xfId="5925" xr:uid="{00000000-0005-0000-0000-0000400B0000}"/>
    <cellStyle name="Normal 13 6 2 5 2 2" xfId="9275" xr:uid="{00000000-0005-0000-0000-0000410B0000}"/>
    <cellStyle name="Normal 13 6 2 5 3" xfId="10950" xr:uid="{00000000-0005-0000-0000-0000420B0000}"/>
    <cellStyle name="Normal 13 6 2 5 4" xfId="7600" xr:uid="{00000000-0005-0000-0000-0000430B0000}"/>
    <cellStyle name="Normal 13 6 2 6" xfId="4958" xr:uid="{00000000-0005-0000-0000-0000440B0000}"/>
    <cellStyle name="Normal 13 6 2 6 2" xfId="8308" xr:uid="{00000000-0005-0000-0000-0000450B0000}"/>
    <cellStyle name="Normal 13 6 2 7" xfId="9983" xr:uid="{00000000-0005-0000-0000-0000460B0000}"/>
    <cellStyle name="Normal 13 6 2 8" xfId="6633" xr:uid="{00000000-0005-0000-0000-0000470B0000}"/>
    <cellStyle name="Normal 13 6 3" xfId="3402" xr:uid="{00000000-0005-0000-0000-0000480B0000}"/>
    <cellStyle name="Normal 13 6 3 2" xfId="4368" xr:uid="{00000000-0005-0000-0000-0000490B0000}"/>
    <cellStyle name="Normal 13 6 3 2 2" xfId="6043" xr:uid="{00000000-0005-0000-0000-00004A0B0000}"/>
    <cellStyle name="Normal 13 6 3 2 2 2" xfId="9393" xr:uid="{00000000-0005-0000-0000-00004B0B0000}"/>
    <cellStyle name="Normal 13 6 3 2 3" xfId="11068" xr:uid="{00000000-0005-0000-0000-00004C0B0000}"/>
    <cellStyle name="Normal 13 6 3 2 4" xfId="7718" xr:uid="{00000000-0005-0000-0000-00004D0B0000}"/>
    <cellStyle name="Normal 13 6 3 3" xfId="5076" xr:uid="{00000000-0005-0000-0000-00004E0B0000}"/>
    <cellStyle name="Normal 13 6 3 3 2" xfId="8426" xr:uid="{00000000-0005-0000-0000-00004F0B0000}"/>
    <cellStyle name="Normal 13 6 3 4" xfId="10101" xr:uid="{00000000-0005-0000-0000-0000500B0000}"/>
    <cellStyle name="Normal 13 6 3 5" xfId="6751" xr:uid="{00000000-0005-0000-0000-0000510B0000}"/>
    <cellStyle name="Normal 13 6 4" xfId="3637" xr:uid="{00000000-0005-0000-0000-0000520B0000}"/>
    <cellStyle name="Normal 13 6 4 2" xfId="4604" xr:uid="{00000000-0005-0000-0000-0000530B0000}"/>
    <cellStyle name="Normal 13 6 4 2 2" xfId="6279" xr:uid="{00000000-0005-0000-0000-0000540B0000}"/>
    <cellStyle name="Normal 13 6 4 2 2 2" xfId="9629" xr:uid="{00000000-0005-0000-0000-0000550B0000}"/>
    <cellStyle name="Normal 13 6 4 2 3" xfId="11304" xr:uid="{00000000-0005-0000-0000-0000560B0000}"/>
    <cellStyle name="Normal 13 6 4 2 4" xfId="7954" xr:uid="{00000000-0005-0000-0000-0000570B0000}"/>
    <cellStyle name="Normal 13 6 4 3" xfId="5312" xr:uid="{00000000-0005-0000-0000-0000580B0000}"/>
    <cellStyle name="Normal 13 6 4 3 2" xfId="8662" xr:uid="{00000000-0005-0000-0000-0000590B0000}"/>
    <cellStyle name="Normal 13 6 4 4" xfId="10337" xr:uid="{00000000-0005-0000-0000-00005A0B0000}"/>
    <cellStyle name="Normal 13 6 4 5" xfId="6987" xr:uid="{00000000-0005-0000-0000-00005B0B0000}"/>
    <cellStyle name="Normal 13 6 5" xfId="3873" xr:uid="{00000000-0005-0000-0000-00005C0B0000}"/>
    <cellStyle name="Normal 13 6 5 2" xfId="5548" xr:uid="{00000000-0005-0000-0000-00005D0B0000}"/>
    <cellStyle name="Normal 13 6 5 2 2" xfId="8898" xr:uid="{00000000-0005-0000-0000-00005E0B0000}"/>
    <cellStyle name="Normal 13 6 5 3" xfId="10573" xr:uid="{00000000-0005-0000-0000-00005F0B0000}"/>
    <cellStyle name="Normal 13 6 5 4" xfId="7223" xr:uid="{00000000-0005-0000-0000-0000600B0000}"/>
    <cellStyle name="Normal 13 6 6" xfId="4132" xr:uid="{00000000-0005-0000-0000-0000610B0000}"/>
    <cellStyle name="Normal 13 6 6 2" xfId="5807" xr:uid="{00000000-0005-0000-0000-0000620B0000}"/>
    <cellStyle name="Normal 13 6 6 2 2" xfId="9157" xr:uid="{00000000-0005-0000-0000-0000630B0000}"/>
    <cellStyle name="Normal 13 6 6 3" xfId="10832" xr:uid="{00000000-0005-0000-0000-0000640B0000}"/>
    <cellStyle name="Normal 13 6 6 4" xfId="7482" xr:uid="{00000000-0005-0000-0000-0000650B0000}"/>
    <cellStyle name="Normal 13 6 7" xfId="4840" xr:uid="{00000000-0005-0000-0000-0000660B0000}"/>
    <cellStyle name="Normal 13 6 7 2" xfId="8190" xr:uid="{00000000-0005-0000-0000-0000670B0000}"/>
    <cellStyle name="Normal 13 6 8" xfId="9865" xr:uid="{00000000-0005-0000-0000-0000680B0000}"/>
    <cellStyle name="Normal 13 6 9" xfId="6515" xr:uid="{00000000-0005-0000-0000-0000690B0000}"/>
    <cellStyle name="Normal 13 7" xfId="3190" xr:uid="{00000000-0005-0000-0000-00006A0B0000}"/>
    <cellStyle name="Normal 13 7 2" xfId="3426" xr:uid="{00000000-0005-0000-0000-00006B0B0000}"/>
    <cellStyle name="Normal 13 7 2 2" xfId="4392" xr:uid="{00000000-0005-0000-0000-00006C0B0000}"/>
    <cellStyle name="Normal 13 7 2 2 2" xfId="6067" xr:uid="{00000000-0005-0000-0000-00006D0B0000}"/>
    <cellStyle name="Normal 13 7 2 2 2 2" xfId="9417" xr:uid="{00000000-0005-0000-0000-00006E0B0000}"/>
    <cellStyle name="Normal 13 7 2 2 3" xfId="11092" xr:uid="{00000000-0005-0000-0000-00006F0B0000}"/>
    <cellStyle name="Normal 13 7 2 2 4" xfId="7742" xr:uid="{00000000-0005-0000-0000-0000700B0000}"/>
    <cellStyle name="Normal 13 7 2 3" xfId="5100" xr:uid="{00000000-0005-0000-0000-0000710B0000}"/>
    <cellStyle name="Normal 13 7 2 3 2" xfId="8450" xr:uid="{00000000-0005-0000-0000-0000720B0000}"/>
    <cellStyle name="Normal 13 7 2 4" xfId="10125" xr:uid="{00000000-0005-0000-0000-0000730B0000}"/>
    <cellStyle name="Normal 13 7 2 5" xfId="6775" xr:uid="{00000000-0005-0000-0000-0000740B0000}"/>
    <cellStyle name="Normal 13 7 3" xfId="3661" xr:uid="{00000000-0005-0000-0000-0000750B0000}"/>
    <cellStyle name="Normal 13 7 3 2" xfId="4628" xr:uid="{00000000-0005-0000-0000-0000760B0000}"/>
    <cellStyle name="Normal 13 7 3 2 2" xfId="6303" xr:uid="{00000000-0005-0000-0000-0000770B0000}"/>
    <cellStyle name="Normal 13 7 3 2 2 2" xfId="9653" xr:uid="{00000000-0005-0000-0000-0000780B0000}"/>
    <cellStyle name="Normal 13 7 3 2 3" xfId="11328" xr:uid="{00000000-0005-0000-0000-0000790B0000}"/>
    <cellStyle name="Normal 13 7 3 2 4" xfId="7978" xr:uid="{00000000-0005-0000-0000-00007A0B0000}"/>
    <cellStyle name="Normal 13 7 3 3" xfId="5336" xr:uid="{00000000-0005-0000-0000-00007B0B0000}"/>
    <cellStyle name="Normal 13 7 3 3 2" xfId="8686" xr:uid="{00000000-0005-0000-0000-00007C0B0000}"/>
    <cellStyle name="Normal 13 7 3 4" xfId="10361" xr:uid="{00000000-0005-0000-0000-00007D0B0000}"/>
    <cellStyle name="Normal 13 7 3 5" xfId="7011" xr:uid="{00000000-0005-0000-0000-00007E0B0000}"/>
    <cellStyle name="Normal 13 7 4" xfId="3897" xr:uid="{00000000-0005-0000-0000-00007F0B0000}"/>
    <cellStyle name="Normal 13 7 4 2" xfId="5572" xr:uid="{00000000-0005-0000-0000-0000800B0000}"/>
    <cellStyle name="Normal 13 7 4 2 2" xfId="8922" xr:uid="{00000000-0005-0000-0000-0000810B0000}"/>
    <cellStyle name="Normal 13 7 4 3" xfId="10597" xr:uid="{00000000-0005-0000-0000-0000820B0000}"/>
    <cellStyle name="Normal 13 7 4 4" xfId="7247" xr:uid="{00000000-0005-0000-0000-0000830B0000}"/>
    <cellStyle name="Normal 13 7 5" xfId="4156" xr:uid="{00000000-0005-0000-0000-0000840B0000}"/>
    <cellStyle name="Normal 13 7 5 2" xfId="5831" xr:uid="{00000000-0005-0000-0000-0000850B0000}"/>
    <cellStyle name="Normal 13 7 5 2 2" xfId="9181" xr:uid="{00000000-0005-0000-0000-0000860B0000}"/>
    <cellStyle name="Normal 13 7 5 3" xfId="10856" xr:uid="{00000000-0005-0000-0000-0000870B0000}"/>
    <cellStyle name="Normal 13 7 5 4" xfId="7506" xr:uid="{00000000-0005-0000-0000-0000880B0000}"/>
    <cellStyle name="Normal 13 7 6" xfId="4864" xr:uid="{00000000-0005-0000-0000-0000890B0000}"/>
    <cellStyle name="Normal 13 7 6 2" xfId="8214" xr:uid="{00000000-0005-0000-0000-00008A0B0000}"/>
    <cellStyle name="Normal 13 7 7" xfId="9889" xr:uid="{00000000-0005-0000-0000-00008B0B0000}"/>
    <cellStyle name="Normal 13 7 8" xfId="6539" xr:uid="{00000000-0005-0000-0000-00008C0B0000}"/>
    <cellStyle name="Normal 13 8" xfId="3308" xr:uid="{00000000-0005-0000-0000-00008D0B0000}"/>
    <cellStyle name="Normal 13 8 2" xfId="4274" xr:uid="{00000000-0005-0000-0000-00008E0B0000}"/>
    <cellStyle name="Normal 13 8 2 2" xfId="5949" xr:uid="{00000000-0005-0000-0000-00008F0B0000}"/>
    <cellStyle name="Normal 13 8 2 2 2" xfId="9299" xr:uid="{00000000-0005-0000-0000-0000900B0000}"/>
    <cellStyle name="Normal 13 8 2 3" xfId="10974" xr:uid="{00000000-0005-0000-0000-0000910B0000}"/>
    <cellStyle name="Normal 13 8 2 4" xfId="7624" xr:uid="{00000000-0005-0000-0000-0000920B0000}"/>
    <cellStyle name="Normal 13 8 3" xfId="4982" xr:uid="{00000000-0005-0000-0000-0000930B0000}"/>
    <cellStyle name="Normal 13 8 3 2" xfId="8332" xr:uid="{00000000-0005-0000-0000-0000940B0000}"/>
    <cellStyle name="Normal 13 8 4" xfId="10007" xr:uid="{00000000-0005-0000-0000-0000950B0000}"/>
    <cellStyle name="Normal 13 8 5" xfId="6657" xr:uid="{00000000-0005-0000-0000-0000960B0000}"/>
    <cellStyle name="Normal 13 9" xfId="3544" xr:uid="{00000000-0005-0000-0000-0000970B0000}"/>
    <cellStyle name="Normal 13 9 2" xfId="4510" xr:uid="{00000000-0005-0000-0000-0000980B0000}"/>
    <cellStyle name="Normal 13 9 2 2" xfId="6185" xr:uid="{00000000-0005-0000-0000-0000990B0000}"/>
    <cellStyle name="Normal 13 9 2 2 2" xfId="9535" xr:uid="{00000000-0005-0000-0000-00009A0B0000}"/>
    <cellStyle name="Normal 13 9 2 3" xfId="11210" xr:uid="{00000000-0005-0000-0000-00009B0B0000}"/>
    <cellStyle name="Normal 13 9 2 4" xfId="7860" xr:uid="{00000000-0005-0000-0000-00009C0B0000}"/>
    <cellStyle name="Normal 13 9 3" xfId="5218" xr:uid="{00000000-0005-0000-0000-00009D0B0000}"/>
    <cellStyle name="Normal 13 9 3 2" xfId="8568" xr:uid="{00000000-0005-0000-0000-00009E0B0000}"/>
    <cellStyle name="Normal 13 9 4" xfId="10243" xr:uid="{00000000-0005-0000-0000-00009F0B0000}"/>
    <cellStyle name="Normal 13 9 5" xfId="6893" xr:uid="{00000000-0005-0000-0000-0000A00B0000}"/>
    <cellStyle name="Normal 14" xfId="2083" xr:uid="{00000000-0005-0000-0000-000059080000}"/>
    <cellStyle name="Normal 14 2" xfId="2415" xr:uid="{00000000-0005-0000-0000-00005A080000}"/>
    <cellStyle name="Normal 14 2 2" xfId="2632" xr:uid="{00000000-0005-0000-0000-00005B080000}"/>
    <cellStyle name="Normal 14 2 2 2" xfId="2834" xr:uid="{00000000-0005-0000-0000-00005B080000}"/>
    <cellStyle name="Normal 14 2 3" xfId="24" xr:uid="{5049CF5B-E09A-459D-9129-9C0C34E76BCB}"/>
    <cellStyle name="Normal 14 3" xfId="2796" xr:uid="{00000000-0005-0000-0000-000059080000}"/>
    <cellStyle name="Normal 15" xfId="277" xr:uid="{00000000-0005-0000-0000-00005C080000}"/>
    <cellStyle name="Normal 15 2" xfId="2084" xr:uid="{00000000-0005-0000-0000-00005D080000}"/>
    <cellStyle name="Normal 15 2 2" xfId="2416" xr:uid="{00000000-0005-0000-0000-00005E080000}"/>
    <cellStyle name="Normal 15 2 2 2" xfId="2819" xr:uid="{00000000-0005-0000-0000-00005E080000}"/>
    <cellStyle name="Normal 15 3" xfId="2085" xr:uid="{00000000-0005-0000-0000-00005F080000}"/>
    <cellStyle name="Normal 16" xfId="2086" xr:uid="{00000000-0005-0000-0000-000060080000}"/>
    <cellStyle name="Normal 16 10" xfId="3781" xr:uid="{00000000-0005-0000-0000-0000A60B0000}"/>
    <cellStyle name="Normal 16 10 2" xfId="4040" xr:uid="{00000000-0005-0000-0000-0000A70B0000}"/>
    <cellStyle name="Normal 16 10 2 2" xfId="5715" xr:uid="{00000000-0005-0000-0000-0000A80B0000}"/>
    <cellStyle name="Normal 16 10 2 2 2" xfId="9065" xr:uid="{00000000-0005-0000-0000-0000A90B0000}"/>
    <cellStyle name="Normal 16 10 2 3" xfId="10740" xr:uid="{00000000-0005-0000-0000-0000AA0B0000}"/>
    <cellStyle name="Normal 16 10 2 4" xfId="7390" xr:uid="{00000000-0005-0000-0000-0000AB0B0000}"/>
    <cellStyle name="Normal 16 10 3" xfId="5456" xr:uid="{00000000-0005-0000-0000-0000AC0B0000}"/>
    <cellStyle name="Normal 16 10 3 2" xfId="8806" xr:uid="{00000000-0005-0000-0000-0000AD0B0000}"/>
    <cellStyle name="Normal 16 10 4" xfId="10481" xr:uid="{00000000-0005-0000-0000-0000AE0B0000}"/>
    <cellStyle name="Normal 16 10 5" xfId="7131" xr:uid="{00000000-0005-0000-0000-0000AF0B0000}"/>
    <cellStyle name="Normal 16 11" xfId="4017" xr:uid="{00000000-0005-0000-0000-0000B00B0000}"/>
    <cellStyle name="Normal 16 11 2" xfId="5692" xr:uid="{00000000-0005-0000-0000-0000B10B0000}"/>
    <cellStyle name="Normal 16 11 2 2" xfId="9042" xr:uid="{00000000-0005-0000-0000-0000B20B0000}"/>
    <cellStyle name="Normal 16 11 3" xfId="10717" xr:uid="{00000000-0005-0000-0000-0000B30B0000}"/>
    <cellStyle name="Normal 16 11 4" xfId="7367" xr:uid="{00000000-0005-0000-0000-0000B40B0000}"/>
    <cellStyle name="Normal 16 12" xfId="4748" xr:uid="{00000000-0005-0000-0000-0000B50B0000}"/>
    <cellStyle name="Normal 16 12 2" xfId="8098" xr:uid="{00000000-0005-0000-0000-0000B60B0000}"/>
    <cellStyle name="Normal 16 13" xfId="9773" xr:uid="{00000000-0005-0000-0000-0000B70B0000}"/>
    <cellStyle name="Normal 16 14" xfId="6423" xr:uid="{00000000-0005-0000-0000-0000B80B0000}"/>
    <cellStyle name="Normal 16 15" xfId="12230" xr:uid="{00000000-0005-0000-0000-0000A50B0000}"/>
    <cellStyle name="Normal 16 2" xfId="2418" xr:uid="{00000000-0005-0000-0000-000061080000}"/>
    <cellStyle name="Normal 16 3" xfId="2417" xr:uid="{00000000-0005-0000-0000-000062080000}"/>
    <cellStyle name="Normal 16 3 10" xfId="3099" xr:uid="{00000000-0005-0000-0000-0000BA0B0000}"/>
    <cellStyle name="Normal 16 3 2" xfId="3216" xr:uid="{00000000-0005-0000-0000-0000BB0B0000}"/>
    <cellStyle name="Normal 16 3 2 2" xfId="3452" xr:uid="{00000000-0005-0000-0000-0000BC0B0000}"/>
    <cellStyle name="Normal 16 3 2 2 2" xfId="4418" xr:uid="{00000000-0005-0000-0000-0000BD0B0000}"/>
    <cellStyle name="Normal 16 3 2 2 2 2" xfId="6093" xr:uid="{00000000-0005-0000-0000-0000BE0B0000}"/>
    <cellStyle name="Normal 16 3 2 2 2 2 2" xfId="9443" xr:uid="{00000000-0005-0000-0000-0000BF0B0000}"/>
    <cellStyle name="Normal 16 3 2 2 2 3" xfId="11118" xr:uid="{00000000-0005-0000-0000-0000C00B0000}"/>
    <cellStyle name="Normal 16 3 2 2 2 4" xfId="7768" xr:uid="{00000000-0005-0000-0000-0000C10B0000}"/>
    <cellStyle name="Normal 16 3 2 2 3" xfId="5126" xr:uid="{00000000-0005-0000-0000-0000C20B0000}"/>
    <cellStyle name="Normal 16 3 2 2 3 2" xfId="8476" xr:uid="{00000000-0005-0000-0000-0000C30B0000}"/>
    <cellStyle name="Normal 16 3 2 2 4" xfId="10151" xr:uid="{00000000-0005-0000-0000-0000C40B0000}"/>
    <cellStyle name="Normal 16 3 2 2 5" xfId="6801" xr:uid="{00000000-0005-0000-0000-0000C50B0000}"/>
    <cellStyle name="Normal 16 3 2 3" xfId="3687" xr:uid="{00000000-0005-0000-0000-0000C60B0000}"/>
    <cellStyle name="Normal 16 3 2 3 2" xfId="4654" xr:uid="{00000000-0005-0000-0000-0000C70B0000}"/>
    <cellStyle name="Normal 16 3 2 3 2 2" xfId="6329" xr:uid="{00000000-0005-0000-0000-0000C80B0000}"/>
    <cellStyle name="Normal 16 3 2 3 2 2 2" xfId="9679" xr:uid="{00000000-0005-0000-0000-0000C90B0000}"/>
    <cellStyle name="Normal 16 3 2 3 2 3" xfId="11354" xr:uid="{00000000-0005-0000-0000-0000CA0B0000}"/>
    <cellStyle name="Normal 16 3 2 3 2 4" xfId="8004" xr:uid="{00000000-0005-0000-0000-0000CB0B0000}"/>
    <cellStyle name="Normal 16 3 2 3 3" xfId="5362" xr:uid="{00000000-0005-0000-0000-0000CC0B0000}"/>
    <cellStyle name="Normal 16 3 2 3 3 2" xfId="8712" xr:uid="{00000000-0005-0000-0000-0000CD0B0000}"/>
    <cellStyle name="Normal 16 3 2 3 4" xfId="10387" xr:uid="{00000000-0005-0000-0000-0000CE0B0000}"/>
    <cellStyle name="Normal 16 3 2 3 5" xfId="7037" xr:uid="{00000000-0005-0000-0000-0000CF0B0000}"/>
    <cellStyle name="Normal 16 3 2 4" xfId="3923" xr:uid="{00000000-0005-0000-0000-0000D00B0000}"/>
    <cellStyle name="Normal 16 3 2 4 2" xfId="5598" xr:uid="{00000000-0005-0000-0000-0000D10B0000}"/>
    <cellStyle name="Normal 16 3 2 4 2 2" xfId="8948" xr:uid="{00000000-0005-0000-0000-0000D20B0000}"/>
    <cellStyle name="Normal 16 3 2 4 3" xfId="10623" xr:uid="{00000000-0005-0000-0000-0000D30B0000}"/>
    <cellStyle name="Normal 16 3 2 4 4" xfId="7273" xr:uid="{00000000-0005-0000-0000-0000D40B0000}"/>
    <cellStyle name="Normal 16 3 2 5" xfId="4182" xr:uid="{00000000-0005-0000-0000-0000D50B0000}"/>
    <cellStyle name="Normal 16 3 2 5 2" xfId="5857" xr:uid="{00000000-0005-0000-0000-0000D60B0000}"/>
    <cellStyle name="Normal 16 3 2 5 2 2" xfId="9207" xr:uid="{00000000-0005-0000-0000-0000D70B0000}"/>
    <cellStyle name="Normal 16 3 2 5 3" xfId="10882" xr:uid="{00000000-0005-0000-0000-0000D80B0000}"/>
    <cellStyle name="Normal 16 3 2 5 4" xfId="7532" xr:uid="{00000000-0005-0000-0000-0000D90B0000}"/>
    <cellStyle name="Normal 16 3 2 6" xfId="4890" xr:uid="{00000000-0005-0000-0000-0000DA0B0000}"/>
    <cellStyle name="Normal 16 3 2 6 2" xfId="8240" xr:uid="{00000000-0005-0000-0000-0000DB0B0000}"/>
    <cellStyle name="Normal 16 3 2 7" xfId="9915" xr:uid="{00000000-0005-0000-0000-0000DC0B0000}"/>
    <cellStyle name="Normal 16 3 2 8" xfId="6565" xr:uid="{00000000-0005-0000-0000-0000DD0B0000}"/>
    <cellStyle name="Normal 16 3 3" xfId="3333" xr:uid="{00000000-0005-0000-0000-0000DE0B0000}"/>
    <cellStyle name="Normal 16 3 3 2" xfId="4299" xr:uid="{00000000-0005-0000-0000-0000DF0B0000}"/>
    <cellStyle name="Normal 16 3 3 2 2" xfId="5974" xr:uid="{00000000-0005-0000-0000-0000E00B0000}"/>
    <cellStyle name="Normal 16 3 3 2 2 2" xfId="9324" xr:uid="{00000000-0005-0000-0000-0000E10B0000}"/>
    <cellStyle name="Normal 16 3 3 2 3" xfId="10999" xr:uid="{00000000-0005-0000-0000-0000E20B0000}"/>
    <cellStyle name="Normal 16 3 3 2 4" xfId="7649" xr:uid="{00000000-0005-0000-0000-0000E30B0000}"/>
    <cellStyle name="Normal 16 3 3 3" xfId="5007" xr:uid="{00000000-0005-0000-0000-0000E40B0000}"/>
    <cellStyle name="Normal 16 3 3 3 2" xfId="8357" xr:uid="{00000000-0005-0000-0000-0000E50B0000}"/>
    <cellStyle name="Normal 16 3 3 4" xfId="10032" xr:uid="{00000000-0005-0000-0000-0000E60B0000}"/>
    <cellStyle name="Normal 16 3 3 5" xfId="6682" xr:uid="{00000000-0005-0000-0000-0000E70B0000}"/>
    <cellStyle name="Normal 16 3 4" xfId="3568" xr:uid="{00000000-0005-0000-0000-0000E80B0000}"/>
    <cellStyle name="Normal 16 3 4 2" xfId="4535" xr:uid="{00000000-0005-0000-0000-0000E90B0000}"/>
    <cellStyle name="Normal 16 3 4 2 2" xfId="6210" xr:uid="{00000000-0005-0000-0000-0000EA0B0000}"/>
    <cellStyle name="Normal 16 3 4 2 2 2" xfId="9560" xr:uid="{00000000-0005-0000-0000-0000EB0B0000}"/>
    <cellStyle name="Normal 16 3 4 2 3" xfId="11235" xr:uid="{00000000-0005-0000-0000-0000EC0B0000}"/>
    <cellStyle name="Normal 16 3 4 2 4" xfId="7885" xr:uid="{00000000-0005-0000-0000-0000ED0B0000}"/>
    <cellStyle name="Normal 16 3 4 3" xfId="5243" xr:uid="{00000000-0005-0000-0000-0000EE0B0000}"/>
    <cellStyle name="Normal 16 3 4 3 2" xfId="8593" xr:uid="{00000000-0005-0000-0000-0000EF0B0000}"/>
    <cellStyle name="Normal 16 3 4 4" xfId="10268" xr:uid="{00000000-0005-0000-0000-0000F00B0000}"/>
    <cellStyle name="Normal 16 3 4 5" xfId="6918" xr:uid="{00000000-0005-0000-0000-0000F10B0000}"/>
    <cellStyle name="Normal 16 3 5" xfId="3804" xr:uid="{00000000-0005-0000-0000-0000F20B0000}"/>
    <cellStyle name="Normal 16 3 5 2" xfId="5479" xr:uid="{00000000-0005-0000-0000-0000F30B0000}"/>
    <cellStyle name="Normal 16 3 5 2 2" xfId="8829" xr:uid="{00000000-0005-0000-0000-0000F40B0000}"/>
    <cellStyle name="Normal 16 3 5 3" xfId="10504" xr:uid="{00000000-0005-0000-0000-0000F50B0000}"/>
    <cellStyle name="Normal 16 3 5 4" xfId="7154" xr:uid="{00000000-0005-0000-0000-0000F60B0000}"/>
    <cellStyle name="Normal 16 3 6" xfId="4063" xr:uid="{00000000-0005-0000-0000-0000F70B0000}"/>
    <cellStyle name="Normal 16 3 6 2" xfId="5738" xr:uid="{00000000-0005-0000-0000-0000F80B0000}"/>
    <cellStyle name="Normal 16 3 6 2 2" xfId="9088" xr:uid="{00000000-0005-0000-0000-0000F90B0000}"/>
    <cellStyle name="Normal 16 3 6 3" xfId="10763" xr:uid="{00000000-0005-0000-0000-0000FA0B0000}"/>
    <cellStyle name="Normal 16 3 6 4" xfId="7413" xr:uid="{00000000-0005-0000-0000-0000FB0B0000}"/>
    <cellStyle name="Normal 16 3 7" xfId="4771" xr:uid="{00000000-0005-0000-0000-0000FC0B0000}"/>
    <cellStyle name="Normal 16 3 7 2" xfId="8121" xr:uid="{00000000-0005-0000-0000-0000FD0B0000}"/>
    <cellStyle name="Normal 16 3 8" xfId="9796" xr:uid="{00000000-0005-0000-0000-0000FE0B0000}"/>
    <cellStyle name="Normal 16 3 9" xfId="6446" xr:uid="{00000000-0005-0000-0000-0000FF0B0000}"/>
    <cellStyle name="Normal 16 4" xfId="3121" xr:uid="{00000000-0005-0000-0000-0000000C0000}"/>
    <cellStyle name="Normal 16 4 2" xfId="3238" xr:uid="{00000000-0005-0000-0000-0000010C0000}"/>
    <cellStyle name="Normal 16 4 2 2" xfId="3474" xr:uid="{00000000-0005-0000-0000-0000020C0000}"/>
    <cellStyle name="Normal 16 4 2 2 2" xfId="4440" xr:uid="{00000000-0005-0000-0000-0000030C0000}"/>
    <cellStyle name="Normal 16 4 2 2 2 2" xfId="6115" xr:uid="{00000000-0005-0000-0000-0000040C0000}"/>
    <cellStyle name="Normal 16 4 2 2 2 2 2" xfId="9465" xr:uid="{00000000-0005-0000-0000-0000050C0000}"/>
    <cellStyle name="Normal 16 4 2 2 2 3" xfId="11140" xr:uid="{00000000-0005-0000-0000-0000060C0000}"/>
    <cellStyle name="Normal 16 4 2 2 2 4" xfId="7790" xr:uid="{00000000-0005-0000-0000-0000070C0000}"/>
    <cellStyle name="Normal 16 4 2 2 3" xfId="5148" xr:uid="{00000000-0005-0000-0000-0000080C0000}"/>
    <cellStyle name="Normal 16 4 2 2 3 2" xfId="8498" xr:uid="{00000000-0005-0000-0000-0000090C0000}"/>
    <cellStyle name="Normal 16 4 2 2 4" xfId="10173" xr:uid="{00000000-0005-0000-0000-00000A0C0000}"/>
    <cellStyle name="Normal 16 4 2 2 5" xfId="6823" xr:uid="{00000000-0005-0000-0000-00000B0C0000}"/>
    <cellStyle name="Normal 16 4 2 3" xfId="3709" xr:uid="{00000000-0005-0000-0000-00000C0C0000}"/>
    <cellStyle name="Normal 16 4 2 3 2" xfId="4676" xr:uid="{00000000-0005-0000-0000-00000D0C0000}"/>
    <cellStyle name="Normal 16 4 2 3 2 2" xfId="6351" xr:uid="{00000000-0005-0000-0000-00000E0C0000}"/>
    <cellStyle name="Normal 16 4 2 3 2 2 2" xfId="9701" xr:uid="{00000000-0005-0000-0000-00000F0C0000}"/>
    <cellStyle name="Normal 16 4 2 3 2 3" xfId="11376" xr:uid="{00000000-0005-0000-0000-0000100C0000}"/>
    <cellStyle name="Normal 16 4 2 3 2 4" xfId="8026" xr:uid="{00000000-0005-0000-0000-0000110C0000}"/>
    <cellStyle name="Normal 16 4 2 3 3" xfId="5384" xr:uid="{00000000-0005-0000-0000-0000120C0000}"/>
    <cellStyle name="Normal 16 4 2 3 3 2" xfId="8734" xr:uid="{00000000-0005-0000-0000-0000130C0000}"/>
    <cellStyle name="Normal 16 4 2 3 4" xfId="10409" xr:uid="{00000000-0005-0000-0000-0000140C0000}"/>
    <cellStyle name="Normal 16 4 2 3 5" xfId="7059" xr:uid="{00000000-0005-0000-0000-0000150C0000}"/>
    <cellStyle name="Normal 16 4 2 4" xfId="3945" xr:uid="{00000000-0005-0000-0000-0000160C0000}"/>
    <cellStyle name="Normal 16 4 2 4 2" xfId="5620" xr:uid="{00000000-0005-0000-0000-0000170C0000}"/>
    <cellStyle name="Normal 16 4 2 4 2 2" xfId="8970" xr:uid="{00000000-0005-0000-0000-0000180C0000}"/>
    <cellStyle name="Normal 16 4 2 4 3" xfId="10645" xr:uid="{00000000-0005-0000-0000-0000190C0000}"/>
    <cellStyle name="Normal 16 4 2 4 4" xfId="7295" xr:uid="{00000000-0005-0000-0000-00001A0C0000}"/>
    <cellStyle name="Normal 16 4 2 5" xfId="4204" xr:uid="{00000000-0005-0000-0000-00001B0C0000}"/>
    <cellStyle name="Normal 16 4 2 5 2" xfId="5879" xr:uid="{00000000-0005-0000-0000-00001C0C0000}"/>
    <cellStyle name="Normal 16 4 2 5 2 2" xfId="9229" xr:uid="{00000000-0005-0000-0000-00001D0C0000}"/>
    <cellStyle name="Normal 16 4 2 5 3" xfId="10904" xr:uid="{00000000-0005-0000-0000-00001E0C0000}"/>
    <cellStyle name="Normal 16 4 2 5 4" xfId="7554" xr:uid="{00000000-0005-0000-0000-00001F0C0000}"/>
    <cellStyle name="Normal 16 4 2 6" xfId="4912" xr:uid="{00000000-0005-0000-0000-0000200C0000}"/>
    <cellStyle name="Normal 16 4 2 6 2" xfId="8262" xr:uid="{00000000-0005-0000-0000-0000210C0000}"/>
    <cellStyle name="Normal 16 4 2 7" xfId="9937" xr:uid="{00000000-0005-0000-0000-0000220C0000}"/>
    <cellStyle name="Normal 16 4 2 8" xfId="6587" xr:uid="{00000000-0005-0000-0000-0000230C0000}"/>
    <cellStyle name="Normal 16 4 3" xfId="3356" xr:uid="{00000000-0005-0000-0000-0000240C0000}"/>
    <cellStyle name="Normal 16 4 3 2" xfId="4322" xr:uid="{00000000-0005-0000-0000-0000250C0000}"/>
    <cellStyle name="Normal 16 4 3 2 2" xfId="5997" xr:uid="{00000000-0005-0000-0000-0000260C0000}"/>
    <cellStyle name="Normal 16 4 3 2 2 2" xfId="9347" xr:uid="{00000000-0005-0000-0000-0000270C0000}"/>
    <cellStyle name="Normal 16 4 3 2 3" xfId="11022" xr:uid="{00000000-0005-0000-0000-0000280C0000}"/>
    <cellStyle name="Normal 16 4 3 2 4" xfId="7672" xr:uid="{00000000-0005-0000-0000-0000290C0000}"/>
    <cellStyle name="Normal 16 4 3 3" xfId="5030" xr:uid="{00000000-0005-0000-0000-00002A0C0000}"/>
    <cellStyle name="Normal 16 4 3 3 2" xfId="8380" xr:uid="{00000000-0005-0000-0000-00002B0C0000}"/>
    <cellStyle name="Normal 16 4 3 4" xfId="10055" xr:uid="{00000000-0005-0000-0000-00002C0C0000}"/>
    <cellStyle name="Normal 16 4 3 5" xfId="6705" xr:uid="{00000000-0005-0000-0000-00002D0C0000}"/>
    <cellStyle name="Normal 16 4 4" xfId="3591" xr:uid="{00000000-0005-0000-0000-00002E0C0000}"/>
    <cellStyle name="Normal 16 4 4 2" xfId="4558" xr:uid="{00000000-0005-0000-0000-00002F0C0000}"/>
    <cellStyle name="Normal 16 4 4 2 2" xfId="6233" xr:uid="{00000000-0005-0000-0000-0000300C0000}"/>
    <cellStyle name="Normal 16 4 4 2 2 2" xfId="9583" xr:uid="{00000000-0005-0000-0000-0000310C0000}"/>
    <cellStyle name="Normal 16 4 4 2 3" xfId="11258" xr:uid="{00000000-0005-0000-0000-0000320C0000}"/>
    <cellStyle name="Normal 16 4 4 2 4" xfId="7908" xr:uid="{00000000-0005-0000-0000-0000330C0000}"/>
    <cellStyle name="Normal 16 4 4 3" xfId="5266" xr:uid="{00000000-0005-0000-0000-0000340C0000}"/>
    <cellStyle name="Normal 16 4 4 3 2" xfId="8616" xr:uid="{00000000-0005-0000-0000-0000350C0000}"/>
    <cellStyle name="Normal 16 4 4 4" xfId="10291" xr:uid="{00000000-0005-0000-0000-0000360C0000}"/>
    <cellStyle name="Normal 16 4 4 5" xfId="6941" xr:uid="{00000000-0005-0000-0000-0000370C0000}"/>
    <cellStyle name="Normal 16 4 5" xfId="3827" xr:uid="{00000000-0005-0000-0000-0000380C0000}"/>
    <cellStyle name="Normal 16 4 5 2" xfId="5502" xr:uid="{00000000-0005-0000-0000-0000390C0000}"/>
    <cellStyle name="Normal 16 4 5 2 2" xfId="8852" xr:uid="{00000000-0005-0000-0000-00003A0C0000}"/>
    <cellStyle name="Normal 16 4 5 3" xfId="10527" xr:uid="{00000000-0005-0000-0000-00003B0C0000}"/>
    <cellStyle name="Normal 16 4 5 4" xfId="7177" xr:uid="{00000000-0005-0000-0000-00003C0C0000}"/>
    <cellStyle name="Normal 16 4 6" xfId="4086" xr:uid="{00000000-0005-0000-0000-00003D0C0000}"/>
    <cellStyle name="Normal 16 4 6 2" xfId="5761" xr:uid="{00000000-0005-0000-0000-00003E0C0000}"/>
    <cellStyle name="Normal 16 4 6 2 2" xfId="9111" xr:uid="{00000000-0005-0000-0000-00003F0C0000}"/>
    <cellStyle name="Normal 16 4 6 3" xfId="10786" xr:uid="{00000000-0005-0000-0000-0000400C0000}"/>
    <cellStyle name="Normal 16 4 6 4" xfId="7436" xr:uid="{00000000-0005-0000-0000-0000410C0000}"/>
    <cellStyle name="Normal 16 4 7" xfId="4794" xr:uid="{00000000-0005-0000-0000-0000420C0000}"/>
    <cellStyle name="Normal 16 4 7 2" xfId="8144" xr:uid="{00000000-0005-0000-0000-0000430C0000}"/>
    <cellStyle name="Normal 16 4 8" xfId="9819" xr:uid="{00000000-0005-0000-0000-0000440C0000}"/>
    <cellStyle name="Normal 16 4 9" xfId="6469" xr:uid="{00000000-0005-0000-0000-0000450C0000}"/>
    <cellStyle name="Normal 16 5" xfId="3144" xr:uid="{00000000-0005-0000-0000-0000460C0000}"/>
    <cellStyle name="Normal 16 5 2" xfId="3262" xr:uid="{00000000-0005-0000-0000-0000470C0000}"/>
    <cellStyle name="Normal 16 5 2 2" xfId="3498" xr:uid="{00000000-0005-0000-0000-0000480C0000}"/>
    <cellStyle name="Normal 16 5 2 2 2" xfId="4464" xr:uid="{00000000-0005-0000-0000-0000490C0000}"/>
    <cellStyle name="Normal 16 5 2 2 2 2" xfId="6139" xr:uid="{00000000-0005-0000-0000-00004A0C0000}"/>
    <cellStyle name="Normal 16 5 2 2 2 2 2" xfId="9489" xr:uid="{00000000-0005-0000-0000-00004B0C0000}"/>
    <cellStyle name="Normal 16 5 2 2 2 3" xfId="11164" xr:uid="{00000000-0005-0000-0000-00004C0C0000}"/>
    <cellStyle name="Normal 16 5 2 2 2 4" xfId="7814" xr:uid="{00000000-0005-0000-0000-00004D0C0000}"/>
    <cellStyle name="Normal 16 5 2 2 3" xfId="5172" xr:uid="{00000000-0005-0000-0000-00004E0C0000}"/>
    <cellStyle name="Normal 16 5 2 2 3 2" xfId="8522" xr:uid="{00000000-0005-0000-0000-00004F0C0000}"/>
    <cellStyle name="Normal 16 5 2 2 4" xfId="10197" xr:uid="{00000000-0005-0000-0000-0000500C0000}"/>
    <cellStyle name="Normal 16 5 2 2 5" xfId="6847" xr:uid="{00000000-0005-0000-0000-0000510C0000}"/>
    <cellStyle name="Normal 16 5 2 3" xfId="3733" xr:uid="{00000000-0005-0000-0000-0000520C0000}"/>
    <cellStyle name="Normal 16 5 2 3 2" xfId="4700" xr:uid="{00000000-0005-0000-0000-0000530C0000}"/>
    <cellStyle name="Normal 16 5 2 3 2 2" xfId="6375" xr:uid="{00000000-0005-0000-0000-0000540C0000}"/>
    <cellStyle name="Normal 16 5 2 3 2 2 2" xfId="9725" xr:uid="{00000000-0005-0000-0000-0000550C0000}"/>
    <cellStyle name="Normal 16 5 2 3 2 3" xfId="11400" xr:uid="{00000000-0005-0000-0000-0000560C0000}"/>
    <cellStyle name="Normal 16 5 2 3 2 4" xfId="8050" xr:uid="{00000000-0005-0000-0000-0000570C0000}"/>
    <cellStyle name="Normal 16 5 2 3 3" xfId="5408" xr:uid="{00000000-0005-0000-0000-0000580C0000}"/>
    <cellStyle name="Normal 16 5 2 3 3 2" xfId="8758" xr:uid="{00000000-0005-0000-0000-0000590C0000}"/>
    <cellStyle name="Normal 16 5 2 3 4" xfId="10433" xr:uid="{00000000-0005-0000-0000-00005A0C0000}"/>
    <cellStyle name="Normal 16 5 2 3 5" xfId="7083" xr:uid="{00000000-0005-0000-0000-00005B0C0000}"/>
    <cellStyle name="Normal 16 5 2 4" xfId="3969" xr:uid="{00000000-0005-0000-0000-00005C0C0000}"/>
    <cellStyle name="Normal 16 5 2 4 2" xfId="5644" xr:uid="{00000000-0005-0000-0000-00005D0C0000}"/>
    <cellStyle name="Normal 16 5 2 4 2 2" xfId="8994" xr:uid="{00000000-0005-0000-0000-00005E0C0000}"/>
    <cellStyle name="Normal 16 5 2 4 3" xfId="10669" xr:uid="{00000000-0005-0000-0000-00005F0C0000}"/>
    <cellStyle name="Normal 16 5 2 4 4" xfId="7319" xr:uid="{00000000-0005-0000-0000-0000600C0000}"/>
    <cellStyle name="Normal 16 5 2 5" xfId="4228" xr:uid="{00000000-0005-0000-0000-0000610C0000}"/>
    <cellStyle name="Normal 16 5 2 5 2" xfId="5903" xr:uid="{00000000-0005-0000-0000-0000620C0000}"/>
    <cellStyle name="Normal 16 5 2 5 2 2" xfId="9253" xr:uid="{00000000-0005-0000-0000-0000630C0000}"/>
    <cellStyle name="Normal 16 5 2 5 3" xfId="10928" xr:uid="{00000000-0005-0000-0000-0000640C0000}"/>
    <cellStyle name="Normal 16 5 2 5 4" xfId="7578" xr:uid="{00000000-0005-0000-0000-0000650C0000}"/>
    <cellStyle name="Normal 16 5 2 6" xfId="4936" xr:uid="{00000000-0005-0000-0000-0000660C0000}"/>
    <cellStyle name="Normal 16 5 2 6 2" xfId="8286" xr:uid="{00000000-0005-0000-0000-0000670C0000}"/>
    <cellStyle name="Normal 16 5 2 7" xfId="9961" xr:uid="{00000000-0005-0000-0000-0000680C0000}"/>
    <cellStyle name="Normal 16 5 2 8" xfId="6611" xr:uid="{00000000-0005-0000-0000-0000690C0000}"/>
    <cellStyle name="Normal 16 5 3" xfId="3380" xr:uid="{00000000-0005-0000-0000-00006A0C0000}"/>
    <cellStyle name="Normal 16 5 3 2" xfId="4346" xr:uid="{00000000-0005-0000-0000-00006B0C0000}"/>
    <cellStyle name="Normal 16 5 3 2 2" xfId="6021" xr:uid="{00000000-0005-0000-0000-00006C0C0000}"/>
    <cellStyle name="Normal 16 5 3 2 2 2" xfId="9371" xr:uid="{00000000-0005-0000-0000-00006D0C0000}"/>
    <cellStyle name="Normal 16 5 3 2 3" xfId="11046" xr:uid="{00000000-0005-0000-0000-00006E0C0000}"/>
    <cellStyle name="Normal 16 5 3 2 4" xfId="7696" xr:uid="{00000000-0005-0000-0000-00006F0C0000}"/>
    <cellStyle name="Normal 16 5 3 3" xfId="5054" xr:uid="{00000000-0005-0000-0000-0000700C0000}"/>
    <cellStyle name="Normal 16 5 3 3 2" xfId="8404" xr:uid="{00000000-0005-0000-0000-0000710C0000}"/>
    <cellStyle name="Normal 16 5 3 4" xfId="10079" xr:uid="{00000000-0005-0000-0000-0000720C0000}"/>
    <cellStyle name="Normal 16 5 3 5" xfId="6729" xr:uid="{00000000-0005-0000-0000-0000730C0000}"/>
    <cellStyle name="Normal 16 5 4" xfId="3615" xr:uid="{00000000-0005-0000-0000-0000740C0000}"/>
    <cellStyle name="Normal 16 5 4 2" xfId="4582" xr:uid="{00000000-0005-0000-0000-0000750C0000}"/>
    <cellStyle name="Normal 16 5 4 2 2" xfId="6257" xr:uid="{00000000-0005-0000-0000-0000760C0000}"/>
    <cellStyle name="Normal 16 5 4 2 2 2" xfId="9607" xr:uid="{00000000-0005-0000-0000-0000770C0000}"/>
    <cellStyle name="Normal 16 5 4 2 3" xfId="11282" xr:uid="{00000000-0005-0000-0000-0000780C0000}"/>
    <cellStyle name="Normal 16 5 4 2 4" xfId="7932" xr:uid="{00000000-0005-0000-0000-0000790C0000}"/>
    <cellStyle name="Normal 16 5 4 3" xfId="5290" xr:uid="{00000000-0005-0000-0000-00007A0C0000}"/>
    <cellStyle name="Normal 16 5 4 3 2" xfId="8640" xr:uid="{00000000-0005-0000-0000-00007B0C0000}"/>
    <cellStyle name="Normal 16 5 4 4" xfId="10315" xr:uid="{00000000-0005-0000-0000-00007C0C0000}"/>
    <cellStyle name="Normal 16 5 4 5" xfId="6965" xr:uid="{00000000-0005-0000-0000-00007D0C0000}"/>
    <cellStyle name="Normal 16 5 5" xfId="3851" xr:uid="{00000000-0005-0000-0000-00007E0C0000}"/>
    <cellStyle name="Normal 16 5 5 2" xfId="5526" xr:uid="{00000000-0005-0000-0000-00007F0C0000}"/>
    <cellStyle name="Normal 16 5 5 2 2" xfId="8876" xr:uid="{00000000-0005-0000-0000-0000800C0000}"/>
    <cellStyle name="Normal 16 5 5 3" xfId="10551" xr:uid="{00000000-0005-0000-0000-0000810C0000}"/>
    <cellStyle name="Normal 16 5 5 4" xfId="7201" xr:uid="{00000000-0005-0000-0000-0000820C0000}"/>
    <cellStyle name="Normal 16 5 6" xfId="4110" xr:uid="{00000000-0005-0000-0000-0000830C0000}"/>
    <cellStyle name="Normal 16 5 6 2" xfId="5785" xr:uid="{00000000-0005-0000-0000-0000840C0000}"/>
    <cellStyle name="Normal 16 5 6 2 2" xfId="9135" xr:uid="{00000000-0005-0000-0000-0000850C0000}"/>
    <cellStyle name="Normal 16 5 6 3" xfId="10810" xr:uid="{00000000-0005-0000-0000-0000860C0000}"/>
    <cellStyle name="Normal 16 5 6 4" xfId="7460" xr:uid="{00000000-0005-0000-0000-0000870C0000}"/>
    <cellStyle name="Normal 16 5 7" xfId="4818" xr:uid="{00000000-0005-0000-0000-0000880C0000}"/>
    <cellStyle name="Normal 16 5 7 2" xfId="8168" xr:uid="{00000000-0005-0000-0000-0000890C0000}"/>
    <cellStyle name="Normal 16 5 8" xfId="9843" xr:uid="{00000000-0005-0000-0000-00008A0C0000}"/>
    <cellStyle name="Normal 16 5 9" xfId="6493" xr:uid="{00000000-0005-0000-0000-00008B0C0000}"/>
    <cellStyle name="Normal 16 6" xfId="3168" xr:uid="{00000000-0005-0000-0000-00008C0C0000}"/>
    <cellStyle name="Normal 16 6 2" xfId="3286" xr:uid="{00000000-0005-0000-0000-00008D0C0000}"/>
    <cellStyle name="Normal 16 6 2 2" xfId="3522" xr:uid="{00000000-0005-0000-0000-00008E0C0000}"/>
    <cellStyle name="Normal 16 6 2 2 2" xfId="4488" xr:uid="{00000000-0005-0000-0000-00008F0C0000}"/>
    <cellStyle name="Normal 16 6 2 2 2 2" xfId="6163" xr:uid="{00000000-0005-0000-0000-0000900C0000}"/>
    <cellStyle name="Normal 16 6 2 2 2 2 2" xfId="9513" xr:uid="{00000000-0005-0000-0000-0000910C0000}"/>
    <cellStyle name="Normal 16 6 2 2 2 3" xfId="11188" xr:uid="{00000000-0005-0000-0000-0000920C0000}"/>
    <cellStyle name="Normal 16 6 2 2 2 4" xfId="7838" xr:uid="{00000000-0005-0000-0000-0000930C0000}"/>
    <cellStyle name="Normal 16 6 2 2 3" xfId="5196" xr:uid="{00000000-0005-0000-0000-0000940C0000}"/>
    <cellStyle name="Normal 16 6 2 2 3 2" xfId="8546" xr:uid="{00000000-0005-0000-0000-0000950C0000}"/>
    <cellStyle name="Normal 16 6 2 2 4" xfId="10221" xr:uid="{00000000-0005-0000-0000-0000960C0000}"/>
    <cellStyle name="Normal 16 6 2 2 5" xfId="6871" xr:uid="{00000000-0005-0000-0000-0000970C0000}"/>
    <cellStyle name="Normal 16 6 2 3" xfId="3757" xr:uid="{00000000-0005-0000-0000-0000980C0000}"/>
    <cellStyle name="Normal 16 6 2 3 2" xfId="4724" xr:uid="{00000000-0005-0000-0000-0000990C0000}"/>
    <cellStyle name="Normal 16 6 2 3 2 2" xfId="6399" xr:uid="{00000000-0005-0000-0000-00009A0C0000}"/>
    <cellStyle name="Normal 16 6 2 3 2 2 2" xfId="9749" xr:uid="{00000000-0005-0000-0000-00009B0C0000}"/>
    <cellStyle name="Normal 16 6 2 3 2 3" xfId="11424" xr:uid="{00000000-0005-0000-0000-00009C0C0000}"/>
    <cellStyle name="Normal 16 6 2 3 2 4" xfId="8074" xr:uid="{00000000-0005-0000-0000-00009D0C0000}"/>
    <cellStyle name="Normal 16 6 2 3 3" xfId="5432" xr:uid="{00000000-0005-0000-0000-00009E0C0000}"/>
    <cellStyle name="Normal 16 6 2 3 3 2" xfId="8782" xr:uid="{00000000-0005-0000-0000-00009F0C0000}"/>
    <cellStyle name="Normal 16 6 2 3 4" xfId="10457" xr:uid="{00000000-0005-0000-0000-0000A00C0000}"/>
    <cellStyle name="Normal 16 6 2 3 5" xfId="7107" xr:uid="{00000000-0005-0000-0000-0000A10C0000}"/>
    <cellStyle name="Normal 16 6 2 4" xfId="3993" xr:uid="{00000000-0005-0000-0000-0000A20C0000}"/>
    <cellStyle name="Normal 16 6 2 4 2" xfId="5668" xr:uid="{00000000-0005-0000-0000-0000A30C0000}"/>
    <cellStyle name="Normal 16 6 2 4 2 2" xfId="9018" xr:uid="{00000000-0005-0000-0000-0000A40C0000}"/>
    <cellStyle name="Normal 16 6 2 4 3" xfId="10693" xr:uid="{00000000-0005-0000-0000-0000A50C0000}"/>
    <cellStyle name="Normal 16 6 2 4 4" xfId="7343" xr:uid="{00000000-0005-0000-0000-0000A60C0000}"/>
    <cellStyle name="Normal 16 6 2 5" xfId="4252" xr:uid="{00000000-0005-0000-0000-0000A70C0000}"/>
    <cellStyle name="Normal 16 6 2 5 2" xfId="5927" xr:uid="{00000000-0005-0000-0000-0000A80C0000}"/>
    <cellStyle name="Normal 16 6 2 5 2 2" xfId="9277" xr:uid="{00000000-0005-0000-0000-0000A90C0000}"/>
    <cellStyle name="Normal 16 6 2 5 3" xfId="10952" xr:uid="{00000000-0005-0000-0000-0000AA0C0000}"/>
    <cellStyle name="Normal 16 6 2 5 4" xfId="7602" xr:uid="{00000000-0005-0000-0000-0000AB0C0000}"/>
    <cellStyle name="Normal 16 6 2 6" xfId="4960" xr:uid="{00000000-0005-0000-0000-0000AC0C0000}"/>
    <cellStyle name="Normal 16 6 2 6 2" xfId="8310" xr:uid="{00000000-0005-0000-0000-0000AD0C0000}"/>
    <cellStyle name="Normal 16 6 2 7" xfId="9985" xr:uid="{00000000-0005-0000-0000-0000AE0C0000}"/>
    <cellStyle name="Normal 16 6 2 8" xfId="6635" xr:uid="{00000000-0005-0000-0000-0000AF0C0000}"/>
    <cellStyle name="Normal 16 6 3" xfId="3404" xr:uid="{00000000-0005-0000-0000-0000B00C0000}"/>
    <cellStyle name="Normal 16 6 3 2" xfId="4370" xr:uid="{00000000-0005-0000-0000-0000B10C0000}"/>
    <cellStyle name="Normal 16 6 3 2 2" xfId="6045" xr:uid="{00000000-0005-0000-0000-0000B20C0000}"/>
    <cellStyle name="Normal 16 6 3 2 2 2" xfId="9395" xr:uid="{00000000-0005-0000-0000-0000B30C0000}"/>
    <cellStyle name="Normal 16 6 3 2 3" xfId="11070" xr:uid="{00000000-0005-0000-0000-0000B40C0000}"/>
    <cellStyle name="Normal 16 6 3 2 4" xfId="7720" xr:uid="{00000000-0005-0000-0000-0000B50C0000}"/>
    <cellStyle name="Normal 16 6 3 3" xfId="5078" xr:uid="{00000000-0005-0000-0000-0000B60C0000}"/>
    <cellStyle name="Normal 16 6 3 3 2" xfId="8428" xr:uid="{00000000-0005-0000-0000-0000B70C0000}"/>
    <cellStyle name="Normal 16 6 3 4" xfId="10103" xr:uid="{00000000-0005-0000-0000-0000B80C0000}"/>
    <cellStyle name="Normal 16 6 3 5" xfId="6753" xr:uid="{00000000-0005-0000-0000-0000B90C0000}"/>
    <cellStyle name="Normal 16 6 4" xfId="3639" xr:uid="{00000000-0005-0000-0000-0000BA0C0000}"/>
    <cellStyle name="Normal 16 6 4 2" xfId="4606" xr:uid="{00000000-0005-0000-0000-0000BB0C0000}"/>
    <cellStyle name="Normal 16 6 4 2 2" xfId="6281" xr:uid="{00000000-0005-0000-0000-0000BC0C0000}"/>
    <cellStyle name="Normal 16 6 4 2 2 2" xfId="9631" xr:uid="{00000000-0005-0000-0000-0000BD0C0000}"/>
    <cellStyle name="Normal 16 6 4 2 3" xfId="11306" xr:uid="{00000000-0005-0000-0000-0000BE0C0000}"/>
    <cellStyle name="Normal 16 6 4 2 4" xfId="7956" xr:uid="{00000000-0005-0000-0000-0000BF0C0000}"/>
    <cellStyle name="Normal 16 6 4 3" xfId="5314" xr:uid="{00000000-0005-0000-0000-0000C00C0000}"/>
    <cellStyle name="Normal 16 6 4 3 2" xfId="8664" xr:uid="{00000000-0005-0000-0000-0000C10C0000}"/>
    <cellStyle name="Normal 16 6 4 4" xfId="10339" xr:uid="{00000000-0005-0000-0000-0000C20C0000}"/>
    <cellStyle name="Normal 16 6 4 5" xfId="6989" xr:uid="{00000000-0005-0000-0000-0000C30C0000}"/>
    <cellStyle name="Normal 16 6 5" xfId="3875" xr:uid="{00000000-0005-0000-0000-0000C40C0000}"/>
    <cellStyle name="Normal 16 6 5 2" xfId="5550" xr:uid="{00000000-0005-0000-0000-0000C50C0000}"/>
    <cellStyle name="Normal 16 6 5 2 2" xfId="8900" xr:uid="{00000000-0005-0000-0000-0000C60C0000}"/>
    <cellStyle name="Normal 16 6 5 3" xfId="10575" xr:uid="{00000000-0005-0000-0000-0000C70C0000}"/>
    <cellStyle name="Normal 16 6 5 4" xfId="7225" xr:uid="{00000000-0005-0000-0000-0000C80C0000}"/>
    <cellStyle name="Normal 16 6 6" xfId="4134" xr:uid="{00000000-0005-0000-0000-0000C90C0000}"/>
    <cellStyle name="Normal 16 6 6 2" xfId="5809" xr:uid="{00000000-0005-0000-0000-0000CA0C0000}"/>
    <cellStyle name="Normal 16 6 6 2 2" xfId="9159" xr:uid="{00000000-0005-0000-0000-0000CB0C0000}"/>
    <cellStyle name="Normal 16 6 6 3" xfId="10834" xr:uid="{00000000-0005-0000-0000-0000CC0C0000}"/>
    <cellStyle name="Normal 16 6 6 4" xfId="7484" xr:uid="{00000000-0005-0000-0000-0000CD0C0000}"/>
    <cellStyle name="Normal 16 6 7" xfId="4842" xr:uid="{00000000-0005-0000-0000-0000CE0C0000}"/>
    <cellStyle name="Normal 16 6 7 2" xfId="8192" xr:uid="{00000000-0005-0000-0000-0000CF0C0000}"/>
    <cellStyle name="Normal 16 6 8" xfId="9867" xr:uid="{00000000-0005-0000-0000-0000D00C0000}"/>
    <cellStyle name="Normal 16 6 9" xfId="6517" xr:uid="{00000000-0005-0000-0000-0000D10C0000}"/>
    <cellStyle name="Normal 16 7" xfId="3192" xr:uid="{00000000-0005-0000-0000-0000D20C0000}"/>
    <cellStyle name="Normal 16 7 2" xfId="3428" xr:uid="{00000000-0005-0000-0000-0000D30C0000}"/>
    <cellStyle name="Normal 16 7 2 2" xfId="4394" xr:uid="{00000000-0005-0000-0000-0000D40C0000}"/>
    <cellStyle name="Normal 16 7 2 2 2" xfId="6069" xr:uid="{00000000-0005-0000-0000-0000D50C0000}"/>
    <cellStyle name="Normal 16 7 2 2 2 2" xfId="9419" xr:uid="{00000000-0005-0000-0000-0000D60C0000}"/>
    <cellStyle name="Normal 16 7 2 2 3" xfId="11094" xr:uid="{00000000-0005-0000-0000-0000D70C0000}"/>
    <cellStyle name="Normal 16 7 2 2 4" xfId="7744" xr:uid="{00000000-0005-0000-0000-0000D80C0000}"/>
    <cellStyle name="Normal 16 7 2 3" xfId="5102" xr:uid="{00000000-0005-0000-0000-0000D90C0000}"/>
    <cellStyle name="Normal 16 7 2 3 2" xfId="8452" xr:uid="{00000000-0005-0000-0000-0000DA0C0000}"/>
    <cellStyle name="Normal 16 7 2 4" xfId="10127" xr:uid="{00000000-0005-0000-0000-0000DB0C0000}"/>
    <cellStyle name="Normal 16 7 2 5" xfId="6777" xr:uid="{00000000-0005-0000-0000-0000DC0C0000}"/>
    <cellStyle name="Normal 16 7 3" xfId="3663" xr:uid="{00000000-0005-0000-0000-0000DD0C0000}"/>
    <cellStyle name="Normal 16 7 3 2" xfId="4630" xr:uid="{00000000-0005-0000-0000-0000DE0C0000}"/>
    <cellStyle name="Normal 16 7 3 2 2" xfId="6305" xr:uid="{00000000-0005-0000-0000-0000DF0C0000}"/>
    <cellStyle name="Normal 16 7 3 2 2 2" xfId="9655" xr:uid="{00000000-0005-0000-0000-0000E00C0000}"/>
    <cellStyle name="Normal 16 7 3 2 3" xfId="11330" xr:uid="{00000000-0005-0000-0000-0000E10C0000}"/>
    <cellStyle name="Normal 16 7 3 2 4" xfId="7980" xr:uid="{00000000-0005-0000-0000-0000E20C0000}"/>
    <cellStyle name="Normal 16 7 3 3" xfId="5338" xr:uid="{00000000-0005-0000-0000-0000E30C0000}"/>
    <cellStyle name="Normal 16 7 3 3 2" xfId="8688" xr:uid="{00000000-0005-0000-0000-0000E40C0000}"/>
    <cellStyle name="Normal 16 7 3 4" xfId="10363" xr:uid="{00000000-0005-0000-0000-0000E50C0000}"/>
    <cellStyle name="Normal 16 7 3 5" xfId="7013" xr:uid="{00000000-0005-0000-0000-0000E60C0000}"/>
    <cellStyle name="Normal 16 7 4" xfId="3899" xr:uid="{00000000-0005-0000-0000-0000E70C0000}"/>
    <cellStyle name="Normal 16 7 4 2" xfId="5574" xr:uid="{00000000-0005-0000-0000-0000E80C0000}"/>
    <cellStyle name="Normal 16 7 4 2 2" xfId="8924" xr:uid="{00000000-0005-0000-0000-0000E90C0000}"/>
    <cellStyle name="Normal 16 7 4 3" xfId="10599" xr:uid="{00000000-0005-0000-0000-0000EA0C0000}"/>
    <cellStyle name="Normal 16 7 4 4" xfId="7249" xr:uid="{00000000-0005-0000-0000-0000EB0C0000}"/>
    <cellStyle name="Normal 16 7 5" xfId="4158" xr:uid="{00000000-0005-0000-0000-0000EC0C0000}"/>
    <cellStyle name="Normal 16 7 5 2" xfId="5833" xr:uid="{00000000-0005-0000-0000-0000ED0C0000}"/>
    <cellStyle name="Normal 16 7 5 2 2" xfId="9183" xr:uid="{00000000-0005-0000-0000-0000EE0C0000}"/>
    <cellStyle name="Normal 16 7 5 3" xfId="10858" xr:uid="{00000000-0005-0000-0000-0000EF0C0000}"/>
    <cellStyle name="Normal 16 7 5 4" xfId="7508" xr:uid="{00000000-0005-0000-0000-0000F00C0000}"/>
    <cellStyle name="Normal 16 7 6" xfId="4866" xr:uid="{00000000-0005-0000-0000-0000F10C0000}"/>
    <cellStyle name="Normal 16 7 6 2" xfId="8216" xr:uid="{00000000-0005-0000-0000-0000F20C0000}"/>
    <cellStyle name="Normal 16 7 7" xfId="9891" xr:uid="{00000000-0005-0000-0000-0000F30C0000}"/>
    <cellStyle name="Normal 16 7 8" xfId="6541" xr:uid="{00000000-0005-0000-0000-0000F40C0000}"/>
    <cellStyle name="Normal 16 8" xfId="3310" xr:uid="{00000000-0005-0000-0000-0000F50C0000}"/>
    <cellStyle name="Normal 16 8 2" xfId="4276" xr:uid="{00000000-0005-0000-0000-0000F60C0000}"/>
    <cellStyle name="Normal 16 8 2 2" xfId="5951" xr:uid="{00000000-0005-0000-0000-0000F70C0000}"/>
    <cellStyle name="Normal 16 8 2 2 2" xfId="9301" xr:uid="{00000000-0005-0000-0000-0000F80C0000}"/>
    <cellStyle name="Normal 16 8 2 3" xfId="10976" xr:uid="{00000000-0005-0000-0000-0000F90C0000}"/>
    <cellStyle name="Normal 16 8 2 4" xfId="7626" xr:uid="{00000000-0005-0000-0000-0000FA0C0000}"/>
    <cellStyle name="Normal 16 8 3" xfId="4984" xr:uid="{00000000-0005-0000-0000-0000FB0C0000}"/>
    <cellStyle name="Normal 16 8 3 2" xfId="8334" xr:uid="{00000000-0005-0000-0000-0000FC0C0000}"/>
    <cellStyle name="Normal 16 8 4" xfId="10009" xr:uid="{00000000-0005-0000-0000-0000FD0C0000}"/>
    <cellStyle name="Normal 16 8 5" xfId="6659" xr:uid="{00000000-0005-0000-0000-0000FE0C0000}"/>
    <cellStyle name="Normal 16 9" xfId="3546" xr:uid="{00000000-0005-0000-0000-0000FF0C0000}"/>
    <cellStyle name="Normal 16 9 2" xfId="4512" xr:uid="{00000000-0005-0000-0000-0000000D0000}"/>
    <cellStyle name="Normal 16 9 2 2" xfId="6187" xr:uid="{00000000-0005-0000-0000-0000010D0000}"/>
    <cellStyle name="Normal 16 9 2 2 2" xfId="9537" xr:uid="{00000000-0005-0000-0000-0000020D0000}"/>
    <cellStyle name="Normal 16 9 2 3" xfId="11212" xr:uid="{00000000-0005-0000-0000-0000030D0000}"/>
    <cellStyle name="Normal 16 9 2 4" xfId="7862" xr:uid="{00000000-0005-0000-0000-0000040D0000}"/>
    <cellStyle name="Normal 16 9 3" xfId="5220" xr:uid="{00000000-0005-0000-0000-0000050D0000}"/>
    <cellStyle name="Normal 16 9 3 2" xfId="8570" xr:uid="{00000000-0005-0000-0000-0000060D0000}"/>
    <cellStyle name="Normal 16 9 4" xfId="10245" xr:uid="{00000000-0005-0000-0000-0000070D0000}"/>
    <cellStyle name="Normal 16 9 5" xfId="6895" xr:uid="{00000000-0005-0000-0000-0000080D0000}"/>
    <cellStyle name="Normal 17" xfId="2087" xr:uid="{00000000-0005-0000-0000-000063080000}"/>
    <cellStyle name="Normal 17 2" xfId="2633" xr:uid="{00000000-0005-0000-0000-000064080000}"/>
    <cellStyle name="Normal 17 2 2" xfId="2835" xr:uid="{00000000-0005-0000-0000-000064080000}"/>
    <cellStyle name="Normal 17 3" xfId="2797" xr:uid="{00000000-0005-0000-0000-000063080000}"/>
    <cellStyle name="Normal 18" xfId="38" xr:uid="{42E33A3C-DB4E-41D5-A881-2C2F09736848}"/>
    <cellStyle name="Normal 18 2" xfId="14" xr:uid="{35E26C0E-AB6F-41B7-BF88-DEFEA4EABE06}"/>
    <cellStyle name="Normal 19" xfId="33" xr:uid="{EE1E0A11-A5A7-4D54-8654-D521654C66B1}"/>
    <cellStyle name="Normal 19 2" xfId="2836" xr:uid="{00000000-0005-0000-0000-000067080000}"/>
    <cellStyle name="Normal 2" xfId="3" xr:uid="{DEC1782F-79DF-4FB2-BA7B-0B2461FCBCCB}"/>
    <cellStyle name="Normal 2 10" xfId="22" xr:uid="{07D6649A-731C-4AC3-9C90-5F29A9B2E0F8}"/>
    <cellStyle name="Normal 2 10 2" xfId="26" xr:uid="{0B962EBD-41F7-4B8E-B82F-51E2DC8E8EB4}"/>
    <cellStyle name="Normal 2 10 2 2" xfId="2794" xr:uid="{00000000-0005-0000-0000-0000E4000000}"/>
    <cellStyle name="Normal 2 10 2 3" xfId="12077" xr:uid="{00000000-0005-0000-0000-00002A0A0000}"/>
    <cellStyle name="Normal 2 10 3" xfId="2770" xr:uid="{00000000-0005-0000-0000-0000E3000000}"/>
    <cellStyle name="Normal 2 10 4" xfId="12078" xr:uid="{00000000-0005-0000-0000-00002C0A0000}"/>
    <cellStyle name="Normal 2 11" xfId="346" xr:uid="{00000000-0005-0000-0000-00006B080000}"/>
    <cellStyle name="Normal 2 11 2" xfId="2088" xr:uid="{00000000-0005-0000-0000-00006C080000}"/>
    <cellStyle name="Normal 2 11 3" xfId="2089" xr:uid="{00000000-0005-0000-0000-00006D080000}"/>
    <cellStyle name="Normal 2 11 3 2" xfId="2634" xr:uid="{00000000-0005-0000-0000-00006E080000}"/>
    <cellStyle name="Normal 2 11 3 2 2" xfId="2837" xr:uid="{00000000-0005-0000-0000-00006E080000}"/>
    <cellStyle name="Normal 2 11 3 3" xfId="2798" xr:uid="{00000000-0005-0000-0000-00006D080000}"/>
    <cellStyle name="Normal 2 12" xfId="2090" xr:uid="{00000000-0005-0000-0000-00006F080000}"/>
    <cellStyle name="Normal 2 12 2" xfId="2635" xr:uid="{00000000-0005-0000-0000-000070080000}"/>
    <cellStyle name="Normal 2 12 2 2" xfId="2838" xr:uid="{00000000-0005-0000-0000-000070080000}"/>
    <cellStyle name="Normal 2 12 3" xfId="2799" xr:uid="{00000000-0005-0000-0000-00006F080000}"/>
    <cellStyle name="Normal 2 13" xfId="2" xr:uid="{124939D3-AEE1-4B6B-A3EF-EB7F9D37F745}"/>
    <cellStyle name="Normal 2 13 10" xfId="4018" xr:uid="{00000000-0005-0000-0000-0000100D0000}"/>
    <cellStyle name="Normal 2 13 10 2" xfId="5693" xr:uid="{00000000-0005-0000-0000-0000110D0000}"/>
    <cellStyle name="Normal 2 13 10 2 2" xfId="9043" xr:uid="{00000000-0005-0000-0000-0000120D0000}"/>
    <cellStyle name="Normal 2 13 10 3" xfId="10718" xr:uid="{00000000-0005-0000-0000-0000130D0000}"/>
    <cellStyle name="Normal 2 13 10 4" xfId="7368" xr:uid="{00000000-0005-0000-0000-0000140D0000}"/>
    <cellStyle name="Normal 2 13 11" xfId="4749" xr:uid="{00000000-0005-0000-0000-0000150D0000}"/>
    <cellStyle name="Normal 2 13 11 2" xfId="8099" xr:uid="{00000000-0005-0000-0000-0000160D0000}"/>
    <cellStyle name="Normal 2 13 12" xfId="9774" xr:uid="{00000000-0005-0000-0000-0000170D0000}"/>
    <cellStyle name="Normal 2 13 13" xfId="6424" xr:uid="{00000000-0005-0000-0000-0000180D0000}"/>
    <cellStyle name="Normal 2 13 14" xfId="12231" xr:uid="{00000000-0005-0000-0000-00000F0D0000}"/>
    <cellStyle name="Normal 2 13 2" xfId="10" xr:uid="{3E8A41F4-F500-41BC-8DB1-133EF0DE7032}"/>
    <cellStyle name="Normal 2 13 2 10" xfId="4772" xr:uid="{00000000-0005-0000-0000-00001A0D0000}"/>
    <cellStyle name="Normal 2 13 2 10 2" xfId="8122" xr:uid="{00000000-0005-0000-0000-00001B0D0000}"/>
    <cellStyle name="Normal 2 13 2 11" xfId="9797" xr:uid="{00000000-0005-0000-0000-00001C0D0000}"/>
    <cellStyle name="Normal 2 13 2 12" xfId="6447" xr:uid="{00000000-0005-0000-0000-00001D0D0000}"/>
    <cellStyle name="Normal 2 13 2 13" xfId="12274" xr:uid="{00000000-0005-0000-0000-0000190D0000}"/>
    <cellStyle name="Normal 2 13 2 2" xfId="3137" xr:uid="{00000000-0005-0000-0000-00001E0D0000}"/>
    <cellStyle name="Normal 2 13 2 2 2" xfId="3255" xr:uid="{00000000-0005-0000-0000-00001F0D0000}"/>
    <cellStyle name="Normal 2 13 2 2 2 2" xfId="3491" xr:uid="{00000000-0005-0000-0000-0000200D0000}"/>
    <cellStyle name="Normal 2 13 2 2 2 2 2" xfId="4457" xr:uid="{00000000-0005-0000-0000-0000210D0000}"/>
    <cellStyle name="Normal 2 13 2 2 2 2 2 2" xfId="6132" xr:uid="{00000000-0005-0000-0000-0000220D0000}"/>
    <cellStyle name="Normal 2 13 2 2 2 2 2 2 2" xfId="9482" xr:uid="{00000000-0005-0000-0000-0000230D0000}"/>
    <cellStyle name="Normal 2 13 2 2 2 2 2 3" xfId="11157" xr:uid="{00000000-0005-0000-0000-0000240D0000}"/>
    <cellStyle name="Normal 2 13 2 2 2 2 2 4" xfId="7807" xr:uid="{00000000-0005-0000-0000-0000250D0000}"/>
    <cellStyle name="Normal 2 13 2 2 2 2 3" xfId="5165" xr:uid="{00000000-0005-0000-0000-0000260D0000}"/>
    <cellStyle name="Normal 2 13 2 2 2 2 3 2" xfId="8515" xr:uid="{00000000-0005-0000-0000-0000270D0000}"/>
    <cellStyle name="Normal 2 13 2 2 2 2 4" xfId="10190" xr:uid="{00000000-0005-0000-0000-0000280D0000}"/>
    <cellStyle name="Normal 2 13 2 2 2 2 5" xfId="6840" xr:uid="{00000000-0005-0000-0000-0000290D0000}"/>
    <cellStyle name="Normal 2 13 2 2 2 3" xfId="3726" xr:uid="{00000000-0005-0000-0000-00002A0D0000}"/>
    <cellStyle name="Normal 2 13 2 2 2 3 2" xfId="4693" xr:uid="{00000000-0005-0000-0000-00002B0D0000}"/>
    <cellStyle name="Normal 2 13 2 2 2 3 2 2" xfId="6368" xr:uid="{00000000-0005-0000-0000-00002C0D0000}"/>
    <cellStyle name="Normal 2 13 2 2 2 3 2 2 2" xfId="9718" xr:uid="{00000000-0005-0000-0000-00002D0D0000}"/>
    <cellStyle name="Normal 2 13 2 2 2 3 2 3" xfId="11393" xr:uid="{00000000-0005-0000-0000-00002E0D0000}"/>
    <cellStyle name="Normal 2 13 2 2 2 3 2 4" xfId="8043" xr:uid="{00000000-0005-0000-0000-00002F0D0000}"/>
    <cellStyle name="Normal 2 13 2 2 2 3 3" xfId="5401" xr:uid="{00000000-0005-0000-0000-0000300D0000}"/>
    <cellStyle name="Normal 2 13 2 2 2 3 3 2" xfId="8751" xr:uid="{00000000-0005-0000-0000-0000310D0000}"/>
    <cellStyle name="Normal 2 13 2 2 2 3 4" xfId="10426" xr:uid="{00000000-0005-0000-0000-0000320D0000}"/>
    <cellStyle name="Normal 2 13 2 2 2 3 5" xfId="7076" xr:uid="{00000000-0005-0000-0000-0000330D0000}"/>
    <cellStyle name="Normal 2 13 2 2 2 4" xfId="3962" xr:uid="{00000000-0005-0000-0000-0000340D0000}"/>
    <cellStyle name="Normal 2 13 2 2 2 4 2" xfId="5637" xr:uid="{00000000-0005-0000-0000-0000350D0000}"/>
    <cellStyle name="Normal 2 13 2 2 2 4 2 2" xfId="8987" xr:uid="{00000000-0005-0000-0000-0000360D0000}"/>
    <cellStyle name="Normal 2 13 2 2 2 4 3" xfId="10662" xr:uid="{00000000-0005-0000-0000-0000370D0000}"/>
    <cellStyle name="Normal 2 13 2 2 2 4 4" xfId="7312" xr:uid="{00000000-0005-0000-0000-0000380D0000}"/>
    <cellStyle name="Normal 2 13 2 2 2 5" xfId="4221" xr:uid="{00000000-0005-0000-0000-0000390D0000}"/>
    <cellStyle name="Normal 2 13 2 2 2 5 2" xfId="5896" xr:uid="{00000000-0005-0000-0000-00003A0D0000}"/>
    <cellStyle name="Normal 2 13 2 2 2 5 2 2" xfId="9246" xr:uid="{00000000-0005-0000-0000-00003B0D0000}"/>
    <cellStyle name="Normal 2 13 2 2 2 5 3" xfId="10921" xr:uid="{00000000-0005-0000-0000-00003C0D0000}"/>
    <cellStyle name="Normal 2 13 2 2 2 5 4" xfId="7571" xr:uid="{00000000-0005-0000-0000-00003D0D0000}"/>
    <cellStyle name="Normal 2 13 2 2 2 6" xfId="4929" xr:uid="{00000000-0005-0000-0000-00003E0D0000}"/>
    <cellStyle name="Normal 2 13 2 2 2 6 2" xfId="8279" xr:uid="{00000000-0005-0000-0000-00003F0D0000}"/>
    <cellStyle name="Normal 2 13 2 2 2 7" xfId="9954" xr:uid="{00000000-0005-0000-0000-0000400D0000}"/>
    <cellStyle name="Normal 2 13 2 2 2 8" xfId="6604" xr:uid="{00000000-0005-0000-0000-0000410D0000}"/>
    <cellStyle name="Normal 2 13 2 2 3" xfId="3373" xr:uid="{00000000-0005-0000-0000-0000420D0000}"/>
    <cellStyle name="Normal 2 13 2 2 3 2" xfId="4339" xr:uid="{00000000-0005-0000-0000-0000430D0000}"/>
    <cellStyle name="Normal 2 13 2 2 3 2 2" xfId="6014" xr:uid="{00000000-0005-0000-0000-0000440D0000}"/>
    <cellStyle name="Normal 2 13 2 2 3 2 2 2" xfId="9364" xr:uid="{00000000-0005-0000-0000-0000450D0000}"/>
    <cellStyle name="Normal 2 13 2 2 3 2 3" xfId="11039" xr:uid="{00000000-0005-0000-0000-0000460D0000}"/>
    <cellStyle name="Normal 2 13 2 2 3 2 4" xfId="7689" xr:uid="{00000000-0005-0000-0000-0000470D0000}"/>
    <cellStyle name="Normal 2 13 2 2 3 3" xfId="5047" xr:uid="{00000000-0005-0000-0000-0000480D0000}"/>
    <cellStyle name="Normal 2 13 2 2 3 3 2" xfId="8397" xr:uid="{00000000-0005-0000-0000-0000490D0000}"/>
    <cellStyle name="Normal 2 13 2 2 3 4" xfId="10072" xr:uid="{00000000-0005-0000-0000-00004A0D0000}"/>
    <cellStyle name="Normal 2 13 2 2 3 5" xfId="6722" xr:uid="{00000000-0005-0000-0000-00004B0D0000}"/>
    <cellStyle name="Normal 2 13 2 2 4" xfId="3608" xr:uid="{00000000-0005-0000-0000-00004C0D0000}"/>
    <cellStyle name="Normal 2 13 2 2 4 2" xfId="4575" xr:uid="{00000000-0005-0000-0000-00004D0D0000}"/>
    <cellStyle name="Normal 2 13 2 2 4 2 2" xfId="6250" xr:uid="{00000000-0005-0000-0000-00004E0D0000}"/>
    <cellStyle name="Normal 2 13 2 2 4 2 2 2" xfId="9600" xr:uid="{00000000-0005-0000-0000-00004F0D0000}"/>
    <cellStyle name="Normal 2 13 2 2 4 2 3" xfId="11275" xr:uid="{00000000-0005-0000-0000-0000500D0000}"/>
    <cellStyle name="Normal 2 13 2 2 4 2 4" xfId="7925" xr:uid="{00000000-0005-0000-0000-0000510D0000}"/>
    <cellStyle name="Normal 2 13 2 2 4 3" xfId="5283" xr:uid="{00000000-0005-0000-0000-0000520D0000}"/>
    <cellStyle name="Normal 2 13 2 2 4 3 2" xfId="8633" xr:uid="{00000000-0005-0000-0000-0000530D0000}"/>
    <cellStyle name="Normal 2 13 2 2 4 4" xfId="10308" xr:uid="{00000000-0005-0000-0000-0000540D0000}"/>
    <cellStyle name="Normal 2 13 2 2 4 5" xfId="6958" xr:uid="{00000000-0005-0000-0000-0000550D0000}"/>
    <cellStyle name="Normal 2 13 2 2 5" xfId="3844" xr:uid="{00000000-0005-0000-0000-0000560D0000}"/>
    <cellStyle name="Normal 2 13 2 2 5 2" xfId="5519" xr:uid="{00000000-0005-0000-0000-0000570D0000}"/>
    <cellStyle name="Normal 2 13 2 2 5 2 2" xfId="8869" xr:uid="{00000000-0005-0000-0000-0000580D0000}"/>
    <cellStyle name="Normal 2 13 2 2 5 3" xfId="10544" xr:uid="{00000000-0005-0000-0000-0000590D0000}"/>
    <cellStyle name="Normal 2 13 2 2 5 4" xfId="7194" xr:uid="{00000000-0005-0000-0000-00005A0D0000}"/>
    <cellStyle name="Normal 2 13 2 2 6" xfId="4103" xr:uid="{00000000-0005-0000-0000-00005B0D0000}"/>
    <cellStyle name="Normal 2 13 2 2 6 2" xfId="5778" xr:uid="{00000000-0005-0000-0000-00005C0D0000}"/>
    <cellStyle name="Normal 2 13 2 2 6 2 2" xfId="9128" xr:uid="{00000000-0005-0000-0000-00005D0D0000}"/>
    <cellStyle name="Normal 2 13 2 2 6 3" xfId="10803" xr:uid="{00000000-0005-0000-0000-00005E0D0000}"/>
    <cellStyle name="Normal 2 13 2 2 6 4" xfId="7453" xr:uid="{00000000-0005-0000-0000-00005F0D0000}"/>
    <cellStyle name="Normal 2 13 2 2 7" xfId="4811" xr:uid="{00000000-0005-0000-0000-0000600D0000}"/>
    <cellStyle name="Normal 2 13 2 2 7 2" xfId="8161" xr:uid="{00000000-0005-0000-0000-0000610D0000}"/>
    <cellStyle name="Normal 2 13 2 2 8" xfId="9836" xr:uid="{00000000-0005-0000-0000-0000620D0000}"/>
    <cellStyle name="Normal 2 13 2 2 9" xfId="6486" xr:uid="{00000000-0005-0000-0000-0000630D0000}"/>
    <cellStyle name="Normal 2 13 2 3" xfId="3161" xr:uid="{00000000-0005-0000-0000-0000640D0000}"/>
    <cellStyle name="Normal 2 13 2 3 2" xfId="3279" xr:uid="{00000000-0005-0000-0000-0000650D0000}"/>
    <cellStyle name="Normal 2 13 2 3 2 2" xfId="3515" xr:uid="{00000000-0005-0000-0000-0000660D0000}"/>
    <cellStyle name="Normal 2 13 2 3 2 2 2" xfId="4481" xr:uid="{00000000-0005-0000-0000-0000670D0000}"/>
    <cellStyle name="Normal 2 13 2 3 2 2 2 2" xfId="6156" xr:uid="{00000000-0005-0000-0000-0000680D0000}"/>
    <cellStyle name="Normal 2 13 2 3 2 2 2 2 2" xfId="9506" xr:uid="{00000000-0005-0000-0000-0000690D0000}"/>
    <cellStyle name="Normal 2 13 2 3 2 2 2 3" xfId="11181" xr:uid="{00000000-0005-0000-0000-00006A0D0000}"/>
    <cellStyle name="Normal 2 13 2 3 2 2 2 4" xfId="7831" xr:uid="{00000000-0005-0000-0000-00006B0D0000}"/>
    <cellStyle name="Normal 2 13 2 3 2 2 3" xfId="5189" xr:uid="{00000000-0005-0000-0000-00006C0D0000}"/>
    <cellStyle name="Normal 2 13 2 3 2 2 3 2" xfId="8539" xr:uid="{00000000-0005-0000-0000-00006D0D0000}"/>
    <cellStyle name="Normal 2 13 2 3 2 2 4" xfId="10214" xr:uid="{00000000-0005-0000-0000-00006E0D0000}"/>
    <cellStyle name="Normal 2 13 2 3 2 2 5" xfId="6864" xr:uid="{00000000-0005-0000-0000-00006F0D0000}"/>
    <cellStyle name="Normal 2 13 2 3 2 3" xfId="3750" xr:uid="{00000000-0005-0000-0000-0000700D0000}"/>
    <cellStyle name="Normal 2 13 2 3 2 3 2" xfId="4717" xr:uid="{00000000-0005-0000-0000-0000710D0000}"/>
    <cellStyle name="Normal 2 13 2 3 2 3 2 2" xfId="6392" xr:uid="{00000000-0005-0000-0000-0000720D0000}"/>
    <cellStyle name="Normal 2 13 2 3 2 3 2 2 2" xfId="9742" xr:uid="{00000000-0005-0000-0000-0000730D0000}"/>
    <cellStyle name="Normal 2 13 2 3 2 3 2 3" xfId="11417" xr:uid="{00000000-0005-0000-0000-0000740D0000}"/>
    <cellStyle name="Normal 2 13 2 3 2 3 2 4" xfId="8067" xr:uid="{00000000-0005-0000-0000-0000750D0000}"/>
    <cellStyle name="Normal 2 13 2 3 2 3 3" xfId="5425" xr:uid="{00000000-0005-0000-0000-0000760D0000}"/>
    <cellStyle name="Normal 2 13 2 3 2 3 3 2" xfId="8775" xr:uid="{00000000-0005-0000-0000-0000770D0000}"/>
    <cellStyle name="Normal 2 13 2 3 2 3 4" xfId="10450" xr:uid="{00000000-0005-0000-0000-0000780D0000}"/>
    <cellStyle name="Normal 2 13 2 3 2 3 5" xfId="7100" xr:uid="{00000000-0005-0000-0000-0000790D0000}"/>
    <cellStyle name="Normal 2 13 2 3 2 4" xfId="3986" xr:uid="{00000000-0005-0000-0000-00007A0D0000}"/>
    <cellStyle name="Normal 2 13 2 3 2 4 2" xfId="5661" xr:uid="{00000000-0005-0000-0000-00007B0D0000}"/>
    <cellStyle name="Normal 2 13 2 3 2 4 2 2" xfId="9011" xr:uid="{00000000-0005-0000-0000-00007C0D0000}"/>
    <cellStyle name="Normal 2 13 2 3 2 4 3" xfId="10686" xr:uid="{00000000-0005-0000-0000-00007D0D0000}"/>
    <cellStyle name="Normal 2 13 2 3 2 4 4" xfId="7336" xr:uid="{00000000-0005-0000-0000-00007E0D0000}"/>
    <cellStyle name="Normal 2 13 2 3 2 5" xfId="4245" xr:uid="{00000000-0005-0000-0000-00007F0D0000}"/>
    <cellStyle name="Normal 2 13 2 3 2 5 2" xfId="5920" xr:uid="{00000000-0005-0000-0000-0000800D0000}"/>
    <cellStyle name="Normal 2 13 2 3 2 5 2 2" xfId="9270" xr:uid="{00000000-0005-0000-0000-0000810D0000}"/>
    <cellStyle name="Normal 2 13 2 3 2 5 3" xfId="10945" xr:uid="{00000000-0005-0000-0000-0000820D0000}"/>
    <cellStyle name="Normal 2 13 2 3 2 5 4" xfId="7595" xr:uid="{00000000-0005-0000-0000-0000830D0000}"/>
    <cellStyle name="Normal 2 13 2 3 2 6" xfId="4953" xr:uid="{00000000-0005-0000-0000-0000840D0000}"/>
    <cellStyle name="Normal 2 13 2 3 2 6 2" xfId="8303" xr:uid="{00000000-0005-0000-0000-0000850D0000}"/>
    <cellStyle name="Normal 2 13 2 3 2 7" xfId="9978" xr:uid="{00000000-0005-0000-0000-0000860D0000}"/>
    <cellStyle name="Normal 2 13 2 3 2 8" xfId="6628" xr:uid="{00000000-0005-0000-0000-0000870D0000}"/>
    <cellStyle name="Normal 2 13 2 3 3" xfId="3397" xr:uid="{00000000-0005-0000-0000-0000880D0000}"/>
    <cellStyle name="Normal 2 13 2 3 3 2" xfId="4363" xr:uid="{00000000-0005-0000-0000-0000890D0000}"/>
    <cellStyle name="Normal 2 13 2 3 3 2 2" xfId="6038" xr:uid="{00000000-0005-0000-0000-00008A0D0000}"/>
    <cellStyle name="Normal 2 13 2 3 3 2 2 2" xfId="9388" xr:uid="{00000000-0005-0000-0000-00008B0D0000}"/>
    <cellStyle name="Normal 2 13 2 3 3 2 3" xfId="11063" xr:uid="{00000000-0005-0000-0000-00008C0D0000}"/>
    <cellStyle name="Normal 2 13 2 3 3 2 4" xfId="7713" xr:uid="{00000000-0005-0000-0000-00008D0D0000}"/>
    <cellStyle name="Normal 2 13 2 3 3 3" xfId="5071" xr:uid="{00000000-0005-0000-0000-00008E0D0000}"/>
    <cellStyle name="Normal 2 13 2 3 3 3 2" xfId="8421" xr:uid="{00000000-0005-0000-0000-00008F0D0000}"/>
    <cellStyle name="Normal 2 13 2 3 3 4" xfId="10096" xr:uid="{00000000-0005-0000-0000-0000900D0000}"/>
    <cellStyle name="Normal 2 13 2 3 3 5" xfId="6746" xr:uid="{00000000-0005-0000-0000-0000910D0000}"/>
    <cellStyle name="Normal 2 13 2 3 4" xfId="3632" xr:uid="{00000000-0005-0000-0000-0000920D0000}"/>
    <cellStyle name="Normal 2 13 2 3 4 2" xfId="4599" xr:uid="{00000000-0005-0000-0000-0000930D0000}"/>
    <cellStyle name="Normal 2 13 2 3 4 2 2" xfId="6274" xr:uid="{00000000-0005-0000-0000-0000940D0000}"/>
    <cellStyle name="Normal 2 13 2 3 4 2 2 2" xfId="9624" xr:uid="{00000000-0005-0000-0000-0000950D0000}"/>
    <cellStyle name="Normal 2 13 2 3 4 2 3" xfId="11299" xr:uid="{00000000-0005-0000-0000-0000960D0000}"/>
    <cellStyle name="Normal 2 13 2 3 4 2 4" xfId="7949" xr:uid="{00000000-0005-0000-0000-0000970D0000}"/>
    <cellStyle name="Normal 2 13 2 3 4 3" xfId="5307" xr:uid="{00000000-0005-0000-0000-0000980D0000}"/>
    <cellStyle name="Normal 2 13 2 3 4 3 2" xfId="8657" xr:uid="{00000000-0005-0000-0000-0000990D0000}"/>
    <cellStyle name="Normal 2 13 2 3 4 4" xfId="10332" xr:uid="{00000000-0005-0000-0000-00009A0D0000}"/>
    <cellStyle name="Normal 2 13 2 3 4 5" xfId="6982" xr:uid="{00000000-0005-0000-0000-00009B0D0000}"/>
    <cellStyle name="Normal 2 13 2 3 5" xfId="3868" xr:uid="{00000000-0005-0000-0000-00009C0D0000}"/>
    <cellStyle name="Normal 2 13 2 3 5 2" xfId="5543" xr:uid="{00000000-0005-0000-0000-00009D0D0000}"/>
    <cellStyle name="Normal 2 13 2 3 5 2 2" xfId="8893" xr:uid="{00000000-0005-0000-0000-00009E0D0000}"/>
    <cellStyle name="Normal 2 13 2 3 5 3" xfId="10568" xr:uid="{00000000-0005-0000-0000-00009F0D0000}"/>
    <cellStyle name="Normal 2 13 2 3 5 4" xfId="7218" xr:uid="{00000000-0005-0000-0000-0000A00D0000}"/>
    <cellStyle name="Normal 2 13 2 3 6" xfId="4127" xr:uid="{00000000-0005-0000-0000-0000A10D0000}"/>
    <cellStyle name="Normal 2 13 2 3 6 2" xfId="5802" xr:uid="{00000000-0005-0000-0000-0000A20D0000}"/>
    <cellStyle name="Normal 2 13 2 3 6 2 2" xfId="9152" xr:uid="{00000000-0005-0000-0000-0000A30D0000}"/>
    <cellStyle name="Normal 2 13 2 3 6 3" xfId="10827" xr:uid="{00000000-0005-0000-0000-0000A40D0000}"/>
    <cellStyle name="Normal 2 13 2 3 6 4" xfId="7477" xr:uid="{00000000-0005-0000-0000-0000A50D0000}"/>
    <cellStyle name="Normal 2 13 2 3 7" xfId="4835" xr:uid="{00000000-0005-0000-0000-0000A60D0000}"/>
    <cellStyle name="Normal 2 13 2 3 7 2" xfId="8185" xr:uid="{00000000-0005-0000-0000-0000A70D0000}"/>
    <cellStyle name="Normal 2 13 2 3 8" xfId="9860" xr:uid="{00000000-0005-0000-0000-0000A80D0000}"/>
    <cellStyle name="Normal 2 13 2 3 9" xfId="6510" xr:uid="{00000000-0005-0000-0000-0000A90D0000}"/>
    <cellStyle name="Normal 2 13 2 4" xfId="3185" xr:uid="{00000000-0005-0000-0000-0000AA0D0000}"/>
    <cellStyle name="Normal 2 13 2 4 2" xfId="3303" xr:uid="{00000000-0005-0000-0000-0000AB0D0000}"/>
    <cellStyle name="Normal 2 13 2 4 2 2" xfId="3539" xr:uid="{00000000-0005-0000-0000-0000AC0D0000}"/>
    <cellStyle name="Normal 2 13 2 4 2 2 2" xfId="4505" xr:uid="{00000000-0005-0000-0000-0000AD0D0000}"/>
    <cellStyle name="Normal 2 13 2 4 2 2 2 2" xfId="6180" xr:uid="{00000000-0005-0000-0000-0000AE0D0000}"/>
    <cellStyle name="Normal 2 13 2 4 2 2 2 2 2" xfId="9530" xr:uid="{00000000-0005-0000-0000-0000AF0D0000}"/>
    <cellStyle name="Normal 2 13 2 4 2 2 2 3" xfId="11205" xr:uid="{00000000-0005-0000-0000-0000B00D0000}"/>
    <cellStyle name="Normal 2 13 2 4 2 2 2 4" xfId="7855" xr:uid="{00000000-0005-0000-0000-0000B10D0000}"/>
    <cellStyle name="Normal 2 13 2 4 2 2 3" xfId="5213" xr:uid="{00000000-0005-0000-0000-0000B20D0000}"/>
    <cellStyle name="Normal 2 13 2 4 2 2 3 2" xfId="8563" xr:uid="{00000000-0005-0000-0000-0000B30D0000}"/>
    <cellStyle name="Normal 2 13 2 4 2 2 4" xfId="10238" xr:uid="{00000000-0005-0000-0000-0000B40D0000}"/>
    <cellStyle name="Normal 2 13 2 4 2 2 5" xfId="6888" xr:uid="{00000000-0005-0000-0000-0000B50D0000}"/>
    <cellStyle name="Normal 2 13 2 4 2 3" xfId="3774" xr:uid="{00000000-0005-0000-0000-0000B60D0000}"/>
    <cellStyle name="Normal 2 13 2 4 2 3 2" xfId="4741" xr:uid="{00000000-0005-0000-0000-0000B70D0000}"/>
    <cellStyle name="Normal 2 13 2 4 2 3 2 2" xfId="6416" xr:uid="{00000000-0005-0000-0000-0000B80D0000}"/>
    <cellStyle name="Normal 2 13 2 4 2 3 2 2 2" xfId="9766" xr:uid="{00000000-0005-0000-0000-0000B90D0000}"/>
    <cellStyle name="Normal 2 13 2 4 2 3 2 3" xfId="11441" xr:uid="{00000000-0005-0000-0000-0000BA0D0000}"/>
    <cellStyle name="Normal 2 13 2 4 2 3 2 4" xfId="8091" xr:uid="{00000000-0005-0000-0000-0000BB0D0000}"/>
    <cellStyle name="Normal 2 13 2 4 2 3 3" xfId="5449" xr:uid="{00000000-0005-0000-0000-0000BC0D0000}"/>
    <cellStyle name="Normal 2 13 2 4 2 3 3 2" xfId="8799" xr:uid="{00000000-0005-0000-0000-0000BD0D0000}"/>
    <cellStyle name="Normal 2 13 2 4 2 3 4" xfId="10474" xr:uid="{00000000-0005-0000-0000-0000BE0D0000}"/>
    <cellStyle name="Normal 2 13 2 4 2 3 5" xfId="7124" xr:uid="{00000000-0005-0000-0000-0000BF0D0000}"/>
    <cellStyle name="Normal 2 13 2 4 2 4" xfId="4010" xr:uid="{00000000-0005-0000-0000-0000C00D0000}"/>
    <cellStyle name="Normal 2 13 2 4 2 4 2" xfId="5685" xr:uid="{00000000-0005-0000-0000-0000C10D0000}"/>
    <cellStyle name="Normal 2 13 2 4 2 4 2 2" xfId="9035" xr:uid="{00000000-0005-0000-0000-0000C20D0000}"/>
    <cellStyle name="Normal 2 13 2 4 2 4 3" xfId="10710" xr:uid="{00000000-0005-0000-0000-0000C30D0000}"/>
    <cellStyle name="Normal 2 13 2 4 2 4 4" xfId="7360" xr:uid="{00000000-0005-0000-0000-0000C40D0000}"/>
    <cellStyle name="Normal 2 13 2 4 2 5" xfId="4269" xr:uid="{00000000-0005-0000-0000-0000C50D0000}"/>
    <cellStyle name="Normal 2 13 2 4 2 5 2" xfId="5944" xr:uid="{00000000-0005-0000-0000-0000C60D0000}"/>
    <cellStyle name="Normal 2 13 2 4 2 5 2 2" xfId="9294" xr:uid="{00000000-0005-0000-0000-0000C70D0000}"/>
    <cellStyle name="Normal 2 13 2 4 2 5 3" xfId="10969" xr:uid="{00000000-0005-0000-0000-0000C80D0000}"/>
    <cellStyle name="Normal 2 13 2 4 2 5 4" xfId="7619" xr:uid="{00000000-0005-0000-0000-0000C90D0000}"/>
    <cellStyle name="Normal 2 13 2 4 2 6" xfId="4977" xr:uid="{00000000-0005-0000-0000-0000CA0D0000}"/>
    <cellStyle name="Normal 2 13 2 4 2 6 2" xfId="8327" xr:uid="{00000000-0005-0000-0000-0000CB0D0000}"/>
    <cellStyle name="Normal 2 13 2 4 2 7" xfId="10002" xr:uid="{00000000-0005-0000-0000-0000CC0D0000}"/>
    <cellStyle name="Normal 2 13 2 4 2 8" xfId="6652" xr:uid="{00000000-0005-0000-0000-0000CD0D0000}"/>
    <cellStyle name="Normal 2 13 2 4 3" xfId="3421" xr:uid="{00000000-0005-0000-0000-0000CE0D0000}"/>
    <cellStyle name="Normal 2 13 2 4 3 2" xfId="4387" xr:uid="{00000000-0005-0000-0000-0000CF0D0000}"/>
    <cellStyle name="Normal 2 13 2 4 3 2 2" xfId="6062" xr:uid="{00000000-0005-0000-0000-0000D00D0000}"/>
    <cellStyle name="Normal 2 13 2 4 3 2 2 2" xfId="9412" xr:uid="{00000000-0005-0000-0000-0000D10D0000}"/>
    <cellStyle name="Normal 2 13 2 4 3 2 3" xfId="11087" xr:uid="{00000000-0005-0000-0000-0000D20D0000}"/>
    <cellStyle name="Normal 2 13 2 4 3 2 4" xfId="7737" xr:uid="{00000000-0005-0000-0000-0000D30D0000}"/>
    <cellStyle name="Normal 2 13 2 4 3 3" xfId="5095" xr:uid="{00000000-0005-0000-0000-0000D40D0000}"/>
    <cellStyle name="Normal 2 13 2 4 3 3 2" xfId="8445" xr:uid="{00000000-0005-0000-0000-0000D50D0000}"/>
    <cellStyle name="Normal 2 13 2 4 3 4" xfId="10120" xr:uid="{00000000-0005-0000-0000-0000D60D0000}"/>
    <cellStyle name="Normal 2 13 2 4 3 5" xfId="6770" xr:uid="{00000000-0005-0000-0000-0000D70D0000}"/>
    <cellStyle name="Normal 2 13 2 4 4" xfId="3656" xr:uid="{00000000-0005-0000-0000-0000D80D0000}"/>
    <cellStyle name="Normal 2 13 2 4 4 2" xfId="4623" xr:uid="{00000000-0005-0000-0000-0000D90D0000}"/>
    <cellStyle name="Normal 2 13 2 4 4 2 2" xfId="6298" xr:uid="{00000000-0005-0000-0000-0000DA0D0000}"/>
    <cellStyle name="Normal 2 13 2 4 4 2 2 2" xfId="9648" xr:uid="{00000000-0005-0000-0000-0000DB0D0000}"/>
    <cellStyle name="Normal 2 13 2 4 4 2 3" xfId="11323" xr:uid="{00000000-0005-0000-0000-0000DC0D0000}"/>
    <cellStyle name="Normal 2 13 2 4 4 2 4" xfId="7973" xr:uid="{00000000-0005-0000-0000-0000DD0D0000}"/>
    <cellStyle name="Normal 2 13 2 4 4 3" xfId="5331" xr:uid="{00000000-0005-0000-0000-0000DE0D0000}"/>
    <cellStyle name="Normal 2 13 2 4 4 3 2" xfId="8681" xr:uid="{00000000-0005-0000-0000-0000DF0D0000}"/>
    <cellStyle name="Normal 2 13 2 4 4 4" xfId="10356" xr:uid="{00000000-0005-0000-0000-0000E00D0000}"/>
    <cellStyle name="Normal 2 13 2 4 4 5" xfId="7006" xr:uid="{00000000-0005-0000-0000-0000E10D0000}"/>
    <cellStyle name="Normal 2 13 2 4 5" xfId="3892" xr:uid="{00000000-0005-0000-0000-0000E20D0000}"/>
    <cellStyle name="Normal 2 13 2 4 5 2" xfId="5567" xr:uid="{00000000-0005-0000-0000-0000E30D0000}"/>
    <cellStyle name="Normal 2 13 2 4 5 2 2" xfId="8917" xr:uid="{00000000-0005-0000-0000-0000E40D0000}"/>
    <cellStyle name="Normal 2 13 2 4 5 3" xfId="10592" xr:uid="{00000000-0005-0000-0000-0000E50D0000}"/>
    <cellStyle name="Normal 2 13 2 4 5 4" xfId="7242" xr:uid="{00000000-0005-0000-0000-0000E60D0000}"/>
    <cellStyle name="Normal 2 13 2 4 6" xfId="4151" xr:uid="{00000000-0005-0000-0000-0000E70D0000}"/>
    <cellStyle name="Normal 2 13 2 4 6 2" xfId="5826" xr:uid="{00000000-0005-0000-0000-0000E80D0000}"/>
    <cellStyle name="Normal 2 13 2 4 6 2 2" xfId="9176" xr:uid="{00000000-0005-0000-0000-0000E90D0000}"/>
    <cellStyle name="Normal 2 13 2 4 6 3" xfId="10851" xr:uid="{00000000-0005-0000-0000-0000EA0D0000}"/>
    <cellStyle name="Normal 2 13 2 4 6 4" xfId="7501" xr:uid="{00000000-0005-0000-0000-0000EB0D0000}"/>
    <cellStyle name="Normal 2 13 2 4 7" xfId="4859" xr:uid="{00000000-0005-0000-0000-0000EC0D0000}"/>
    <cellStyle name="Normal 2 13 2 4 7 2" xfId="8209" xr:uid="{00000000-0005-0000-0000-0000ED0D0000}"/>
    <cellStyle name="Normal 2 13 2 4 8" xfId="9884" xr:uid="{00000000-0005-0000-0000-0000EE0D0000}"/>
    <cellStyle name="Normal 2 13 2 4 9" xfId="6534" xr:uid="{00000000-0005-0000-0000-0000EF0D0000}"/>
    <cellStyle name="Normal 2 13 2 5" xfId="3209" xr:uid="{00000000-0005-0000-0000-0000F00D0000}"/>
    <cellStyle name="Normal 2 13 2 5 2" xfId="3445" xr:uid="{00000000-0005-0000-0000-0000F10D0000}"/>
    <cellStyle name="Normal 2 13 2 5 2 2" xfId="4411" xr:uid="{00000000-0005-0000-0000-0000F20D0000}"/>
    <cellStyle name="Normal 2 13 2 5 2 2 2" xfId="6086" xr:uid="{00000000-0005-0000-0000-0000F30D0000}"/>
    <cellStyle name="Normal 2 13 2 5 2 2 2 2" xfId="9436" xr:uid="{00000000-0005-0000-0000-0000F40D0000}"/>
    <cellStyle name="Normal 2 13 2 5 2 2 3" xfId="11111" xr:uid="{00000000-0005-0000-0000-0000F50D0000}"/>
    <cellStyle name="Normal 2 13 2 5 2 2 4" xfId="7761" xr:uid="{00000000-0005-0000-0000-0000F60D0000}"/>
    <cellStyle name="Normal 2 13 2 5 2 3" xfId="5119" xr:uid="{00000000-0005-0000-0000-0000F70D0000}"/>
    <cellStyle name="Normal 2 13 2 5 2 3 2" xfId="8469" xr:uid="{00000000-0005-0000-0000-0000F80D0000}"/>
    <cellStyle name="Normal 2 13 2 5 2 4" xfId="10144" xr:uid="{00000000-0005-0000-0000-0000F90D0000}"/>
    <cellStyle name="Normal 2 13 2 5 2 5" xfId="6794" xr:uid="{00000000-0005-0000-0000-0000FA0D0000}"/>
    <cellStyle name="Normal 2 13 2 5 3" xfId="3680" xr:uid="{00000000-0005-0000-0000-0000FB0D0000}"/>
    <cellStyle name="Normal 2 13 2 5 3 2" xfId="4647" xr:uid="{00000000-0005-0000-0000-0000FC0D0000}"/>
    <cellStyle name="Normal 2 13 2 5 3 2 2" xfId="6322" xr:uid="{00000000-0005-0000-0000-0000FD0D0000}"/>
    <cellStyle name="Normal 2 13 2 5 3 2 2 2" xfId="9672" xr:uid="{00000000-0005-0000-0000-0000FE0D0000}"/>
    <cellStyle name="Normal 2 13 2 5 3 2 3" xfId="11347" xr:uid="{00000000-0005-0000-0000-0000FF0D0000}"/>
    <cellStyle name="Normal 2 13 2 5 3 2 4" xfId="7997" xr:uid="{00000000-0005-0000-0000-0000000E0000}"/>
    <cellStyle name="Normal 2 13 2 5 3 3" xfId="5355" xr:uid="{00000000-0005-0000-0000-0000010E0000}"/>
    <cellStyle name="Normal 2 13 2 5 3 3 2" xfId="8705" xr:uid="{00000000-0005-0000-0000-0000020E0000}"/>
    <cellStyle name="Normal 2 13 2 5 3 4" xfId="10380" xr:uid="{00000000-0005-0000-0000-0000030E0000}"/>
    <cellStyle name="Normal 2 13 2 5 3 5" xfId="7030" xr:uid="{00000000-0005-0000-0000-0000040E0000}"/>
    <cellStyle name="Normal 2 13 2 5 4" xfId="3916" xr:uid="{00000000-0005-0000-0000-0000050E0000}"/>
    <cellStyle name="Normal 2 13 2 5 4 2" xfId="5591" xr:uid="{00000000-0005-0000-0000-0000060E0000}"/>
    <cellStyle name="Normal 2 13 2 5 4 2 2" xfId="8941" xr:uid="{00000000-0005-0000-0000-0000070E0000}"/>
    <cellStyle name="Normal 2 13 2 5 4 3" xfId="10616" xr:uid="{00000000-0005-0000-0000-0000080E0000}"/>
    <cellStyle name="Normal 2 13 2 5 4 4" xfId="7266" xr:uid="{00000000-0005-0000-0000-0000090E0000}"/>
    <cellStyle name="Normal 2 13 2 5 5" xfId="4175" xr:uid="{00000000-0005-0000-0000-00000A0E0000}"/>
    <cellStyle name="Normal 2 13 2 5 5 2" xfId="5850" xr:uid="{00000000-0005-0000-0000-00000B0E0000}"/>
    <cellStyle name="Normal 2 13 2 5 5 2 2" xfId="9200" xr:uid="{00000000-0005-0000-0000-00000C0E0000}"/>
    <cellStyle name="Normal 2 13 2 5 5 3" xfId="10875" xr:uid="{00000000-0005-0000-0000-00000D0E0000}"/>
    <cellStyle name="Normal 2 13 2 5 5 4" xfId="7525" xr:uid="{00000000-0005-0000-0000-00000E0E0000}"/>
    <cellStyle name="Normal 2 13 2 5 6" xfId="4883" xr:uid="{00000000-0005-0000-0000-00000F0E0000}"/>
    <cellStyle name="Normal 2 13 2 5 6 2" xfId="8233" xr:uid="{00000000-0005-0000-0000-0000100E0000}"/>
    <cellStyle name="Normal 2 13 2 5 7" xfId="9908" xr:uid="{00000000-0005-0000-0000-0000110E0000}"/>
    <cellStyle name="Normal 2 13 2 5 8" xfId="6558" xr:uid="{00000000-0005-0000-0000-0000120E0000}"/>
    <cellStyle name="Normal 2 13 2 6" xfId="3334" xr:uid="{00000000-0005-0000-0000-0000130E0000}"/>
    <cellStyle name="Normal 2 13 2 6 2" xfId="4300" xr:uid="{00000000-0005-0000-0000-0000140E0000}"/>
    <cellStyle name="Normal 2 13 2 6 2 2" xfId="5975" xr:uid="{00000000-0005-0000-0000-0000150E0000}"/>
    <cellStyle name="Normal 2 13 2 6 2 2 2" xfId="9325" xr:uid="{00000000-0005-0000-0000-0000160E0000}"/>
    <cellStyle name="Normal 2 13 2 6 2 3" xfId="11000" xr:uid="{00000000-0005-0000-0000-0000170E0000}"/>
    <cellStyle name="Normal 2 13 2 6 2 4" xfId="7650" xr:uid="{00000000-0005-0000-0000-0000180E0000}"/>
    <cellStyle name="Normal 2 13 2 6 3" xfId="5008" xr:uid="{00000000-0005-0000-0000-0000190E0000}"/>
    <cellStyle name="Normal 2 13 2 6 3 2" xfId="8358" xr:uid="{00000000-0005-0000-0000-00001A0E0000}"/>
    <cellStyle name="Normal 2 13 2 6 4" xfId="10033" xr:uid="{00000000-0005-0000-0000-00001B0E0000}"/>
    <cellStyle name="Normal 2 13 2 6 5" xfId="6683" xr:uid="{00000000-0005-0000-0000-00001C0E0000}"/>
    <cellStyle name="Normal 2 13 2 7" xfId="3569" xr:uid="{00000000-0005-0000-0000-00001D0E0000}"/>
    <cellStyle name="Normal 2 13 2 7 2" xfId="4536" xr:uid="{00000000-0005-0000-0000-00001E0E0000}"/>
    <cellStyle name="Normal 2 13 2 7 2 2" xfId="6211" xr:uid="{00000000-0005-0000-0000-00001F0E0000}"/>
    <cellStyle name="Normal 2 13 2 7 2 2 2" xfId="9561" xr:uid="{00000000-0005-0000-0000-0000200E0000}"/>
    <cellStyle name="Normal 2 13 2 7 2 3" xfId="11236" xr:uid="{00000000-0005-0000-0000-0000210E0000}"/>
    <cellStyle name="Normal 2 13 2 7 2 4" xfId="7886" xr:uid="{00000000-0005-0000-0000-0000220E0000}"/>
    <cellStyle name="Normal 2 13 2 7 3" xfId="5244" xr:uid="{00000000-0005-0000-0000-0000230E0000}"/>
    <cellStyle name="Normal 2 13 2 7 3 2" xfId="8594" xr:uid="{00000000-0005-0000-0000-0000240E0000}"/>
    <cellStyle name="Normal 2 13 2 7 4" xfId="10269" xr:uid="{00000000-0005-0000-0000-0000250E0000}"/>
    <cellStyle name="Normal 2 13 2 7 5" xfId="6919" xr:uid="{00000000-0005-0000-0000-0000260E0000}"/>
    <cellStyle name="Normal 2 13 2 8" xfId="3805" xr:uid="{00000000-0005-0000-0000-0000270E0000}"/>
    <cellStyle name="Normal 2 13 2 8 2" xfId="5480" xr:uid="{00000000-0005-0000-0000-0000280E0000}"/>
    <cellStyle name="Normal 2 13 2 8 2 2" xfId="8830" xr:uid="{00000000-0005-0000-0000-0000290E0000}"/>
    <cellStyle name="Normal 2 13 2 8 3" xfId="10505" xr:uid="{00000000-0005-0000-0000-00002A0E0000}"/>
    <cellStyle name="Normal 2 13 2 8 4" xfId="7155" xr:uid="{00000000-0005-0000-0000-00002B0E0000}"/>
    <cellStyle name="Normal 2 13 2 9" xfId="4064" xr:uid="{00000000-0005-0000-0000-00002C0E0000}"/>
    <cellStyle name="Normal 2 13 2 9 2" xfId="5739" xr:uid="{00000000-0005-0000-0000-00002D0E0000}"/>
    <cellStyle name="Normal 2 13 2 9 2 2" xfId="9089" xr:uid="{00000000-0005-0000-0000-00002E0E0000}"/>
    <cellStyle name="Normal 2 13 2 9 3" xfId="10764" xr:uid="{00000000-0005-0000-0000-00002F0E0000}"/>
    <cellStyle name="Normal 2 13 2 9 4" xfId="7414" xr:uid="{00000000-0005-0000-0000-0000300E0000}"/>
    <cellStyle name="Normal 2 13 3" xfId="3122" xr:uid="{00000000-0005-0000-0000-0000310E0000}"/>
    <cellStyle name="Normal 2 13 3 10" xfId="12276" xr:uid="{00000000-0005-0000-0000-0000310E0000}"/>
    <cellStyle name="Normal 2 13 3 2" xfId="3239" xr:uid="{00000000-0005-0000-0000-0000320E0000}"/>
    <cellStyle name="Normal 2 13 3 2 2" xfId="3475" xr:uid="{00000000-0005-0000-0000-0000330E0000}"/>
    <cellStyle name="Normal 2 13 3 2 2 2" xfId="4441" xr:uid="{00000000-0005-0000-0000-0000340E0000}"/>
    <cellStyle name="Normal 2 13 3 2 2 2 2" xfId="6116" xr:uid="{00000000-0005-0000-0000-0000350E0000}"/>
    <cellStyle name="Normal 2 13 3 2 2 2 2 2" xfId="9466" xr:uid="{00000000-0005-0000-0000-0000360E0000}"/>
    <cellStyle name="Normal 2 13 3 2 2 2 3" xfId="11141" xr:uid="{00000000-0005-0000-0000-0000370E0000}"/>
    <cellStyle name="Normal 2 13 3 2 2 2 4" xfId="7791" xr:uid="{00000000-0005-0000-0000-0000380E0000}"/>
    <cellStyle name="Normal 2 13 3 2 2 3" xfId="5149" xr:uid="{00000000-0005-0000-0000-0000390E0000}"/>
    <cellStyle name="Normal 2 13 3 2 2 3 2" xfId="8499" xr:uid="{00000000-0005-0000-0000-00003A0E0000}"/>
    <cellStyle name="Normal 2 13 3 2 2 4" xfId="10174" xr:uid="{00000000-0005-0000-0000-00003B0E0000}"/>
    <cellStyle name="Normal 2 13 3 2 2 5" xfId="6824" xr:uid="{00000000-0005-0000-0000-00003C0E0000}"/>
    <cellStyle name="Normal 2 13 3 2 3" xfId="3710" xr:uid="{00000000-0005-0000-0000-00003D0E0000}"/>
    <cellStyle name="Normal 2 13 3 2 3 2" xfId="4677" xr:uid="{00000000-0005-0000-0000-00003E0E0000}"/>
    <cellStyle name="Normal 2 13 3 2 3 2 2" xfId="6352" xr:uid="{00000000-0005-0000-0000-00003F0E0000}"/>
    <cellStyle name="Normal 2 13 3 2 3 2 2 2" xfId="9702" xr:uid="{00000000-0005-0000-0000-0000400E0000}"/>
    <cellStyle name="Normal 2 13 3 2 3 2 3" xfId="11377" xr:uid="{00000000-0005-0000-0000-0000410E0000}"/>
    <cellStyle name="Normal 2 13 3 2 3 2 4" xfId="8027" xr:uid="{00000000-0005-0000-0000-0000420E0000}"/>
    <cellStyle name="Normal 2 13 3 2 3 3" xfId="5385" xr:uid="{00000000-0005-0000-0000-0000430E0000}"/>
    <cellStyle name="Normal 2 13 3 2 3 3 2" xfId="8735" xr:uid="{00000000-0005-0000-0000-0000440E0000}"/>
    <cellStyle name="Normal 2 13 3 2 3 4" xfId="10410" xr:uid="{00000000-0005-0000-0000-0000450E0000}"/>
    <cellStyle name="Normal 2 13 3 2 3 5" xfId="7060" xr:uid="{00000000-0005-0000-0000-0000460E0000}"/>
    <cellStyle name="Normal 2 13 3 2 4" xfId="3946" xr:uid="{00000000-0005-0000-0000-0000470E0000}"/>
    <cellStyle name="Normal 2 13 3 2 4 2" xfId="5621" xr:uid="{00000000-0005-0000-0000-0000480E0000}"/>
    <cellStyle name="Normal 2 13 3 2 4 2 2" xfId="8971" xr:uid="{00000000-0005-0000-0000-0000490E0000}"/>
    <cellStyle name="Normal 2 13 3 2 4 3" xfId="10646" xr:uid="{00000000-0005-0000-0000-00004A0E0000}"/>
    <cellStyle name="Normal 2 13 3 2 4 4" xfId="7296" xr:uid="{00000000-0005-0000-0000-00004B0E0000}"/>
    <cellStyle name="Normal 2 13 3 2 5" xfId="4205" xr:uid="{00000000-0005-0000-0000-00004C0E0000}"/>
    <cellStyle name="Normal 2 13 3 2 5 2" xfId="5880" xr:uid="{00000000-0005-0000-0000-00004D0E0000}"/>
    <cellStyle name="Normal 2 13 3 2 5 2 2" xfId="9230" xr:uid="{00000000-0005-0000-0000-00004E0E0000}"/>
    <cellStyle name="Normal 2 13 3 2 5 3" xfId="10905" xr:uid="{00000000-0005-0000-0000-00004F0E0000}"/>
    <cellStyle name="Normal 2 13 3 2 5 4" xfId="7555" xr:uid="{00000000-0005-0000-0000-0000500E0000}"/>
    <cellStyle name="Normal 2 13 3 2 6" xfId="4913" xr:uid="{00000000-0005-0000-0000-0000510E0000}"/>
    <cellStyle name="Normal 2 13 3 2 6 2" xfId="8263" xr:uid="{00000000-0005-0000-0000-0000520E0000}"/>
    <cellStyle name="Normal 2 13 3 2 7" xfId="9938" xr:uid="{00000000-0005-0000-0000-0000530E0000}"/>
    <cellStyle name="Normal 2 13 3 2 8" xfId="6588" xr:uid="{00000000-0005-0000-0000-0000540E0000}"/>
    <cellStyle name="Normal 2 13 3 3" xfId="3357" xr:uid="{00000000-0005-0000-0000-0000550E0000}"/>
    <cellStyle name="Normal 2 13 3 3 2" xfId="4323" xr:uid="{00000000-0005-0000-0000-0000560E0000}"/>
    <cellStyle name="Normal 2 13 3 3 2 2" xfId="5998" xr:uid="{00000000-0005-0000-0000-0000570E0000}"/>
    <cellStyle name="Normal 2 13 3 3 2 2 2" xfId="9348" xr:uid="{00000000-0005-0000-0000-0000580E0000}"/>
    <cellStyle name="Normal 2 13 3 3 2 3" xfId="11023" xr:uid="{00000000-0005-0000-0000-0000590E0000}"/>
    <cellStyle name="Normal 2 13 3 3 2 4" xfId="7673" xr:uid="{00000000-0005-0000-0000-00005A0E0000}"/>
    <cellStyle name="Normal 2 13 3 3 3" xfId="5031" xr:uid="{00000000-0005-0000-0000-00005B0E0000}"/>
    <cellStyle name="Normal 2 13 3 3 3 2" xfId="8381" xr:uid="{00000000-0005-0000-0000-00005C0E0000}"/>
    <cellStyle name="Normal 2 13 3 3 4" xfId="10056" xr:uid="{00000000-0005-0000-0000-00005D0E0000}"/>
    <cellStyle name="Normal 2 13 3 3 5" xfId="6706" xr:uid="{00000000-0005-0000-0000-00005E0E0000}"/>
    <cellStyle name="Normal 2 13 3 4" xfId="3592" xr:uid="{00000000-0005-0000-0000-00005F0E0000}"/>
    <cellStyle name="Normal 2 13 3 4 2" xfId="4559" xr:uid="{00000000-0005-0000-0000-0000600E0000}"/>
    <cellStyle name="Normal 2 13 3 4 2 2" xfId="6234" xr:uid="{00000000-0005-0000-0000-0000610E0000}"/>
    <cellStyle name="Normal 2 13 3 4 2 2 2" xfId="9584" xr:uid="{00000000-0005-0000-0000-0000620E0000}"/>
    <cellStyle name="Normal 2 13 3 4 2 3" xfId="11259" xr:uid="{00000000-0005-0000-0000-0000630E0000}"/>
    <cellStyle name="Normal 2 13 3 4 2 4" xfId="7909" xr:uid="{00000000-0005-0000-0000-0000640E0000}"/>
    <cellStyle name="Normal 2 13 3 4 3" xfId="5267" xr:uid="{00000000-0005-0000-0000-0000650E0000}"/>
    <cellStyle name="Normal 2 13 3 4 3 2" xfId="8617" xr:uid="{00000000-0005-0000-0000-0000660E0000}"/>
    <cellStyle name="Normal 2 13 3 4 4" xfId="10292" xr:uid="{00000000-0005-0000-0000-0000670E0000}"/>
    <cellStyle name="Normal 2 13 3 4 5" xfId="6942" xr:uid="{00000000-0005-0000-0000-0000680E0000}"/>
    <cellStyle name="Normal 2 13 3 5" xfId="3828" xr:uid="{00000000-0005-0000-0000-0000690E0000}"/>
    <cellStyle name="Normal 2 13 3 5 2" xfId="5503" xr:uid="{00000000-0005-0000-0000-00006A0E0000}"/>
    <cellStyle name="Normal 2 13 3 5 2 2" xfId="8853" xr:uid="{00000000-0005-0000-0000-00006B0E0000}"/>
    <cellStyle name="Normal 2 13 3 5 3" xfId="10528" xr:uid="{00000000-0005-0000-0000-00006C0E0000}"/>
    <cellStyle name="Normal 2 13 3 5 4" xfId="7178" xr:uid="{00000000-0005-0000-0000-00006D0E0000}"/>
    <cellStyle name="Normal 2 13 3 6" xfId="4087" xr:uid="{00000000-0005-0000-0000-00006E0E0000}"/>
    <cellStyle name="Normal 2 13 3 6 2" xfId="5762" xr:uid="{00000000-0005-0000-0000-00006F0E0000}"/>
    <cellStyle name="Normal 2 13 3 6 2 2" xfId="9112" xr:uid="{00000000-0005-0000-0000-0000700E0000}"/>
    <cellStyle name="Normal 2 13 3 6 3" xfId="10787" xr:uid="{00000000-0005-0000-0000-0000710E0000}"/>
    <cellStyle name="Normal 2 13 3 6 4" xfId="7437" xr:uid="{00000000-0005-0000-0000-0000720E0000}"/>
    <cellStyle name="Normal 2 13 3 7" xfId="4795" xr:uid="{00000000-0005-0000-0000-0000730E0000}"/>
    <cellStyle name="Normal 2 13 3 7 2" xfId="8145" xr:uid="{00000000-0005-0000-0000-0000740E0000}"/>
    <cellStyle name="Normal 2 13 3 8" xfId="9820" xr:uid="{00000000-0005-0000-0000-0000750E0000}"/>
    <cellStyle name="Normal 2 13 3 9" xfId="6470" xr:uid="{00000000-0005-0000-0000-0000760E0000}"/>
    <cellStyle name="Normal 2 13 4" xfId="3145" xr:uid="{00000000-0005-0000-0000-0000770E0000}"/>
    <cellStyle name="Normal 2 13 4 2" xfId="3263" xr:uid="{00000000-0005-0000-0000-0000780E0000}"/>
    <cellStyle name="Normal 2 13 4 2 2" xfId="3499" xr:uid="{00000000-0005-0000-0000-0000790E0000}"/>
    <cellStyle name="Normal 2 13 4 2 2 2" xfId="4465" xr:uid="{00000000-0005-0000-0000-00007A0E0000}"/>
    <cellStyle name="Normal 2 13 4 2 2 2 2" xfId="6140" xr:uid="{00000000-0005-0000-0000-00007B0E0000}"/>
    <cellStyle name="Normal 2 13 4 2 2 2 2 2" xfId="9490" xr:uid="{00000000-0005-0000-0000-00007C0E0000}"/>
    <cellStyle name="Normal 2 13 4 2 2 2 3" xfId="11165" xr:uid="{00000000-0005-0000-0000-00007D0E0000}"/>
    <cellStyle name="Normal 2 13 4 2 2 2 4" xfId="7815" xr:uid="{00000000-0005-0000-0000-00007E0E0000}"/>
    <cellStyle name="Normal 2 13 4 2 2 3" xfId="5173" xr:uid="{00000000-0005-0000-0000-00007F0E0000}"/>
    <cellStyle name="Normal 2 13 4 2 2 3 2" xfId="8523" xr:uid="{00000000-0005-0000-0000-0000800E0000}"/>
    <cellStyle name="Normal 2 13 4 2 2 4" xfId="10198" xr:uid="{00000000-0005-0000-0000-0000810E0000}"/>
    <cellStyle name="Normal 2 13 4 2 2 5" xfId="6848" xr:uid="{00000000-0005-0000-0000-0000820E0000}"/>
    <cellStyle name="Normal 2 13 4 2 3" xfId="3734" xr:uid="{00000000-0005-0000-0000-0000830E0000}"/>
    <cellStyle name="Normal 2 13 4 2 3 2" xfId="4701" xr:uid="{00000000-0005-0000-0000-0000840E0000}"/>
    <cellStyle name="Normal 2 13 4 2 3 2 2" xfId="6376" xr:uid="{00000000-0005-0000-0000-0000850E0000}"/>
    <cellStyle name="Normal 2 13 4 2 3 2 2 2" xfId="9726" xr:uid="{00000000-0005-0000-0000-0000860E0000}"/>
    <cellStyle name="Normal 2 13 4 2 3 2 3" xfId="11401" xr:uid="{00000000-0005-0000-0000-0000870E0000}"/>
    <cellStyle name="Normal 2 13 4 2 3 2 4" xfId="8051" xr:uid="{00000000-0005-0000-0000-0000880E0000}"/>
    <cellStyle name="Normal 2 13 4 2 3 3" xfId="5409" xr:uid="{00000000-0005-0000-0000-0000890E0000}"/>
    <cellStyle name="Normal 2 13 4 2 3 3 2" xfId="8759" xr:uid="{00000000-0005-0000-0000-00008A0E0000}"/>
    <cellStyle name="Normal 2 13 4 2 3 4" xfId="10434" xr:uid="{00000000-0005-0000-0000-00008B0E0000}"/>
    <cellStyle name="Normal 2 13 4 2 3 5" xfId="7084" xr:uid="{00000000-0005-0000-0000-00008C0E0000}"/>
    <cellStyle name="Normal 2 13 4 2 4" xfId="3970" xr:uid="{00000000-0005-0000-0000-00008D0E0000}"/>
    <cellStyle name="Normal 2 13 4 2 4 2" xfId="5645" xr:uid="{00000000-0005-0000-0000-00008E0E0000}"/>
    <cellStyle name="Normal 2 13 4 2 4 2 2" xfId="8995" xr:uid="{00000000-0005-0000-0000-00008F0E0000}"/>
    <cellStyle name="Normal 2 13 4 2 4 3" xfId="10670" xr:uid="{00000000-0005-0000-0000-0000900E0000}"/>
    <cellStyle name="Normal 2 13 4 2 4 4" xfId="7320" xr:uid="{00000000-0005-0000-0000-0000910E0000}"/>
    <cellStyle name="Normal 2 13 4 2 5" xfId="4229" xr:uid="{00000000-0005-0000-0000-0000920E0000}"/>
    <cellStyle name="Normal 2 13 4 2 5 2" xfId="5904" xr:uid="{00000000-0005-0000-0000-0000930E0000}"/>
    <cellStyle name="Normal 2 13 4 2 5 2 2" xfId="9254" xr:uid="{00000000-0005-0000-0000-0000940E0000}"/>
    <cellStyle name="Normal 2 13 4 2 5 3" xfId="10929" xr:uid="{00000000-0005-0000-0000-0000950E0000}"/>
    <cellStyle name="Normal 2 13 4 2 5 4" xfId="7579" xr:uid="{00000000-0005-0000-0000-0000960E0000}"/>
    <cellStyle name="Normal 2 13 4 2 6" xfId="4937" xr:uid="{00000000-0005-0000-0000-0000970E0000}"/>
    <cellStyle name="Normal 2 13 4 2 6 2" xfId="8287" xr:uid="{00000000-0005-0000-0000-0000980E0000}"/>
    <cellStyle name="Normal 2 13 4 2 7" xfId="9962" xr:uid="{00000000-0005-0000-0000-0000990E0000}"/>
    <cellStyle name="Normal 2 13 4 2 8" xfId="6612" xr:uid="{00000000-0005-0000-0000-00009A0E0000}"/>
    <cellStyle name="Normal 2 13 4 3" xfId="3381" xr:uid="{00000000-0005-0000-0000-00009B0E0000}"/>
    <cellStyle name="Normal 2 13 4 3 2" xfId="4347" xr:uid="{00000000-0005-0000-0000-00009C0E0000}"/>
    <cellStyle name="Normal 2 13 4 3 2 2" xfId="6022" xr:uid="{00000000-0005-0000-0000-00009D0E0000}"/>
    <cellStyle name="Normal 2 13 4 3 2 2 2" xfId="9372" xr:uid="{00000000-0005-0000-0000-00009E0E0000}"/>
    <cellStyle name="Normal 2 13 4 3 2 3" xfId="11047" xr:uid="{00000000-0005-0000-0000-00009F0E0000}"/>
    <cellStyle name="Normal 2 13 4 3 2 4" xfId="7697" xr:uid="{00000000-0005-0000-0000-0000A00E0000}"/>
    <cellStyle name="Normal 2 13 4 3 3" xfId="5055" xr:uid="{00000000-0005-0000-0000-0000A10E0000}"/>
    <cellStyle name="Normal 2 13 4 3 3 2" xfId="8405" xr:uid="{00000000-0005-0000-0000-0000A20E0000}"/>
    <cellStyle name="Normal 2 13 4 3 4" xfId="10080" xr:uid="{00000000-0005-0000-0000-0000A30E0000}"/>
    <cellStyle name="Normal 2 13 4 3 5" xfId="6730" xr:uid="{00000000-0005-0000-0000-0000A40E0000}"/>
    <cellStyle name="Normal 2 13 4 4" xfId="3616" xr:uid="{00000000-0005-0000-0000-0000A50E0000}"/>
    <cellStyle name="Normal 2 13 4 4 2" xfId="4583" xr:uid="{00000000-0005-0000-0000-0000A60E0000}"/>
    <cellStyle name="Normal 2 13 4 4 2 2" xfId="6258" xr:uid="{00000000-0005-0000-0000-0000A70E0000}"/>
    <cellStyle name="Normal 2 13 4 4 2 2 2" xfId="9608" xr:uid="{00000000-0005-0000-0000-0000A80E0000}"/>
    <cellStyle name="Normal 2 13 4 4 2 3" xfId="11283" xr:uid="{00000000-0005-0000-0000-0000A90E0000}"/>
    <cellStyle name="Normal 2 13 4 4 2 4" xfId="7933" xr:uid="{00000000-0005-0000-0000-0000AA0E0000}"/>
    <cellStyle name="Normal 2 13 4 4 3" xfId="5291" xr:uid="{00000000-0005-0000-0000-0000AB0E0000}"/>
    <cellStyle name="Normal 2 13 4 4 3 2" xfId="8641" xr:uid="{00000000-0005-0000-0000-0000AC0E0000}"/>
    <cellStyle name="Normal 2 13 4 4 4" xfId="10316" xr:uid="{00000000-0005-0000-0000-0000AD0E0000}"/>
    <cellStyle name="Normal 2 13 4 4 5" xfId="6966" xr:uid="{00000000-0005-0000-0000-0000AE0E0000}"/>
    <cellStyle name="Normal 2 13 4 5" xfId="3852" xr:uid="{00000000-0005-0000-0000-0000AF0E0000}"/>
    <cellStyle name="Normal 2 13 4 5 2" xfId="5527" xr:uid="{00000000-0005-0000-0000-0000B00E0000}"/>
    <cellStyle name="Normal 2 13 4 5 2 2" xfId="8877" xr:uid="{00000000-0005-0000-0000-0000B10E0000}"/>
    <cellStyle name="Normal 2 13 4 5 3" xfId="10552" xr:uid="{00000000-0005-0000-0000-0000B20E0000}"/>
    <cellStyle name="Normal 2 13 4 5 4" xfId="7202" xr:uid="{00000000-0005-0000-0000-0000B30E0000}"/>
    <cellStyle name="Normal 2 13 4 6" xfId="4111" xr:uid="{00000000-0005-0000-0000-0000B40E0000}"/>
    <cellStyle name="Normal 2 13 4 6 2" xfId="5786" xr:uid="{00000000-0005-0000-0000-0000B50E0000}"/>
    <cellStyle name="Normal 2 13 4 6 2 2" xfId="9136" xr:uid="{00000000-0005-0000-0000-0000B60E0000}"/>
    <cellStyle name="Normal 2 13 4 6 3" xfId="10811" xr:uid="{00000000-0005-0000-0000-0000B70E0000}"/>
    <cellStyle name="Normal 2 13 4 6 4" xfId="7461" xr:uid="{00000000-0005-0000-0000-0000B80E0000}"/>
    <cellStyle name="Normal 2 13 4 7" xfId="4819" xr:uid="{00000000-0005-0000-0000-0000B90E0000}"/>
    <cellStyle name="Normal 2 13 4 7 2" xfId="8169" xr:uid="{00000000-0005-0000-0000-0000BA0E0000}"/>
    <cellStyle name="Normal 2 13 4 8" xfId="9844" xr:uid="{00000000-0005-0000-0000-0000BB0E0000}"/>
    <cellStyle name="Normal 2 13 4 9" xfId="6494" xr:uid="{00000000-0005-0000-0000-0000BC0E0000}"/>
    <cellStyle name="Normal 2 13 5" xfId="3169" xr:uid="{00000000-0005-0000-0000-0000BD0E0000}"/>
    <cellStyle name="Normal 2 13 5 2" xfId="3287" xr:uid="{00000000-0005-0000-0000-0000BE0E0000}"/>
    <cellStyle name="Normal 2 13 5 2 2" xfId="3523" xr:uid="{00000000-0005-0000-0000-0000BF0E0000}"/>
    <cellStyle name="Normal 2 13 5 2 2 2" xfId="4489" xr:uid="{00000000-0005-0000-0000-0000C00E0000}"/>
    <cellStyle name="Normal 2 13 5 2 2 2 2" xfId="6164" xr:uid="{00000000-0005-0000-0000-0000C10E0000}"/>
    <cellStyle name="Normal 2 13 5 2 2 2 2 2" xfId="9514" xr:uid="{00000000-0005-0000-0000-0000C20E0000}"/>
    <cellStyle name="Normal 2 13 5 2 2 2 3" xfId="11189" xr:uid="{00000000-0005-0000-0000-0000C30E0000}"/>
    <cellStyle name="Normal 2 13 5 2 2 2 4" xfId="7839" xr:uid="{00000000-0005-0000-0000-0000C40E0000}"/>
    <cellStyle name="Normal 2 13 5 2 2 3" xfId="5197" xr:uid="{00000000-0005-0000-0000-0000C50E0000}"/>
    <cellStyle name="Normal 2 13 5 2 2 3 2" xfId="8547" xr:uid="{00000000-0005-0000-0000-0000C60E0000}"/>
    <cellStyle name="Normal 2 13 5 2 2 4" xfId="10222" xr:uid="{00000000-0005-0000-0000-0000C70E0000}"/>
    <cellStyle name="Normal 2 13 5 2 2 5" xfId="6872" xr:uid="{00000000-0005-0000-0000-0000C80E0000}"/>
    <cellStyle name="Normal 2 13 5 2 3" xfId="3758" xr:uid="{00000000-0005-0000-0000-0000C90E0000}"/>
    <cellStyle name="Normal 2 13 5 2 3 2" xfId="4725" xr:uid="{00000000-0005-0000-0000-0000CA0E0000}"/>
    <cellStyle name="Normal 2 13 5 2 3 2 2" xfId="6400" xr:uid="{00000000-0005-0000-0000-0000CB0E0000}"/>
    <cellStyle name="Normal 2 13 5 2 3 2 2 2" xfId="9750" xr:uid="{00000000-0005-0000-0000-0000CC0E0000}"/>
    <cellStyle name="Normal 2 13 5 2 3 2 3" xfId="11425" xr:uid="{00000000-0005-0000-0000-0000CD0E0000}"/>
    <cellStyle name="Normal 2 13 5 2 3 2 4" xfId="8075" xr:uid="{00000000-0005-0000-0000-0000CE0E0000}"/>
    <cellStyle name="Normal 2 13 5 2 3 3" xfId="5433" xr:uid="{00000000-0005-0000-0000-0000CF0E0000}"/>
    <cellStyle name="Normal 2 13 5 2 3 3 2" xfId="8783" xr:uid="{00000000-0005-0000-0000-0000D00E0000}"/>
    <cellStyle name="Normal 2 13 5 2 3 4" xfId="10458" xr:uid="{00000000-0005-0000-0000-0000D10E0000}"/>
    <cellStyle name="Normal 2 13 5 2 3 5" xfId="7108" xr:uid="{00000000-0005-0000-0000-0000D20E0000}"/>
    <cellStyle name="Normal 2 13 5 2 4" xfId="3994" xr:uid="{00000000-0005-0000-0000-0000D30E0000}"/>
    <cellStyle name="Normal 2 13 5 2 4 2" xfId="5669" xr:uid="{00000000-0005-0000-0000-0000D40E0000}"/>
    <cellStyle name="Normal 2 13 5 2 4 2 2" xfId="9019" xr:uid="{00000000-0005-0000-0000-0000D50E0000}"/>
    <cellStyle name="Normal 2 13 5 2 4 3" xfId="10694" xr:uid="{00000000-0005-0000-0000-0000D60E0000}"/>
    <cellStyle name="Normal 2 13 5 2 4 4" xfId="7344" xr:uid="{00000000-0005-0000-0000-0000D70E0000}"/>
    <cellStyle name="Normal 2 13 5 2 5" xfId="4253" xr:uid="{00000000-0005-0000-0000-0000D80E0000}"/>
    <cellStyle name="Normal 2 13 5 2 5 2" xfId="5928" xr:uid="{00000000-0005-0000-0000-0000D90E0000}"/>
    <cellStyle name="Normal 2 13 5 2 5 2 2" xfId="9278" xr:uid="{00000000-0005-0000-0000-0000DA0E0000}"/>
    <cellStyle name="Normal 2 13 5 2 5 3" xfId="10953" xr:uid="{00000000-0005-0000-0000-0000DB0E0000}"/>
    <cellStyle name="Normal 2 13 5 2 5 4" xfId="7603" xr:uid="{00000000-0005-0000-0000-0000DC0E0000}"/>
    <cellStyle name="Normal 2 13 5 2 6" xfId="4961" xr:uid="{00000000-0005-0000-0000-0000DD0E0000}"/>
    <cellStyle name="Normal 2 13 5 2 6 2" xfId="8311" xr:uid="{00000000-0005-0000-0000-0000DE0E0000}"/>
    <cellStyle name="Normal 2 13 5 2 7" xfId="9986" xr:uid="{00000000-0005-0000-0000-0000DF0E0000}"/>
    <cellStyle name="Normal 2 13 5 2 8" xfId="6636" xr:uid="{00000000-0005-0000-0000-0000E00E0000}"/>
    <cellStyle name="Normal 2 13 5 3" xfId="3405" xr:uid="{00000000-0005-0000-0000-0000E10E0000}"/>
    <cellStyle name="Normal 2 13 5 3 2" xfId="4371" xr:uid="{00000000-0005-0000-0000-0000E20E0000}"/>
    <cellStyle name="Normal 2 13 5 3 2 2" xfId="6046" xr:uid="{00000000-0005-0000-0000-0000E30E0000}"/>
    <cellStyle name="Normal 2 13 5 3 2 2 2" xfId="9396" xr:uid="{00000000-0005-0000-0000-0000E40E0000}"/>
    <cellStyle name="Normal 2 13 5 3 2 3" xfId="11071" xr:uid="{00000000-0005-0000-0000-0000E50E0000}"/>
    <cellStyle name="Normal 2 13 5 3 2 4" xfId="7721" xr:uid="{00000000-0005-0000-0000-0000E60E0000}"/>
    <cellStyle name="Normal 2 13 5 3 3" xfId="5079" xr:uid="{00000000-0005-0000-0000-0000E70E0000}"/>
    <cellStyle name="Normal 2 13 5 3 3 2" xfId="8429" xr:uid="{00000000-0005-0000-0000-0000E80E0000}"/>
    <cellStyle name="Normal 2 13 5 3 4" xfId="10104" xr:uid="{00000000-0005-0000-0000-0000E90E0000}"/>
    <cellStyle name="Normal 2 13 5 3 5" xfId="6754" xr:uid="{00000000-0005-0000-0000-0000EA0E0000}"/>
    <cellStyle name="Normal 2 13 5 4" xfId="3640" xr:uid="{00000000-0005-0000-0000-0000EB0E0000}"/>
    <cellStyle name="Normal 2 13 5 4 2" xfId="4607" xr:uid="{00000000-0005-0000-0000-0000EC0E0000}"/>
    <cellStyle name="Normal 2 13 5 4 2 2" xfId="6282" xr:uid="{00000000-0005-0000-0000-0000ED0E0000}"/>
    <cellStyle name="Normal 2 13 5 4 2 2 2" xfId="9632" xr:uid="{00000000-0005-0000-0000-0000EE0E0000}"/>
    <cellStyle name="Normal 2 13 5 4 2 3" xfId="11307" xr:uid="{00000000-0005-0000-0000-0000EF0E0000}"/>
    <cellStyle name="Normal 2 13 5 4 2 4" xfId="7957" xr:uid="{00000000-0005-0000-0000-0000F00E0000}"/>
    <cellStyle name="Normal 2 13 5 4 3" xfId="5315" xr:uid="{00000000-0005-0000-0000-0000F10E0000}"/>
    <cellStyle name="Normal 2 13 5 4 3 2" xfId="8665" xr:uid="{00000000-0005-0000-0000-0000F20E0000}"/>
    <cellStyle name="Normal 2 13 5 4 4" xfId="10340" xr:uid="{00000000-0005-0000-0000-0000F30E0000}"/>
    <cellStyle name="Normal 2 13 5 4 5" xfId="6990" xr:uid="{00000000-0005-0000-0000-0000F40E0000}"/>
    <cellStyle name="Normal 2 13 5 5" xfId="3876" xr:uid="{00000000-0005-0000-0000-0000F50E0000}"/>
    <cellStyle name="Normal 2 13 5 5 2" xfId="5551" xr:uid="{00000000-0005-0000-0000-0000F60E0000}"/>
    <cellStyle name="Normal 2 13 5 5 2 2" xfId="8901" xr:uid="{00000000-0005-0000-0000-0000F70E0000}"/>
    <cellStyle name="Normal 2 13 5 5 3" xfId="10576" xr:uid="{00000000-0005-0000-0000-0000F80E0000}"/>
    <cellStyle name="Normal 2 13 5 5 4" xfId="7226" xr:uid="{00000000-0005-0000-0000-0000F90E0000}"/>
    <cellStyle name="Normal 2 13 5 6" xfId="4135" xr:uid="{00000000-0005-0000-0000-0000FA0E0000}"/>
    <cellStyle name="Normal 2 13 5 6 2" xfId="5810" xr:uid="{00000000-0005-0000-0000-0000FB0E0000}"/>
    <cellStyle name="Normal 2 13 5 6 2 2" xfId="9160" xr:uid="{00000000-0005-0000-0000-0000FC0E0000}"/>
    <cellStyle name="Normal 2 13 5 6 3" xfId="10835" xr:uid="{00000000-0005-0000-0000-0000FD0E0000}"/>
    <cellStyle name="Normal 2 13 5 6 4" xfId="7485" xr:uid="{00000000-0005-0000-0000-0000FE0E0000}"/>
    <cellStyle name="Normal 2 13 5 7" xfId="4843" xr:uid="{00000000-0005-0000-0000-0000FF0E0000}"/>
    <cellStyle name="Normal 2 13 5 7 2" xfId="8193" xr:uid="{00000000-0005-0000-0000-0000000F0000}"/>
    <cellStyle name="Normal 2 13 5 8" xfId="9868" xr:uid="{00000000-0005-0000-0000-0000010F0000}"/>
    <cellStyle name="Normal 2 13 5 9" xfId="6518" xr:uid="{00000000-0005-0000-0000-0000020F0000}"/>
    <cellStyle name="Normal 2 13 6" xfId="3193" xr:uid="{00000000-0005-0000-0000-0000030F0000}"/>
    <cellStyle name="Normal 2 13 6 2" xfId="3429" xr:uid="{00000000-0005-0000-0000-0000040F0000}"/>
    <cellStyle name="Normal 2 13 6 2 2" xfId="4395" xr:uid="{00000000-0005-0000-0000-0000050F0000}"/>
    <cellStyle name="Normal 2 13 6 2 2 2" xfId="6070" xr:uid="{00000000-0005-0000-0000-0000060F0000}"/>
    <cellStyle name="Normal 2 13 6 2 2 2 2" xfId="9420" xr:uid="{00000000-0005-0000-0000-0000070F0000}"/>
    <cellStyle name="Normal 2 13 6 2 2 3" xfId="11095" xr:uid="{00000000-0005-0000-0000-0000080F0000}"/>
    <cellStyle name="Normal 2 13 6 2 2 4" xfId="7745" xr:uid="{00000000-0005-0000-0000-0000090F0000}"/>
    <cellStyle name="Normal 2 13 6 2 3" xfId="5103" xr:uid="{00000000-0005-0000-0000-00000A0F0000}"/>
    <cellStyle name="Normal 2 13 6 2 3 2" xfId="8453" xr:uid="{00000000-0005-0000-0000-00000B0F0000}"/>
    <cellStyle name="Normal 2 13 6 2 4" xfId="10128" xr:uid="{00000000-0005-0000-0000-00000C0F0000}"/>
    <cellStyle name="Normal 2 13 6 2 5" xfId="6778" xr:uid="{00000000-0005-0000-0000-00000D0F0000}"/>
    <cellStyle name="Normal 2 13 6 3" xfId="3664" xr:uid="{00000000-0005-0000-0000-00000E0F0000}"/>
    <cellStyle name="Normal 2 13 6 3 2" xfId="4631" xr:uid="{00000000-0005-0000-0000-00000F0F0000}"/>
    <cellStyle name="Normal 2 13 6 3 2 2" xfId="6306" xr:uid="{00000000-0005-0000-0000-0000100F0000}"/>
    <cellStyle name="Normal 2 13 6 3 2 2 2" xfId="9656" xr:uid="{00000000-0005-0000-0000-0000110F0000}"/>
    <cellStyle name="Normal 2 13 6 3 2 3" xfId="11331" xr:uid="{00000000-0005-0000-0000-0000120F0000}"/>
    <cellStyle name="Normal 2 13 6 3 2 4" xfId="7981" xr:uid="{00000000-0005-0000-0000-0000130F0000}"/>
    <cellStyle name="Normal 2 13 6 3 3" xfId="5339" xr:uid="{00000000-0005-0000-0000-0000140F0000}"/>
    <cellStyle name="Normal 2 13 6 3 3 2" xfId="8689" xr:uid="{00000000-0005-0000-0000-0000150F0000}"/>
    <cellStyle name="Normal 2 13 6 3 4" xfId="10364" xr:uid="{00000000-0005-0000-0000-0000160F0000}"/>
    <cellStyle name="Normal 2 13 6 3 5" xfId="7014" xr:uid="{00000000-0005-0000-0000-0000170F0000}"/>
    <cellStyle name="Normal 2 13 6 4" xfId="3900" xr:uid="{00000000-0005-0000-0000-0000180F0000}"/>
    <cellStyle name="Normal 2 13 6 4 2" xfId="5575" xr:uid="{00000000-0005-0000-0000-0000190F0000}"/>
    <cellStyle name="Normal 2 13 6 4 2 2" xfId="8925" xr:uid="{00000000-0005-0000-0000-00001A0F0000}"/>
    <cellStyle name="Normal 2 13 6 4 3" xfId="10600" xr:uid="{00000000-0005-0000-0000-00001B0F0000}"/>
    <cellStyle name="Normal 2 13 6 4 4" xfId="7250" xr:uid="{00000000-0005-0000-0000-00001C0F0000}"/>
    <cellStyle name="Normal 2 13 6 5" xfId="4159" xr:uid="{00000000-0005-0000-0000-00001D0F0000}"/>
    <cellStyle name="Normal 2 13 6 5 2" xfId="5834" xr:uid="{00000000-0005-0000-0000-00001E0F0000}"/>
    <cellStyle name="Normal 2 13 6 5 2 2" xfId="9184" xr:uid="{00000000-0005-0000-0000-00001F0F0000}"/>
    <cellStyle name="Normal 2 13 6 5 3" xfId="10859" xr:uid="{00000000-0005-0000-0000-0000200F0000}"/>
    <cellStyle name="Normal 2 13 6 5 4" xfId="7509" xr:uid="{00000000-0005-0000-0000-0000210F0000}"/>
    <cellStyle name="Normal 2 13 6 6" xfId="4867" xr:uid="{00000000-0005-0000-0000-0000220F0000}"/>
    <cellStyle name="Normal 2 13 6 6 2" xfId="8217" xr:uid="{00000000-0005-0000-0000-0000230F0000}"/>
    <cellStyle name="Normal 2 13 6 7" xfId="9892" xr:uid="{00000000-0005-0000-0000-0000240F0000}"/>
    <cellStyle name="Normal 2 13 6 8" xfId="6542" xr:uid="{00000000-0005-0000-0000-0000250F0000}"/>
    <cellStyle name="Normal 2 13 7" xfId="3311" xr:uid="{00000000-0005-0000-0000-0000260F0000}"/>
    <cellStyle name="Normal 2 13 7 2" xfId="4277" xr:uid="{00000000-0005-0000-0000-0000270F0000}"/>
    <cellStyle name="Normal 2 13 7 2 2" xfId="5952" xr:uid="{00000000-0005-0000-0000-0000280F0000}"/>
    <cellStyle name="Normal 2 13 7 2 2 2" xfId="9302" xr:uid="{00000000-0005-0000-0000-0000290F0000}"/>
    <cellStyle name="Normal 2 13 7 2 3" xfId="10977" xr:uid="{00000000-0005-0000-0000-00002A0F0000}"/>
    <cellStyle name="Normal 2 13 7 2 4" xfId="7627" xr:uid="{00000000-0005-0000-0000-00002B0F0000}"/>
    <cellStyle name="Normal 2 13 7 3" xfId="4985" xr:uid="{00000000-0005-0000-0000-00002C0F0000}"/>
    <cellStyle name="Normal 2 13 7 3 2" xfId="8335" xr:uid="{00000000-0005-0000-0000-00002D0F0000}"/>
    <cellStyle name="Normal 2 13 7 4" xfId="10010" xr:uid="{00000000-0005-0000-0000-00002E0F0000}"/>
    <cellStyle name="Normal 2 13 7 5" xfId="6660" xr:uid="{00000000-0005-0000-0000-00002F0F0000}"/>
    <cellStyle name="Normal 2 13 8" xfId="40" xr:uid="{ADC3DD59-ECC5-4F0E-AAED-1638272EE98E}"/>
    <cellStyle name="Normal 2 13 8 2" xfId="4513" xr:uid="{00000000-0005-0000-0000-0000310F0000}"/>
    <cellStyle name="Normal 2 13 8 2 2" xfId="6188" xr:uid="{00000000-0005-0000-0000-0000320F0000}"/>
    <cellStyle name="Normal 2 13 8 2 2 2" xfId="9538" xr:uid="{00000000-0005-0000-0000-0000330F0000}"/>
    <cellStyle name="Normal 2 13 8 2 3" xfId="11213" xr:uid="{00000000-0005-0000-0000-0000340F0000}"/>
    <cellStyle name="Normal 2 13 8 2 4" xfId="7863" xr:uid="{00000000-0005-0000-0000-0000350F0000}"/>
    <cellStyle name="Normal 2 13 8 3" xfId="5221" xr:uid="{00000000-0005-0000-0000-0000360F0000}"/>
    <cellStyle name="Normal 2 13 8 3 2" xfId="8571" xr:uid="{00000000-0005-0000-0000-0000370F0000}"/>
    <cellStyle name="Normal 2 13 8 4" xfId="10246" xr:uid="{00000000-0005-0000-0000-0000380F0000}"/>
    <cellStyle name="Normal 2 13 8 5" xfId="6896" xr:uid="{00000000-0005-0000-0000-0000390F0000}"/>
    <cellStyle name="Normal 2 13 8 6" xfId="12280" xr:uid="{00000000-0005-0000-0000-0000300F0000}"/>
    <cellStyle name="Normal 2 13 9" xfId="3782" xr:uid="{00000000-0005-0000-0000-00003A0F0000}"/>
    <cellStyle name="Normal 2 13 9 2" xfId="4041" xr:uid="{00000000-0005-0000-0000-00003B0F0000}"/>
    <cellStyle name="Normal 2 13 9 2 2" xfId="5716" xr:uid="{00000000-0005-0000-0000-00003C0F0000}"/>
    <cellStyle name="Normal 2 13 9 2 2 2" xfId="9066" xr:uid="{00000000-0005-0000-0000-00003D0F0000}"/>
    <cellStyle name="Normal 2 13 9 2 3" xfId="10741" xr:uid="{00000000-0005-0000-0000-00003E0F0000}"/>
    <cellStyle name="Normal 2 13 9 2 4" xfId="7391" xr:uid="{00000000-0005-0000-0000-00003F0F0000}"/>
    <cellStyle name="Normal 2 13 9 3" xfId="5457" xr:uid="{00000000-0005-0000-0000-0000400F0000}"/>
    <cellStyle name="Normal 2 13 9 3 2" xfId="8807" xr:uid="{00000000-0005-0000-0000-0000410F0000}"/>
    <cellStyle name="Normal 2 13 9 4" xfId="10482" xr:uid="{00000000-0005-0000-0000-0000420F0000}"/>
    <cellStyle name="Normal 2 13 9 5" xfId="7132" xr:uid="{00000000-0005-0000-0000-0000430F0000}"/>
    <cellStyle name="Normal 2 14" xfId="7" xr:uid="{C5B62285-454D-4FC8-9B52-9E9953F9820B}"/>
    <cellStyle name="Normal 2 15" xfId="2091" xr:uid="{00000000-0005-0000-0000-000073080000}"/>
    <cellStyle name="Normal 2 15 10" xfId="4012" xr:uid="{00000000-0005-0000-0000-0000460F0000}"/>
    <cellStyle name="Normal 2 15 10 2" xfId="5687" xr:uid="{00000000-0005-0000-0000-0000470F0000}"/>
    <cellStyle name="Normal 2 15 10 2 2" xfId="9037" xr:uid="{00000000-0005-0000-0000-0000480F0000}"/>
    <cellStyle name="Normal 2 15 10 3" xfId="10712" xr:uid="{00000000-0005-0000-0000-0000490F0000}"/>
    <cellStyle name="Normal 2 15 10 4" xfId="7362" xr:uid="{00000000-0005-0000-0000-00004A0F0000}"/>
    <cellStyle name="Normal 2 15 11" xfId="4743" xr:uid="{00000000-0005-0000-0000-00004B0F0000}"/>
    <cellStyle name="Normal 2 15 11 2" xfId="8093" xr:uid="{00000000-0005-0000-0000-00004C0F0000}"/>
    <cellStyle name="Normal 2 15 12" xfId="9768" xr:uid="{00000000-0005-0000-0000-00004D0F0000}"/>
    <cellStyle name="Normal 2 15 13" xfId="6418" xr:uid="{00000000-0005-0000-0000-00004E0F0000}"/>
    <cellStyle name="Normal 2 15 14" xfId="12225" xr:uid="{00000000-0005-0000-0000-0000450F0000}"/>
    <cellStyle name="Normal 2 15 2" xfId="3094" xr:uid="{00000000-0005-0000-0000-00004F0F0000}"/>
    <cellStyle name="Normal 2 15 2 2" xfId="3211" xr:uid="{00000000-0005-0000-0000-0000500F0000}"/>
    <cellStyle name="Normal 2 15 2 2 2" xfId="3447" xr:uid="{00000000-0005-0000-0000-0000510F0000}"/>
    <cellStyle name="Normal 2 15 2 2 2 2" xfId="4413" xr:uid="{00000000-0005-0000-0000-0000520F0000}"/>
    <cellStyle name="Normal 2 15 2 2 2 2 2" xfId="6088" xr:uid="{00000000-0005-0000-0000-0000530F0000}"/>
    <cellStyle name="Normal 2 15 2 2 2 2 2 2" xfId="9438" xr:uid="{00000000-0005-0000-0000-0000540F0000}"/>
    <cellStyle name="Normal 2 15 2 2 2 2 3" xfId="11113" xr:uid="{00000000-0005-0000-0000-0000550F0000}"/>
    <cellStyle name="Normal 2 15 2 2 2 2 4" xfId="7763" xr:uid="{00000000-0005-0000-0000-0000560F0000}"/>
    <cellStyle name="Normal 2 15 2 2 2 3" xfId="5121" xr:uid="{00000000-0005-0000-0000-0000570F0000}"/>
    <cellStyle name="Normal 2 15 2 2 2 3 2" xfId="8471" xr:uid="{00000000-0005-0000-0000-0000580F0000}"/>
    <cellStyle name="Normal 2 15 2 2 2 4" xfId="10146" xr:uid="{00000000-0005-0000-0000-0000590F0000}"/>
    <cellStyle name="Normal 2 15 2 2 2 5" xfId="6796" xr:uid="{00000000-0005-0000-0000-00005A0F0000}"/>
    <cellStyle name="Normal 2 15 2 2 3" xfId="3682" xr:uid="{00000000-0005-0000-0000-00005B0F0000}"/>
    <cellStyle name="Normal 2 15 2 2 3 2" xfId="4649" xr:uid="{00000000-0005-0000-0000-00005C0F0000}"/>
    <cellStyle name="Normal 2 15 2 2 3 2 2" xfId="6324" xr:uid="{00000000-0005-0000-0000-00005D0F0000}"/>
    <cellStyle name="Normal 2 15 2 2 3 2 2 2" xfId="9674" xr:uid="{00000000-0005-0000-0000-00005E0F0000}"/>
    <cellStyle name="Normal 2 15 2 2 3 2 3" xfId="11349" xr:uid="{00000000-0005-0000-0000-00005F0F0000}"/>
    <cellStyle name="Normal 2 15 2 2 3 2 4" xfId="7999" xr:uid="{00000000-0005-0000-0000-0000600F0000}"/>
    <cellStyle name="Normal 2 15 2 2 3 3" xfId="5357" xr:uid="{00000000-0005-0000-0000-0000610F0000}"/>
    <cellStyle name="Normal 2 15 2 2 3 3 2" xfId="8707" xr:uid="{00000000-0005-0000-0000-0000620F0000}"/>
    <cellStyle name="Normal 2 15 2 2 3 4" xfId="10382" xr:uid="{00000000-0005-0000-0000-0000630F0000}"/>
    <cellStyle name="Normal 2 15 2 2 3 5" xfId="7032" xr:uid="{00000000-0005-0000-0000-0000640F0000}"/>
    <cellStyle name="Normal 2 15 2 2 4" xfId="3918" xr:uid="{00000000-0005-0000-0000-0000650F0000}"/>
    <cellStyle name="Normal 2 15 2 2 4 2" xfId="5593" xr:uid="{00000000-0005-0000-0000-0000660F0000}"/>
    <cellStyle name="Normal 2 15 2 2 4 2 2" xfId="8943" xr:uid="{00000000-0005-0000-0000-0000670F0000}"/>
    <cellStyle name="Normal 2 15 2 2 4 3" xfId="10618" xr:uid="{00000000-0005-0000-0000-0000680F0000}"/>
    <cellStyle name="Normal 2 15 2 2 4 4" xfId="7268" xr:uid="{00000000-0005-0000-0000-0000690F0000}"/>
    <cellStyle name="Normal 2 15 2 2 5" xfId="4177" xr:uid="{00000000-0005-0000-0000-00006A0F0000}"/>
    <cellStyle name="Normal 2 15 2 2 5 2" xfId="5852" xr:uid="{00000000-0005-0000-0000-00006B0F0000}"/>
    <cellStyle name="Normal 2 15 2 2 5 2 2" xfId="9202" xr:uid="{00000000-0005-0000-0000-00006C0F0000}"/>
    <cellStyle name="Normal 2 15 2 2 5 3" xfId="10877" xr:uid="{00000000-0005-0000-0000-00006D0F0000}"/>
    <cellStyle name="Normal 2 15 2 2 5 4" xfId="7527" xr:uid="{00000000-0005-0000-0000-00006E0F0000}"/>
    <cellStyle name="Normal 2 15 2 2 6" xfId="4885" xr:uid="{00000000-0005-0000-0000-00006F0F0000}"/>
    <cellStyle name="Normal 2 15 2 2 6 2" xfId="8235" xr:uid="{00000000-0005-0000-0000-0000700F0000}"/>
    <cellStyle name="Normal 2 15 2 2 7" xfId="9910" xr:uid="{00000000-0005-0000-0000-0000710F0000}"/>
    <cellStyle name="Normal 2 15 2 2 8" xfId="6560" xr:uid="{00000000-0005-0000-0000-0000720F0000}"/>
    <cellStyle name="Normal 2 15 2 3" xfId="3328" xr:uid="{00000000-0005-0000-0000-0000730F0000}"/>
    <cellStyle name="Normal 2 15 2 3 2" xfId="4294" xr:uid="{00000000-0005-0000-0000-0000740F0000}"/>
    <cellStyle name="Normal 2 15 2 3 2 2" xfId="5969" xr:uid="{00000000-0005-0000-0000-0000750F0000}"/>
    <cellStyle name="Normal 2 15 2 3 2 2 2" xfId="9319" xr:uid="{00000000-0005-0000-0000-0000760F0000}"/>
    <cellStyle name="Normal 2 15 2 3 2 3" xfId="10994" xr:uid="{00000000-0005-0000-0000-0000770F0000}"/>
    <cellStyle name="Normal 2 15 2 3 2 4" xfId="7644" xr:uid="{00000000-0005-0000-0000-0000780F0000}"/>
    <cellStyle name="Normal 2 15 2 3 3" xfId="5002" xr:uid="{00000000-0005-0000-0000-0000790F0000}"/>
    <cellStyle name="Normal 2 15 2 3 3 2" xfId="8352" xr:uid="{00000000-0005-0000-0000-00007A0F0000}"/>
    <cellStyle name="Normal 2 15 2 3 4" xfId="10027" xr:uid="{00000000-0005-0000-0000-00007B0F0000}"/>
    <cellStyle name="Normal 2 15 2 3 5" xfId="6677" xr:uid="{00000000-0005-0000-0000-00007C0F0000}"/>
    <cellStyle name="Normal 2 15 2 4" xfId="3563" xr:uid="{00000000-0005-0000-0000-00007D0F0000}"/>
    <cellStyle name="Normal 2 15 2 4 2" xfId="4530" xr:uid="{00000000-0005-0000-0000-00007E0F0000}"/>
    <cellStyle name="Normal 2 15 2 4 2 2" xfId="6205" xr:uid="{00000000-0005-0000-0000-00007F0F0000}"/>
    <cellStyle name="Normal 2 15 2 4 2 2 2" xfId="9555" xr:uid="{00000000-0005-0000-0000-0000800F0000}"/>
    <cellStyle name="Normal 2 15 2 4 2 3" xfId="11230" xr:uid="{00000000-0005-0000-0000-0000810F0000}"/>
    <cellStyle name="Normal 2 15 2 4 2 4" xfId="7880" xr:uid="{00000000-0005-0000-0000-0000820F0000}"/>
    <cellStyle name="Normal 2 15 2 4 3" xfId="5238" xr:uid="{00000000-0005-0000-0000-0000830F0000}"/>
    <cellStyle name="Normal 2 15 2 4 3 2" xfId="8588" xr:uid="{00000000-0005-0000-0000-0000840F0000}"/>
    <cellStyle name="Normal 2 15 2 4 4" xfId="10263" xr:uid="{00000000-0005-0000-0000-0000850F0000}"/>
    <cellStyle name="Normal 2 15 2 4 5" xfId="6913" xr:uid="{00000000-0005-0000-0000-0000860F0000}"/>
    <cellStyle name="Normal 2 15 2 5" xfId="3799" xr:uid="{00000000-0005-0000-0000-0000870F0000}"/>
    <cellStyle name="Normal 2 15 2 5 2" xfId="5474" xr:uid="{00000000-0005-0000-0000-0000880F0000}"/>
    <cellStyle name="Normal 2 15 2 5 2 2" xfId="8824" xr:uid="{00000000-0005-0000-0000-0000890F0000}"/>
    <cellStyle name="Normal 2 15 2 5 3" xfId="10499" xr:uid="{00000000-0005-0000-0000-00008A0F0000}"/>
    <cellStyle name="Normal 2 15 2 5 4" xfId="7149" xr:uid="{00000000-0005-0000-0000-00008B0F0000}"/>
    <cellStyle name="Normal 2 15 2 6" xfId="4058" xr:uid="{00000000-0005-0000-0000-00008C0F0000}"/>
    <cellStyle name="Normal 2 15 2 6 2" xfId="5733" xr:uid="{00000000-0005-0000-0000-00008D0F0000}"/>
    <cellStyle name="Normal 2 15 2 6 2 2" xfId="9083" xr:uid="{00000000-0005-0000-0000-00008E0F0000}"/>
    <cellStyle name="Normal 2 15 2 6 3" xfId="10758" xr:uid="{00000000-0005-0000-0000-00008F0F0000}"/>
    <cellStyle name="Normal 2 15 2 6 4" xfId="7408" xr:uid="{00000000-0005-0000-0000-0000900F0000}"/>
    <cellStyle name="Normal 2 15 2 7" xfId="4766" xr:uid="{00000000-0005-0000-0000-0000910F0000}"/>
    <cellStyle name="Normal 2 15 2 7 2" xfId="8116" xr:uid="{00000000-0005-0000-0000-0000920F0000}"/>
    <cellStyle name="Normal 2 15 2 8" xfId="9791" xr:uid="{00000000-0005-0000-0000-0000930F0000}"/>
    <cellStyle name="Normal 2 15 2 9" xfId="6441" xr:uid="{00000000-0005-0000-0000-0000940F0000}"/>
    <cellStyle name="Normal 2 15 3" xfId="3116" xr:uid="{00000000-0005-0000-0000-0000950F0000}"/>
    <cellStyle name="Normal 2 15 3 2" xfId="3233" xr:uid="{00000000-0005-0000-0000-0000960F0000}"/>
    <cellStyle name="Normal 2 15 3 2 2" xfId="3469" xr:uid="{00000000-0005-0000-0000-0000970F0000}"/>
    <cellStyle name="Normal 2 15 3 2 2 2" xfId="4435" xr:uid="{00000000-0005-0000-0000-0000980F0000}"/>
    <cellStyle name="Normal 2 15 3 2 2 2 2" xfId="6110" xr:uid="{00000000-0005-0000-0000-0000990F0000}"/>
    <cellStyle name="Normal 2 15 3 2 2 2 2 2" xfId="9460" xr:uid="{00000000-0005-0000-0000-00009A0F0000}"/>
    <cellStyle name="Normal 2 15 3 2 2 2 3" xfId="11135" xr:uid="{00000000-0005-0000-0000-00009B0F0000}"/>
    <cellStyle name="Normal 2 15 3 2 2 2 4" xfId="7785" xr:uid="{00000000-0005-0000-0000-00009C0F0000}"/>
    <cellStyle name="Normal 2 15 3 2 2 3" xfId="5143" xr:uid="{00000000-0005-0000-0000-00009D0F0000}"/>
    <cellStyle name="Normal 2 15 3 2 2 3 2" xfId="8493" xr:uid="{00000000-0005-0000-0000-00009E0F0000}"/>
    <cellStyle name="Normal 2 15 3 2 2 4" xfId="10168" xr:uid="{00000000-0005-0000-0000-00009F0F0000}"/>
    <cellStyle name="Normal 2 15 3 2 2 5" xfId="6818" xr:uid="{00000000-0005-0000-0000-0000A00F0000}"/>
    <cellStyle name="Normal 2 15 3 2 3" xfId="3704" xr:uid="{00000000-0005-0000-0000-0000A10F0000}"/>
    <cellStyle name="Normal 2 15 3 2 3 2" xfId="4671" xr:uid="{00000000-0005-0000-0000-0000A20F0000}"/>
    <cellStyle name="Normal 2 15 3 2 3 2 2" xfId="6346" xr:uid="{00000000-0005-0000-0000-0000A30F0000}"/>
    <cellStyle name="Normal 2 15 3 2 3 2 2 2" xfId="9696" xr:uid="{00000000-0005-0000-0000-0000A40F0000}"/>
    <cellStyle name="Normal 2 15 3 2 3 2 3" xfId="11371" xr:uid="{00000000-0005-0000-0000-0000A50F0000}"/>
    <cellStyle name="Normal 2 15 3 2 3 2 4" xfId="8021" xr:uid="{00000000-0005-0000-0000-0000A60F0000}"/>
    <cellStyle name="Normal 2 15 3 2 3 3" xfId="5379" xr:uid="{00000000-0005-0000-0000-0000A70F0000}"/>
    <cellStyle name="Normal 2 15 3 2 3 3 2" xfId="8729" xr:uid="{00000000-0005-0000-0000-0000A80F0000}"/>
    <cellStyle name="Normal 2 15 3 2 3 4" xfId="10404" xr:uid="{00000000-0005-0000-0000-0000A90F0000}"/>
    <cellStyle name="Normal 2 15 3 2 3 5" xfId="7054" xr:uid="{00000000-0005-0000-0000-0000AA0F0000}"/>
    <cellStyle name="Normal 2 15 3 2 4" xfId="3940" xr:uid="{00000000-0005-0000-0000-0000AB0F0000}"/>
    <cellStyle name="Normal 2 15 3 2 4 2" xfId="5615" xr:uid="{00000000-0005-0000-0000-0000AC0F0000}"/>
    <cellStyle name="Normal 2 15 3 2 4 2 2" xfId="8965" xr:uid="{00000000-0005-0000-0000-0000AD0F0000}"/>
    <cellStyle name="Normal 2 15 3 2 4 3" xfId="10640" xr:uid="{00000000-0005-0000-0000-0000AE0F0000}"/>
    <cellStyle name="Normal 2 15 3 2 4 4" xfId="7290" xr:uid="{00000000-0005-0000-0000-0000AF0F0000}"/>
    <cellStyle name="Normal 2 15 3 2 5" xfId="4199" xr:uid="{00000000-0005-0000-0000-0000B00F0000}"/>
    <cellStyle name="Normal 2 15 3 2 5 2" xfId="5874" xr:uid="{00000000-0005-0000-0000-0000B10F0000}"/>
    <cellStyle name="Normal 2 15 3 2 5 2 2" xfId="9224" xr:uid="{00000000-0005-0000-0000-0000B20F0000}"/>
    <cellStyle name="Normal 2 15 3 2 5 3" xfId="10899" xr:uid="{00000000-0005-0000-0000-0000B30F0000}"/>
    <cellStyle name="Normal 2 15 3 2 5 4" xfId="7549" xr:uid="{00000000-0005-0000-0000-0000B40F0000}"/>
    <cellStyle name="Normal 2 15 3 2 6" xfId="4907" xr:uid="{00000000-0005-0000-0000-0000B50F0000}"/>
    <cellStyle name="Normal 2 15 3 2 6 2" xfId="8257" xr:uid="{00000000-0005-0000-0000-0000B60F0000}"/>
    <cellStyle name="Normal 2 15 3 2 7" xfId="9932" xr:uid="{00000000-0005-0000-0000-0000B70F0000}"/>
    <cellStyle name="Normal 2 15 3 2 8" xfId="6582" xr:uid="{00000000-0005-0000-0000-0000B80F0000}"/>
    <cellStyle name="Normal 2 15 3 3" xfId="3351" xr:uid="{00000000-0005-0000-0000-0000B90F0000}"/>
    <cellStyle name="Normal 2 15 3 3 2" xfId="4317" xr:uid="{00000000-0005-0000-0000-0000BA0F0000}"/>
    <cellStyle name="Normal 2 15 3 3 2 2" xfId="5992" xr:uid="{00000000-0005-0000-0000-0000BB0F0000}"/>
    <cellStyle name="Normal 2 15 3 3 2 2 2" xfId="9342" xr:uid="{00000000-0005-0000-0000-0000BC0F0000}"/>
    <cellStyle name="Normal 2 15 3 3 2 3" xfId="11017" xr:uid="{00000000-0005-0000-0000-0000BD0F0000}"/>
    <cellStyle name="Normal 2 15 3 3 2 4" xfId="7667" xr:uid="{00000000-0005-0000-0000-0000BE0F0000}"/>
    <cellStyle name="Normal 2 15 3 3 3" xfId="5025" xr:uid="{00000000-0005-0000-0000-0000BF0F0000}"/>
    <cellStyle name="Normal 2 15 3 3 3 2" xfId="8375" xr:uid="{00000000-0005-0000-0000-0000C00F0000}"/>
    <cellStyle name="Normal 2 15 3 3 4" xfId="10050" xr:uid="{00000000-0005-0000-0000-0000C10F0000}"/>
    <cellStyle name="Normal 2 15 3 3 5" xfId="6700" xr:uid="{00000000-0005-0000-0000-0000C20F0000}"/>
    <cellStyle name="Normal 2 15 3 4" xfId="3586" xr:uid="{00000000-0005-0000-0000-0000C30F0000}"/>
    <cellStyle name="Normal 2 15 3 4 2" xfId="4553" xr:uid="{00000000-0005-0000-0000-0000C40F0000}"/>
    <cellStyle name="Normal 2 15 3 4 2 2" xfId="6228" xr:uid="{00000000-0005-0000-0000-0000C50F0000}"/>
    <cellStyle name="Normal 2 15 3 4 2 2 2" xfId="9578" xr:uid="{00000000-0005-0000-0000-0000C60F0000}"/>
    <cellStyle name="Normal 2 15 3 4 2 3" xfId="11253" xr:uid="{00000000-0005-0000-0000-0000C70F0000}"/>
    <cellStyle name="Normal 2 15 3 4 2 4" xfId="7903" xr:uid="{00000000-0005-0000-0000-0000C80F0000}"/>
    <cellStyle name="Normal 2 15 3 4 3" xfId="5261" xr:uid="{00000000-0005-0000-0000-0000C90F0000}"/>
    <cellStyle name="Normal 2 15 3 4 3 2" xfId="8611" xr:uid="{00000000-0005-0000-0000-0000CA0F0000}"/>
    <cellStyle name="Normal 2 15 3 4 4" xfId="10286" xr:uid="{00000000-0005-0000-0000-0000CB0F0000}"/>
    <cellStyle name="Normal 2 15 3 4 5" xfId="6936" xr:uid="{00000000-0005-0000-0000-0000CC0F0000}"/>
    <cellStyle name="Normal 2 15 3 5" xfId="3822" xr:uid="{00000000-0005-0000-0000-0000CD0F0000}"/>
    <cellStyle name="Normal 2 15 3 5 2" xfId="5497" xr:uid="{00000000-0005-0000-0000-0000CE0F0000}"/>
    <cellStyle name="Normal 2 15 3 5 2 2" xfId="8847" xr:uid="{00000000-0005-0000-0000-0000CF0F0000}"/>
    <cellStyle name="Normal 2 15 3 5 3" xfId="10522" xr:uid="{00000000-0005-0000-0000-0000D00F0000}"/>
    <cellStyle name="Normal 2 15 3 5 4" xfId="7172" xr:uid="{00000000-0005-0000-0000-0000D10F0000}"/>
    <cellStyle name="Normal 2 15 3 6" xfId="4081" xr:uid="{00000000-0005-0000-0000-0000D20F0000}"/>
    <cellStyle name="Normal 2 15 3 6 2" xfId="5756" xr:uid="{00000000-0005-0000-0000-0000D30F0000}"/>
    <cellStyle name="Normal 2 15 3 6 2 2" xfId="9106" xr:uid="{00000000-0005-0000-0000-0000D40F0000}"/>
    <cellStyle name="Normal 2 15 3 6 3" xfId="10781" xr:uid="{00000000-0005-0000-0000-0000D50F0000}"/>
    <cellStyle name="Normal 2 15 3 6 4" xfId="7431" xr:uid="{00000000-0005-0000-0000-0000D60F0000}"/>
    <cellStyle name="Normal 2 15 3 7" xfId="4789" xr:uid="{00000000-0005-0000-0000-0000D70F0000}"/>
    <cellStyle name="Normal 2 15 3 7 2" xfId="8139" xr:uid="{00000000-0005-0000-0000-0000D80F0000}"/>
    <cellStyle name="Normal 2 15 3 8" xfId="9814" xr:uid="{00000000-0005-0000-0000-0000D90F0000}"/>
    <cellStyle name="Normal 2 15 3 9" xfId="6464" xr:uid="{00000000-0005-0000-0000-0000DA0F0000}"/>
    <cellStyle name="Normal 2 15 4" xfId="3139" xr:uid="{00000000-0005-0000-0000-0000DB0F0000}"/>
    <cellStyle name="Normal 2 15 4 2" xfId="3257" xr:uid="{00000000-0005-0000-0000-0000DC0F0000}"/>
    <cellStyle name="Normal 2 15 4 2 2" xfId="3493" xr:uid="{00000000-0005-0000-0000-0000DD0F0000}"/>
    <cellStyle name="Normal 2 15 4 2 2 2" xfId="4459" xr:uid="{00000000-0005-0000-0000-0000DE0F0000}"/>
    <cellStyle name="Normal 2 15 4 2 2 2 2" xfId="6134" xr:uid="{00000000-0005-0000-0000-0000DF0F0000}"/>
    <cellStyle name="Normal 2 15 4 2 2 2 2 2" xfId="9484" xr:uid="{00000000-0005-0000-0000-0000E00F0000}"/>
    <cellStyle name="Normal 2 15 4 2 2 2 3" xfId="11159" xr:uid="{00000000-0005-0000-0000-0000E10F0000}"/>
    <cellStyle name="Normal 2 15 4 2 2 2 4" xfId="7809" xr:uid="{00000000-0005-0000-0000-0000E20F0000}"/>
    <cellStyle name="Normal 2 15 4 2 2 3" xfId="5167" xr:uid="{00000000-0005-0000-0000-0000E30F0000}"/>
    <cellStyle name="Normal 2 15 4 2 2 3 2" xfId="8517" xr:uid="{00000000-0005-0000-0000-0000E40F0000}"/>
    <cellStyle name="Normal 2 15 4 2 2 4" xfId="10192" xr:uid="{00000000-0005-0000-0000-0000E50F0000}"/>
    <cellStyle name="Normal 2 15 4 2 2 5" xfId="6842" xr:uid="{00000000-0005-0000-0000-0000E60F0000}"/>
    <cellStyle name="Normal 2 15 4 2 3" xfId="3728" xr:uid="{00000000-0005-0000-0000-0000E70F0000}"/>
    <cellStyle name="Normal 2 15 4 2 3 2" xfId="4695" xr:uid="{00000000-0005-0000-0000-0000E80F0000}"/>
    <cellStyle name="Normal 2 15 4 2 3 2 2" xfId="6370" xr:uid="{00000000-0005-0000-0000-0000E90F0000}"/>
    <cellStyle name="Normal 2 15 4 2 3 2 2 2" xfId="9720" xr:uid="{00000000-0005-0000-0000-0000EA0F0000}"/>
    <cellStyle name="Normal 2 15 4 2 3 2 3" xfId="11395" xr:uid="{00000000-0005-0000-0000-0000EB0F0000}"/>
    <cellStyle name="Normal 2 15 4 2 3 2 4" xfId="8045" xr:uid="{00000000-0005-0000-0000-0000EC0F0000}"/>
    <cellStyle name="Normal 2 15 4 2 3 3" xfId="5403" xr:uid="{00000000-0005-0000-0000-0000ED0F0000}"/>
    <cellStyle name="Normal 2 15 4 2 3 3 2" xfId="8753" xr:uid="{00000000-0005-0000-0000-0000EE0F0000}"/>
    <cellStyle name="Normal 2 15 4 2 3 4" xfId="10428" xr:uid="{00000000-0005-0000-0000-0000EF0F0000}"/>
    <cellStyle name="Normal 2 15 4 2 3 5" xfId="7078" xr:uid="{00000000-0005-0000-0000-0000F00F0000}"/>
    <cellStyle name="Normal 2 15 4 2 4" xfId="3964" xr:uid="{00000000-0005-0000-0000-0000F10F0000}"/>
    <cellStyle name="Normal 2 15 4 2 4 2" xfId="5639" xr:uid="{00000000-0005-0000-0000-0000F20F0000}"/>
    <cellStyle name="Normal 2 15 4 2 4 2 2" xfId="8989" xr:uid="{00000000-0005-0000-0000-0000F30F0000}"/>
    <cellStyle name="Normal 2 15 4 2 4 3" xfId="10664" xr:uid="{00000000-0005-0000-0000-0000F40F0000}"/>
    <cellStyle name="Normal 2 15 4 2 4 4" xfId="7314" xr:uid="{00000000-0005-0000-0000-0000F50F0000}"/>
    <cellStyle name="Normal 2 15 4 2 5" xfId="4223" xr:uid="{00000000-0005-0000-0000-0000F60F0000}"/>
    <cellStyle name="Normal 2 15 4 2 5 2" xfId="5898" xr:uid="{00000000-0005-0000-0000-0000F70F0000}"/>
    <cellStyle name="Normal 2 15 4 2 5 2 2" xfId="9248" xr:uid="{00000000-0005-0000-0000-0000F80F0000}"/>
    <cellStyle name="Normal 2 15 4 2 5 3" xfId="10923" xr:uid="{00000000-0005-0000-0000-0000F90F0000}"/>
    <cellStyle name="Normal 2 15 4 2 5 4" xfId="7573" xr:uid="{00000000-0005-0000-0000-0000FA0F0000}"/>
    <cellStyle name="Normal 2 15 4 2 6" xfId="4931" xr:uid="{00000000-0005-0000-0000-0000FB0F0000}"/>
    <cellStyle name="Normal 2 15 4 2 6 2" xfId="8281" xr:uid="{00000000-0005-0000-0000-0000FC0F0000}"/>
    <cellStyle name="Normal 2 15 4 2 7" xfId="9956" xr:uid="{00000000-0005-0000-0000-0000FD0F0000}"/>
    <cellStyle name="Normal 2 15 4 2 8" xfId="6606" xr:uid="{00000000-0005-0000-0000-0000FE0F0000}"/>
    <cellStyle name="Normal 2 15 4 3" xfId="3375" xr:uid="{00000000-0005-0000-0000-0000FF0F0000}"/>
    <cellStyle name="Normal 2 15 4 3 2" xfId="4341" xr:uid="{00000000-0005-0000-0000-000000100000}"/>
    <cellStyle name="Normal 2 15 4 3 2 2" xfId="6016" xr:uid="{00000000-0005-0000-0000-000001100000}"/>
    <cellStyle name="Normal 2 15 4 3 2 2 2" xfId="9366" xr:uid="{00000000-0005-0000-0000-000002100000}"/>
    <cellStyle name="Normal 2 15 4 3 2 3" xfId="11041" xr:uid="{00000000-0005-0000-0000-000003100000}"/>
    <cellStyle name="Normal 2 15 4 3 2 4" xfId="7691" xr:uid="{00000000-0005-0000-0000-000004100000}"/>
    <cellStyle name="Normal 2 15 4 3 3" xfId="5049" xr:uid="{00000000-0005-0000-0000-000005100000}"/>
    <cellStyle name="Normal 2 15 4 3 3 2" xfId="8399" xr:uid="{00000000-0005-0000-0000-000006100000}"/>
    <cellStyle name="Normal 2 15 4 3 4" xfId="10074" xr:uid="{00000000-0005-0000-0000-000007100000}"/>
    <cellStyle name="Normal 2 15 4 3 5" xfId="6724" xr:uid="{00000000-0005-0000-0000-000008100000}"/>
    <cellStyle name="Normal 2 15 4 4" xfId="3610" xr:uid="{00000000-0005-0000-0000-000009100000}"/>
    <cellStyle name="Normal 2 15 4 4 2" xfId="4577" xr:uid="{00000000-0005-0000-0000-00000A100000}"/>
    <cellStyle name="Normal 2 15 4 4 2 2" xfId="6252" xr:uid="{00000000-0005-0000-0000-00000B100000}"/>
    <cellStyle name="Normal 2 15 4 4 2 2 2" xfId="9602" xr:uid="{00000000-0005-0000-0000-00000C100000}"/>
    <cellStyle name="Normal 2 15 4 4 2 3" xfId="11277" xr:uid="{00000000-0005-0000-0000-00000D100000}"/>
    <cellStyle name="Normal 2 15 4 4 2 4" xfId="7927" xr:uid="{00000000-0005-0000-0000-00000E100000}"/>
    <cellStyle name="Normal 2 15 4 4 3" xfId="5285" xr:uid="{00000000-0005-0000-0000-00000F100000}"/>
    <cellStyle name="Normal 2 15 4 4 3 2" xfId="8635" xr:uid="{00000000-0005-0000-0000-000010100000}"/>
    <cellStyle name="Normal 2 15 4 4 4" xfId="10310" xr:uid="{00000000-0005-0000-0000-000011100000}"/>
    <cellStyle name="Normal 2 15 4 4 5" xfId="6960" xr:uid="{00000000-0005-0000-0000-000012100000}"/>
    <cellStyle name="Normal 2 15 4 5" xfId="3846" xr:uid="{00000000-0005-0000-0000-000013100000}"/>
    <cellStyle name="Normal 2 15 4 5 2" xfId="5521" xr:uid="{00000000-0005-0000-0000-000014100000}"/>
    <cellStyle name="Normal 2 15 4 5 2 2" xfId="8871" xr:uid="{00000000-0005-0000-0000-000015100000}"/>
    <cellStyle name="Normal 2 15 4 5 3" xfId="10546" xr:uid="{00000000-0005-0000-0000-000016100000}"/>
    <cellStyle name="Normal 2 15 4 5 4" xfId="7196" xr:uid="{00000000-0005-0000-0000-000017100000}"/>
    <cellStyle name="Normal 2 15 4 6" xfId="4105" xr:uid="{00000000-0005-0000-0000-000018100000}"/>
    <cellStyle name="Normal 2 15 4 6 2" xfId="5780" xr:uid="{00000000-0005-0000-0000-000019100000}"/>
    <cellStyle name="Normal 2 15 4 6 2 2" xfId="9130" xr:uid="{00000000-0005-0000-0000-00001A100000}"/>
    <cellStyle name="Normal 2 15 4 6 3" xfId="10805" xr:uid="{00000000-0005-0000-0000-00001B100000}"/>
    <cellStyle name="Normal 2 15 4 6 4" xfId="7455" xr:uid="{00000000-0005-0000-0000-00001C100000}"/>
    <cellStyle name="Normal 2 15 4 7" xfId="4813" xr:uid="{00000000-0005-0000-0000-00001D100000}"/>
    <cellStyle name="Normal 2 15 4 7 2" xfId="8163" xr:uid="{00000000-0005-0000-0000-00001E100000}"/>
    <cellStyle name="Normal 2 15 4 8" xfId="9838" xr:uid="{00000000-0005-0000-0000-00001F100000}"/>
    <cellStyle name="Normal 2 15 4 9" xfId="6488" xr:uid="{00000000-0005-0000-0000-000020100000}"/>
    <cellStyle name="Normal 2 15 5" xfId="3163" xr:uid="{00000000-0005-0000-0000-000021100000}"/>
    <cellStyle name="Normal 2 15 5 2" xfId="3281" xr:uid="{00000000-0005-0000-0000-000022100000}"/>
    <cellStyle name="Normal 2 15 5 2 2" xfId="3517" xr:uid="{00000000-0005-0000-0000-000023100000}"/>
    <cellStyle name="Normal 2 15 5 2 2 2" xfId="4483" xr:uid="{00000000-0005-0000-0000-000024100000}"/>
    <cellStyle name="Normal 2 15 5 2 2 2 2" xfId="6158" xr:uid="{00000000-0005-0000-0000-000025100000}"/>
    <cellStyle name="Normal 2 15 5 2 2 2 2 2" xfId="9508" xr:uid="{00000000-0005-0000-0000-000026100000}"/>
    <cellStyle name="Normal 2 15 5 2 2 2 3" xfId="11183" xr:uid="{00000000-0005-0000-0000-000027100000}"/>
    <cellStyle name="Normal 2 15 5 2 2 2 4" xfId="7833" xr:uid="{00000000-0005-0000-0000-000028100000}"/>
    <cellStyle name="Normal 2 15 5 2 2 3" xfId="5191" xr:uid="{00000000-0005-0000-0000-000029100000}"/>
    <cellStyle name="Normal 2 15 5 2 2 3 2" xfId="8541" xr:uid="{00000000-0005-0000-0000-00002A100000}"/>
    <cellStyle name="Normal 2 15 5 2 2 4" xfId="10216" xr:uid="{00000000-0005-0000-0000-00002B100000}"/>
    <cellStyle name="Normal 2 15 5 2 2 5" xfId="6866" xr:uid="{00000000-0005-0000-0000-00002C100000}"/>
    <cellStyle name="Normal 2 15 5 2 3" xfId="3752" xr:uid="{00000000-0005-0000-0000-00002D100000}"/>
    <cellStyle name="Normal 2 15 5 2 3 2" xfId="4719" xr:uid="{00000000-0005-0000-0000-00002E100000}"/>
    <cellStyle name="Normal 2 15 5 2 3 2 2" xfId="6394" xr:uid="{00000000-0005-0000-0000-00002F100000}"/>
    <cellStyle name="Normal 2 15 5 2 3 2 2 2" xfId="9744" xr:uid="{00000000-0005-0000-0000-000030100000}"/>
    <cellStyle name="Normal 2 15 5 2 3 2 3" xfId="11419" xr:uid="{00000000-0005-0000-0000-000031100000}"/>
    <cellStyle name="Normal 2 15 5 2 3 2 4" xfId="8069" xr:uid="{00000000-0005-0000-0000-000032100000}"/>
    <cellStyle name="Normal 2 15 5 2 3 3" xfId="5427" xr:uid="{00000000-0005-0000-0000-000033100000}"/>
    <cellStyle name="Normal 2 15 5 2 3 3 2" xfId="8777" xr:uid="{00000000-0005-0000-0000-000034100000}"/>
    <cellStyle name="Normal 2 15 5 2 3 4" xfId="10452" xr:uid="{00000000-0005-0000-0000-000035100000}"/>
    <cellStyle name="Normal 2 15 5 2 3 5" xfId="7102" xr:uid="{00000000-0005-0000-0000-000036100000}"/>
    <cellStyle name="Normal 2 15 5 2 4" xfId="3988" xr:uid="{00000000-0005-0000-0000-000037100000}"/>
    <cellStyle name="Normal 2 15 5 2 4 2" xfId="5663" xr:uid="{00000000-0005-0000-0000-000038100000}"/>
    <cellStyle name="Normal 2 15 5 2 4 2 2" xfId="9013" xr:uid="{00000000-0005-0000-0000-000039100000}"/>
    <cellStyle name="Normal 2 15 5 2 4 3" xfId="10688" xr:uid="{00000000-0005-0000-0000-00003A100000}"/>
    <cellStyle name="Normal 2 15 5 2 4 4" xfId="7338" xr:uid="{00000000-0005-0000-0000-00003B100000}"/>
    <cellStyle name="Normal 2 15 5 2 5" xfId="4247" xr:uid="{00000000-0005-0000-0000-00003C100000}"/>
    <cellStyle name="Normal 2 15 5 2 5 2" xfId="5922" xr:uid="{00000000-0005-0000-0000-00003D100000}"/>
    <cellStyle name="Normal 2 15 5 2 5 2 2" xfId="9272" xr:uid="{00000000-0005-0000-0000-00003E100000}"/>
    <cellStyle name="Normal 2 15 5 2 5 3" xfId="10947" xr:uid="{00000000-0005-0000-0000-00003F100000}"/>
    <cellStyle name="Normal 2 15 5 2 5 4" xfId="7597" xr:uid="{00000000-0005-0000-0000-000040100000}"/>
    <cellStyle name="Normal 2 15 5 2 6" xfId="4955" xr:uid="{00000000-0005-0000-0000-000041100000}"/>
    <cellStyle name="Normal 2 15 5 2 6 2" xfId="8305" xr:uid="{00000000-0005-0000-0000-000042100000}"/>
    <cellStyle name="Normal 2 15 5 2 7" xfId="9980" xr:uid="{00000000-0005-0000-0000-000043100000}"/>
    <cellStyle name="Normal 2 15 5 2 8" xfId="6630" xr:uid="{00000000-0005-0000-0000-000044100000}"/>
    <cellStyle name="Normal 2 15 5 3" xfId="3399" xr:uid="{00000000-0005-0000-0000-000045100000}"/>
    <cellStyle name="Normal 2 15 5 3 2" xfId="4365" xr:uid="{00000000-0005-0000-0000-000046100000}"/>
    <cellStyle name="Normal 2 15 5 3 2 2" xfId="6040" xr:uid="{00000000-0005-0000-0000-000047100000}"/>
    <cellStyle name="Normal 2 15 5 3 2 2 2" xfId="9390" xr:uid="{00000000-0005-0000-0000-000048100000}"/>
    <cellStyle name="Normal 2 15 5 3 2 3" xfId="11065" xr:uid="{00000000-0005-0000-0000-000049100000}"/>
    <cellStyle name="Normal 2 15 5 3 2 4" xfId="7715" xr:uid="{00000000-0005-0000-0000-00004A100000}"/>
    <cellStyle name="Normal 2 15 5 3 3" xfId="5073" xr:uid="{00000000-0005-0000-0000-00004B100000}"/>
    <cellStyle name="Normal 2 15 5 3 3 2" xfId="8423" xr:uid="{00000000-0005-0000-0000-00004C100000}"/>
    <cellStyle name="Normal 2 15 5 3 4" xfId="10098" xr:uid="{00000000-0005-0000-0000-00004D100000}"/>
    <cellStyle name="Normal 2 15 5 3 5" xfId="6748" xr:uid="{00000000-0005-0000-0000-00004E100000}"/>
    <cellStyle name="Normal 2 15 5 4" xfId="3634" xr:uid="{00000000-0005-0000-0000-00004F100000}"/>
    <cellStyle name="Normal 2 15 5 4 2" xfId="4601" xr:uid="{00000000-0005-0000-0000-000050100000}"/>
    <cellStyle name="Normal 2 15 5 4 2 2" xfId="6276" xr:uid="{00000000-0005-0000-0000-000051100000}"/>
    <cellStyle name="Normal 2 15 5 4 2 2 2" xfId="9626" xr:uid="{00000000-0005-0000-0000-000052100000}"/>
    <cellStyle name="Normal 2 15 5 4 2 3" xfId="11301" xr:uid="{00000000-0005-0000-0000-000053100000}"/>
    <cellStyle name="Normal 2 15 5 4 2 4" xfId="7951" xr:uid="{00000000-0005-0000-0000-000054100000}"/>
    <cellStyle name="Normal 2 15 5 4 3" xfId="5309" xr:uid="{00000000-0005-0000-0000-000055100000}"/>
    <cellStyle name="Normal 2 15 5 4 3 2" xfId="8659" xr:uid="{00000000-0005-0000-0000-000056100000}"/>
    <cellStyle name="Normal 2 15 5 4 4" xfId="10334" xr:uid="{00000000-0005-0000-0000-000057100000}"/>
    <cellStyle name="Normal 2 15 5 4 5" xfId="6984" xr:uid="{00000000-0005-0000-0000-000058100000}"/>
    <cellStyle name="Normal 2 15 5 5" xfId="3870" xr:uid="{00000000-0005-0000-0000-000059100000}"/>
    <cellStyle name="Normal 2 15 5 5 2" xfId="5545" xr:uid="{00000000-0005-0000-0000-00005A100000}"/>
    <cellStyle name="Normal 2 15 5 5 2 2" xfId="8895" xr:uid="{00000000-0005-0000-0000-00005B100000}"/>
    <cellStyle name="Normal 2 15 5 5 3" xfId="10570" xr:uid="{00000000-0005-0000-0000-00005C100000}"/>
    <cellStyle name="Normal 2 15 5 5 4" xfId="7220" xr:uid="{00000000-0005-0000-0000-00005D100000}"/>
    <cellStyle name="Normal 2 15 5 6" xfId="4129" xr:uid="{00000000-0005-0000-0000-00005E100000}"/>
    <cellStyle name="Normal 2 15 5 6 2" xfId="5804" xr:uid="{00000000-0005-0000-0000-00005F100000}"/>
    <cellStyle name="Normal 2 15 5 6 2 2" xfId="9154" xr:uid="{00000000-0005-0000-0000-000060100000}"/>
    <cellStyle name="Normal 2 15 5 6 3" xfId="10829" xr:uid="{00000000-0005-0000-0000-000061100000}"/>
    <cellStyle name="Normal 2 15 5 6 4" xfId="7479" xr:uid="{00000000-0005-0000-0000-000062100000}"/>
    <cellStyle name="Normal 2 15 5 7" xfId="4837" xr:uid="{00000000-0005-0000-0000-000063100000}"/>
    <cellStyle name="Normal 2 15 5 7 2" xfId="8187" xr:uid="{00000000-0005-0000-0000-000064100000}"/>
    <cellStyle name="Normal 2 15 5 8" xfId="9862" xr:uid="{00000000-0005-0000-0000-000065100000}"/>
    <cellStyle name="Normal 2 15 5 9" xfId="6512" xr:uid="{00000000-0005-0000-0000-000066100000}"/>
    <cellStyle name="Normal 2 15 6" xfId="3187" xr:uid="{00000000-0005-0000-0000-000067100000}"/>
    <cellStyle name="Normal 2 15 6 2" xfId="3423" xr:uid="{00000000-0005-0000-0000-000068100000}"/>
    <cellStyle name="Normal 2 15 6 2 2" xfId="4389" xr:uid="{00000000-0005-0000-0000-000069100000}"/>
    <cellStyle name="Normal 2 15 6 2 2 2" xfId="6064" xr:uid="{00000000-0005-0000-0000-00006A100000}"/>
    <cellStyle name="Normal 2 15 6 2 2 2 2" xfId="9414" xr:uid="{00000000-0005-0000-0000-00006B100000}"/>
    <cellStyle name="Normal 2 15 6 2 2 3" xfId="11089" xr:uid="{00000000-0005-0000-0000-00006C100000}"/>
    <cellStyle name="Normal 2 15 6 2 2 4" xfId="7739" xr:uid="{00000000-0005-0000-0000-00006D100000}"/>
    <cellStyle name="Normal 2 15 6 2 3" xfId="5097" xr:uid="{00000000-0005-0000-0000-00006E100000}"/>
    <cellStyle name="Normal 2 15 6 2 3 2" xfId="8447" xr:uid="{00000000-0005-0000-0000-00006F100000}"/>
    <cellStyle name="Normal 2 15 6 2 4" xfId="10122" xr:uid="{00000000-0005-0000-0000-000070100000}"/>
    <cellStyle name="Normal 2 15 6 2 5" xfId="6772" xr:uid="{00000000-0005-0000-0000-000071100000}"/>
    <cellStyle name="Normal 2 15 6 3" xfId="3658" xr:uid="{00000000-0005-0000-0000-000072100000}"/>
    <cellStyle name="Normal 2 15 6 3 2" xfId="4625" xr:uid="{00000000-0005-0000-0000-000073100000}"/>
    <cellStyle name="Normal 2 15 6 3 2 2" xfId="6300" xr:uid="{00000000-0005-0000-0000-000074100000}"/>
    <cellStyle name="Normal 2 15 6 3 2 2 2" xfId="9650" xr:uid="{00000000-0005-0000-0000-000075100000}"/>
    <cellStyle name="Normal 2 15 6 3 2 3" xfId="11325" xr:uid="{00000000-0005-0000-0000-000076100000}"/>
    <cellStyle name="Normal 2 15 6 3 2 4" xfId="7975" xr:uid="{00000000-0005-0000-0000-000077100000}"/>
    <cellStyle name="Normal 2 15 6 3 3" xfId="5333" xr:uid="{00000000-0005-0000-0000-000078100000}"/>
    <cellStyle name="Normal 2 15 6 3 3 2" xfId="8683" xr:uid="{00000000-0005-0000-0000-000079100000}"/>
    <cellStyle name="Normal 2 15 6 3 4" xfId="10358" xr:uid="{00000000-0005-0000-0000-00007A100000}"/>
    <cellStyle name="Normal 2 15 6 3 5" xfId="7008" xr:uid="{00000000-0005-0000-0000-00007B100000}"/>
    <cellStyle name="Normal 2 15 6 4" xfId="3894" xr:uid="{00000000-0005-0000-0000-00007C100000}"/>
    <cellStyle name="Normal 2 15 6 4 2" xfId="5569" xr:uid="{00000000-0005-0000-0000-00007D100000}"/>
    <cellStyle name="Normal 2 15 6 4 2 2" xfId="8919" xr:uid="{00000000-0005-0000-0000-00007E100000}"/>
    <cellStyle name="Normal 2 15 6 4 3" xfId="10594" xr:uid="{00000000-0005-0000-0000-00007F100000}"/>
    <cellStyle name="Normal 2 15 6 4 4" xfId="7244" xr:uid="{00000000-0005-0000-0000-000080100000}"/>
    <cellStyle name="Normal 2 15 6 5" xfId="4153" xr:uid="{00000000-0005-0000-0000-000081100000}"/>
    <cellStyle name="Normal 2 15 6 5 2" xfId="5828" xr:uid="{00000000-0005-0000-0000-000082100000}"/>
    <cellStyle name="Normal 2 15 6 5 2 2" xfId="9178" xr:uid="{00000000-0005-0000-0000-000083100000}"/>
    <cellStyle name="Normal 2 15 6 5 3" xfId="10853" xr:uid="{00000000-0005-0000-0000-000084100000}"/>
    <cellStyle name="Normal 2 15 6 5 4" xfId="7503" xr:uid="{00000000-0005-0000-0000-000085100000}"/>
    <cellStyle name="Normal 2 15 6 6" xfId="4861" xr:uid="{00000000-0005-0000-0000-000086100000}"/>
    <cellStyle name="Normal 2 15 6 6 2" xfId="8211" xr:uid="{00000000-0005-0000-0000-000087100000}"/>
    <cellStyle name="Normal 2 15 6 7" xfId="9886" xr:uid="{00000000-0005-0000-0000-000088100000}"/>
    <cellStyle name="Normal 2 15 6 8" xfId="6536" xr:uid="{00000000-0005-0000-0000-000089100000}"/>
    <cellStyle name="Normal 2 15 7" xfId="3305" xr:uid="{00000000-0005-0000-0000-00008A100000}"/>
    <cellStyle name="Normal 2 15 7 2" xfId="4271" xr:uid="{00000000-0005-0000-0000-00008B100000}"/>
    <cellStyle name="Normal 2 15 7 2 2" xfId="5946" xr:uid="{00000000-0005-0000-0000-00008C100000}"/>
    <cellStyle name="Normal 2 15 7 2 2 2" xfId="9296" xr:uid="{00000000-0005-0000-0000-00008D100000}"/>
    <cellStyle name="Normal 2 15 7 2 3" xfId="10971" xr:uid="{00000000-0005-0000-0000-00008E100000}"/>
    <cellStyle name="Normal 2 15 7 2 4" xfId="7621" xr:uid="{00000000-0005-0000-0000-00008F100000}"/>
    <cellStyle name="Normal 2 15 7 3" xfId="4979" xr:uid="{00000000-0005-0000-0000-000090100000}"/>
    <cellStyle name="Normal 2 15 7 3 2" xfId="8329" xr:uid="{00000000-0005-0000-0000-000091100000}"/>
    <cellStyle name="Normal 2 15 7 4" xfId="10004" xr:uid="{00000000-0005-0000-0000-000092100000}"/>
    <cellStyle name="Normal 2 15 7 5" xfId="6654" xr:uid="{00000000-0005-0000-0000-000093100000}"/>
    <cellStyle name="Normal 2 15 8" xfId="3541" xr:uid="{00000000-0005-0000-0000-000094100000}"/>
    <cellStyle name="Normal 2 15 8 2" xfId="4507" xr:uid="{00000000-0005-0000-0000-000095100000}"/>
    <cellStyle name="Normal 2 15 8 2 2" xfId="6182" xr:uid="{00000000-0005-0000-0000-000096100000}"/>
    <cellStyle name="Normal 2 15 8 2 2 2" xfId="9532" xr:uid="{00000000-0005-0000-0000-000097100000}"/>
    <cellStyle name="Normal 2 15 8 2 3" xfId="11207" xr:uid="{00000000-0005-0000-0000-000098100000}"/>
    <cellStyle name="Normal 2 15 8 2 4" xfId="7857" xr:uid="{00000000-0005-0000-0000-000099100000}"/>
    <cellStyle name="Normal 2 15 8 3" xfId="5215" xr:uid="{00000000-0005-0000-0000-00009A100000}"/>
    <cellStyle name="Normal 2 15 8 3 2" xfId="8565" xr:uid="{00000000-0005-0000-0000-00009B100000}"/>
    <cellStyle name="Normal 2 15 8 4" xfId="10240" xr:uid="{00000000-0005-0000-0000-00009C100000}"/>
    <cellStyle name="Normal 2 15 8 5" xfId="6890" xr:uid="{00000000-0005-0000-0000-00009D100000}"/>
    <cellStyle name="Normal 2 15 9" xfId="3776" xr:uid="{00000000-0005-0000-0000-00009E100000}"/>
    <cellStyle name="Normal 2 15 9 2" xfId="4035" xr:uid="{00000000-0005-0000-0000-00009F100000}"/>
    <cellStyle name="Normal 2 15 9 2 2" xfId="5710" xr:uid="{00000000-0005-0000-0000-0000A0100000}"/>
    <cellStyle name="Normal 2 15 9 2 2 2" xfId="9060" xr:uid="{00000000-0005-0000-0000-0000A1100000}"/>
    <cellStyle name="Normal 2 15 9 2 3" xfId="10735" xr:uid="{00000000-0005-0000-0000-0000A2100000}"/>
    <cellStyle name="Normal 2 15 9 2 4" xfId="7385" xr:uid="{00000000-0005-0000-0000-0000A3100000}"/>
    <cellStyle name="Normal 2 15 9 3" xfId="5451" xr:uid="{00000000-0005-0000-0000-0000A4100000}"/>
    <cellStyle name="Normal 2 15 9 3 2" xfId="8801" xr:uid="{00000000-0005-0000-0000-0000A5100000}"/>
    <cellStyle name="Normal 2 15 9 4" xfId="10476" xr:uid="{00000000-0005-0000-0000-0000A6100000}"/>
    <cellStyle name="Normal 2 15 9 5" xfId="7126" xr:uid="{00000000-0005-0000-0000-0000A7100000}"/>
    <cellStyle name="Normal 2 16" xfId="2636" xr:uid="{00000000-0005-0000-0000-000074080000}"/>
    <cellStyle name="Normal 2 16 10" xfId="4013" xr:uid="{00000000-0005-0000-0000-0000A9100000}"/>
    <cellStyle name="Normal 2 16 10 2" xfId="5688" xr:uid="{00000000-0005-0000-0000-0000AA100000}"/>
    <cellStyle name="Normal 2 16 10 2 2" xfId="9038" xr:uid="{00000000-0005-0000-0000-0000AB100000}"/>
    <cellStyle name="Normal 2 16 10 3" xfId="10713" xr:uid="{00000000-0005-0000-0000-0000AC100000}"/>
    <cellStyle name="Normal 2 16 10 4" xfId="7363" xr:uid="{00000000-0005-0000-0000-0000AD100000}"/>
    <cellStyle name="Normal 2 16 11" xfId="4744" xr:uid="{00000000-0005-0000-0000-0000AE100000}"/>
    <cellStyle name="Normal 2 16 11 2" xfId="8094" xr:uid="{00000000-0005-0000-0000-0000AF100000}"/>
    <cellStyle name="Normal 2 16 12" xfId="9769" xr:uid="{00000000-0005-0000-0000-0000B0100000}"/>
    <cellStyle name="Normal 2 16 13" xfId="6419" xr:uid="{00000000-0005-0000-0000-0000B1100000}"/>
    <cellStyle name="Normal 2 16 14" xfId="2861" xr:uid="{00000000-0005-0000-0000-0000A8100000}"/>
    <cellStyle name="Normal 2 16 2" xfId="3095" xr:uid="{00000000-0005-0000-0000-0000B2100000}"/>
    <cellStyle name="Normal 2 16 2 2" xfId="3212" xr:uid="{00000000-0005-0000-0000-0000B3100000}"/>
    <cellStyle name="Normal 2 16 2 2 2" xfId="3448" xr:uid="{00000000-0005-0000-0000-0000B4100000}"/>
    <cellStyle name="Normal 2 16 2 2 2 2" xfId="4414" xr:uid="{00000000-0005-0000-0000-0000B5100000}"/>
    <cellStyle name="Normal 2 16 2 2 2 2 2" xfId="6089" xr:uid="{00000000-0005-0000-0000-0000B6100000}"/>
    <cellStyle name="Normal 2 16 2 2 2 2 2 2" xfId="9439" xr:uid="{00000000-0005-0000-0000-0000B7100000}"/>
    <cellStyle name="Normal 2 16 2 2 2 2 3" xfId="11114" xr:uid="{00000000-0005-0000-0000-0000B8100000}"/>
    <cellStyle name="Normal 2 16 2 2 2 2 4" xfId="7764" xr:uid="{00000000-0005-0000-0000-0000B9100000}"/>
    <cellStyle name="Normal 2 16 2 2 2 3" xfId="5122" xr:uid="{00000000-0005-0000-0000-0000BA100000}"/>
    <cellStyle name="Normal 2 16 2 2 2 3 2" xfId="8472" xr:uid="{00000000-0005-0000-0000-0000BB100000}"/>
    <cellStyle name="Normal 2 16 2 2 2 4" xfId="10147" xr:uid="{00000000-0005-0000-0000-0000BC100000}"/>
    <cellStyle name="Normal 2 16 2 2 2 5" xfId="6797" xr:uid="{00000000-0005-0000-0000-0000BD100000}"/>
    <cellStyle name="Normal 2 16 2 2 3" xfId="3683" xr:uid="{00000000-0005-0000-0000-0000BE100000}"/>
    <cellStyle name="Normal 2 16 2 2 3 2" xfId="4650" xr:uid="{00000000-0005-0000-0000-0000BF100000}"/>
    <cellStyle name="Normal 2 16 2 2 3 2 2" xfId="6325" xr:uid="{00000000-0005-0000-0000-0000C0100000}"/>
    <cellStyle name="Normal 2 16 2 2 3 2 2 2" xfId="9675" xr:uid="{00000000-0005-0000-0000-0000C1100000}"/>
    <cellStyle name="Normal 2 16 2 2 3 2 3" xfId="11350" xr:uid="{00000000-0005-0000-0000-0000C2100000}"/>
    <cellStyle name="Normal 2 16 2 2 3 2 4" xfId="8000" xr:uid="{00000000-0005-0000-0000-0000C3100000}"/>
    <cellStyle name="Normal 2 16 2 2 3 3" xfId="5358" xr:uid="{00000000-0005-0000-0000-0000C4100000}"/>
    <cellStyle name="Normal 2 16 2 2 3 3 2" xfId="8708" xr:uid="{00000000-0005-0000-0000-0000C5100000}"/>
    <cellStyle name="Normal 2 16 2 2 3 4" xfId="10383" xr:uid="{00000000-0005-0000-0000-0000C6100000}"/>
    <cellStyle name="Normal 2 16 2 2 3 5" xfId="7033" xr:uid="{00000000-0005-0000-0000-0000C7100000}"/>
    <cellStyle name="Normal 2 16 2 2 4" xfId="3919" xr:uid="{00000000-0005-0000-0000-0000C8100000}"/>
    <cellStyle name="Normal 2 16 2 2 4 2" xfId="5594" xr:uid="{00000000-0005-0000-0000-0000C9100000}"/>
    <cellStyle name="Normal 2 16 2 2 4 2 2" xfId="8944" xr:uid="{00000000-0005-0000-0000-0000CA100000}"/>
    <cellStyle name="Normal 2 16 2 2 4 3" xfId="10619" xr:uid="{00000000-0005-0000-0000-0000CB100000}"/>
    <cellStyle name="Normal 2 16 2 2 4 4" xfId="7269" xr:uid="{00000000-0005-0000-0000-0000CC100000}"/>
    <cellStyle name="Normal 2 16 2 2 5" xfId="4178" xr:uid="{00000000-0005-0000-0000-0000CD100000}"/>
    <cellStyle name="Normal 2 16 2 2 5 2" xfId="5853" xr:uid="{00000000-0005-0000-0000-0000CE100000}"/>
    <cellStyle name="Normal 2 16 2 2 5 2 2" xfId="9203" xr:uid="{00000000-0005-0000-0000-0000CF100000}"/>
    <cellStyle name="Normal 2 16 2 2 5 3" xfId="10878" xr:uid="{00000000-0005-0000-0000-0000D0100000}"/>
    <cellStyle name="Normal 2 16 2 2 5 4" xfId="7528" xr:uid="{00000000-0005-0000-0000-0000D1100000}"/>
    <cellStyle name="Normal 2 16 2 2 6" xfId="4886" xr:uid="{00000000-0005-0000-0000-0000D2100000}"/>
    <cellStyle name="Normal 2 16 2 2 6 2" xfId="8236" xr:uid="{00000000-0005-0000-0000-0000D3100000}"/>
    <cellStyle name="Normal 2 16 2 2 7" xfId="9911" xr:uid="{00000000-0005-0000-0000-0000D4100000}"/>
    <cellStyle name="Normal 2 16 2 2 8" xfId="6561" xr:uid="{00000000-0005-0000-0000-0000D5100000}"/>
    <cellStyle name="Normal 2 16 2 3" xfId="3329" xr:uid="{00000000-0005-0000-0000-0000D6100000}"/>
    <cellStyle name="Normal 2 16 2 3 2" xfId="4295" xr:uid="{00000000-0005-0000-0000-0000D7100000}"/>
    <cellStyle name="Normal 2 16 2 3 2 2" xfId="5970" xr:uid="{00000000-0005-0000-0000-0000D8100000}"/>
    <cellStyle name="Normal 2 16 2 3 2 2 2" xfId="9320" xr:uid="{00000000-0005-0000-0000-0000D9100000}"/>
    <cellStyle name="Normal 2 16 2 3 2 3" xfId="10995" xr:uid="{00000000-0005-0000-0000-0000DA100000}"/>
    <cellStyle name="Normal 2 16 2 3 2 4" xfId="7645" xr:uid="{00000000-0005-0000-0000-0000DB100000}"/>
    <cellStyle name="Normal 2 16 2 3 3" xfId="5003" xr:uid="{00000000-0005-0000-0000-0000DC100000}"/>
    <cellStyle name="Normal 2 16 2 3 3 2" xfId="8353" xr:uid="{00000000-0005-0000-0000-0000DD100000}"/>
    <cellStyle name="Normal 2 16 2 3 4" xfId="10028" xr:uid="{00000000-0005-0000-0000-0000DE100000}"/>
    <cellStyle name="Normal 2 16 2 3 5" xfId="6678" xr:uid="{00000000-0005-0000-0000-0000DF100000}"/>
    <cellStyle name="Normal 2 16 2 4" xfId="3564" xr:uid="{00000000-0005-0000-0000-0000E0100000}"/>
    <cellStyle name="Normal 2 16 2 4 2" xfId="4531" xr:uid="{00000000-0005-0000-0000-0000E1100000}"/>
    <cellStyle name="Normal 2 16 2 4 2 2" xfId="6206" xr:uid="{00000000-0005-0000-0000-0000E2100000}"/>
    <cellStyle name="Normal 2 16 2 4 2 2 2" xfId="9556" xr:uid="{00000000-0005-0000-0000-0000E3100000}"/>
    <cellStyle name="Normal 2 16 2 4 2 3" xfId="11231" xr:uid="{00000000-0005-0000-0000-0000E4100000}"/>
    <cellStyle name="Normal 2 16 2 4 2 4" xfId="7881" xr:uid="{00000000-0005-0000-0000-0000E5100000}"/>
    <cellStyle name="Normal 2 16 2 4 3" xfId="5239" xr:uid="{00000000-0005-0000-0000-0000E6100000}"/>
    <cellStyle name="Normal 2 16 2 4 3 2" xfId="8589" xr:uid="{00000000-0005-0000-0000-0000E7100000}"/>
    <cellStyle name="Normal 2 16 2 4 4" xfId="10264" xr:uid="{00000000-0005-0000-0000-0000E8100000}"/>
    <cellStyle name="Normal 2 16 2 4 5" xfId="6914" xr:uid="{00000000-0005-0000-0000-0000E9100000}"/>
    <cellStyle name="Normal 2 16 2 5" xfId="3800" xr:uid="{00000000-0005-0000-0000-0000EA100000}"/>
    <cellStyle name="Normal 2 16 2 5 2" xfId="5475" xr:uid="{00000000-0005-0000-0000-0000EB100000}"/>
    <cellStyle name="Normal 2 16 2 5 2 2" xfId="8825" xr:uid="{00000000-0005-0000-0000-0000EC100000}"/>
    <cellStyle name="Normal 2 16 2 5 3" xfId="10500" xr:uid="{00000000-0005-0000-0000-0000ED100000}"/>
    <cellStyle name="Normal 2 16 2 5 4" xfId="7150" xr:uid="{00000000-0005-0000-0000-0000EE100000}"/>
    <cellStyle name="Normal 2 16 2 6" xfId="4059" xr:uid="{00000000-0005-0000-0000-0000EF100000}"/>
    <cellStyle name="Normal 2 16 2 6 2" xfId="5734" xr:uid="{00000000-0005-0000-0000-0000F0100000}"/>
    <cellStyle name="Normal 2 16 2 6 2 2" xfId="9084" xr:uid="{00000000-0005-0000-0000-0000F1100000}"/>
    <cellStyle name="Normal 2 16 2 6 3" xfId="10759" xr:uid="{00000000-0005-0000-0000-0000F2100000}"/>
    <cellStyle name="Normal 2 16 2 6 4" xfId="7409" xr:uid="{00000000-0005-0000-0000-0000F3100000}"/>
    <cellStyle name="Normal 2 16 2 7" xfId="4767" xr:uid="{00000000-0005-0000-0000-0000F4100000}"/>
    <cellStyle name="Normal 2 16 2 7 2" xfId="8117" xr:uid="{00000000-0005-0000-0000-0000F5100000}"/>
    <cellStyle name="Normal 2 16 2 8" xfId="9792" xr:uid="{00000000-0005-0000-0000-0000F6100000}"/>
    <cellStyle name="Normal 2 16 2 9" xfId="6442" xr:uid="{00000000-0005-0000-0000-0000F7100000}"/>
    <cellStyle name="Normal 2 16 3" xfId="3117" xr:uid="{00000000-0005-0000-0000-0000F8100000}"/>
    <cellStyle name="Normal 2 16 3 2" xfId="3234" xr:uid="{00000000-0005-0000-0000-0000F9100000}"/>
    <cellStyle name="Normal 2 16 3 2 2" xfId="3470" xr:uid="{00000000-0005-0000-0000-0000FA100000}"/>
    <cellStyle name="Normal 2 16 3 2 2 2" xfId="4436" xr:uid="{00000000-0005-0000-0000-0000FB100000}"/>
    <cellStyle name="Normal 2 16 3 2 2 2 2" xfId="6111" xr:uid="{00000000-0005-0000-0000-0000FC100000}"/>
    <cellStyle name="Normal 2 16 3 2 2 2 2 2" xfId="9461" xr:uid="{00000000-0005-0000-0000-0000FD100000}"/>
    <cellStyle name="Normal 2 16 3 2 2 2 3" xfId="11136" xr:uid="{00000000-0005-0000-0000-0000FE100000}"/>
    <cellStyle name="Normal 2 16 3 2 2 2 4" xfId="7786" xr:uid="{00000000-0005-0000-0000-0000FF100000}"/>
    <cellStyle name="Normal 2 16 3 2 2 3" xfId="5144" xr:uid="{00000000-0005-0000-0000-000000110000}"/>
    <cellStyle name="Normal 2 16 3 2 2 3 2" xfId="8494" xr:uid="{00000000-0005-0000-0000-000001110000}"/>
    <cellStyle name="Normal 2 16 3 2 2 4" xfId="10169" xr:uid="{00000000-0005-0000-0000-000002110000}"/>
    <cellStyle name="Normal 2 16 3 2 2 5" xfId="6819" xr:uid="{00000000-0005-0000-0000-000003110000}"/>
    <cellStyle name="Normal 2 16 3 2 3" xfId="3705" xr:uid="{00000000-0005-0000-0000-000004110000}"/>
    <cellStyle name="Normal 2 16 3 2 3 2" xfId="4672" xr:uid="{00000000-0005-0000-0000-000005110000}"/>
    <cellStyle name="Normal 2 16 3 2 3 2 2" xfId="6347" xr:uid="{00000000-0005-0000-0000-000006110000}"/>
    <cellStyle name="Normal 2 16 3 2 3 2 2 2" xfId="9697" xr:uid="{00000000-0005-0000-0000-000007110000}"/>
    <cellStyle name="Normal 2 16 3 2 3 2 3" xfId="11372" xr:uid="{00000000-0005-0000-0000-000008110000}"/>
    <cellStyle name="Normal 2 16 3 2 3 2 4" xfId="8022" xr:uid="{00000000-0005-0000-0000-000009110000}"/>
    <cellStyle name="Normal 2 16 3 2 3 3" xfId="5380" xr:uid="{00000000-0005-0000-0000-00000A110000}"/>
    <cellStyle name="Normal 2 16 3 2 3 3 2" xfId="8730" xr:uid="{00000000-0005-0000-0000-00000B110000}"/>
    <cellStyle name="Normal 2 16 3 2 3 4" xfId="10405" xr:uid="{00000000-0005-0000-0000-00000C110000}"/>
    <cellStyle name="Normal 2 16 3 2 3 5" xfId="7055" xr:uid="{00000000-0005-0000-0000-00000D110000}"/>
    <cellStyle name="Normal 2 16 3 2 4" xfId="3941" xr:uid="{00000000-0005-0000-0000-00000E110000}"/>
    <cellStyle name="Normal 2 16 3 2 4 2" xfId="5616" xr:uid="{00000000-0005-0000-0000-00000F110000}"/>
    <cellStyle name="Normal 2 16 3 2 4 2 2" xfId="8966" xr:uid="{00000000-0005-0000-0000-000010110000}"/>
    <cellStyle name="Normal 2 16 3 2 4 3" xfId="10641" xr:uid="{00000000-0005-0000-0000-000011110000}"/>
    <cellStyle name="Normal 2 16 3 2 4 4" xfId="7291" xr:uid="{00000000-0005-0000-0000-000012110000}"/>
    <cellStyle name="Normal 2 16 3 2 5" xfId="4200" xr:uid="{00000000-0005-0000-0000-000013110000}"/>
    <cellStyle name="Normal 2 16 3 2 5 2" xfId="5875" xr:uid="{00000000-0005-0000-0000-000014110000}"/>
    <cellStyle name="Normal 2 16 3 2 5 2 2" xfId="9225" xr:uid="{00000000-0005-0000-0000-000015110000}"/>
    <cellStyle name="Normal 2 16 3 2 5 3" xfId="10900" xr:uid="{00000000-0005-0000-0000-000016110000}"/>
    <cellStyle name="Normal 2 16 3 2 5 4" xfId="7550" xr:uid="{00000000-0005-0000-0000-000017110000}"/>
    <cellStyle name="Normal 2 16 3 2 6" xfId="4908" xr:uid="{00000000-0005-0000-0000-000018110000}"/>
    <cellStyle name="Normal 2 16 3 2 6 2" xfId="8258" xr:uid="{00000000-0005-0000-0000-000019110000}"/>
    <cellStyle name="Normal 2 16 3 2 7" xfId="9933" xr:uid="{00000000-0005-0000-0000-00001A110000}"/>
    <cellStyle name="Normal 2 16 3 2 8" xfId="6583" xr:uid="{00000000-0005-0000-0000-00001B110000}"/>
    <cellStyle name="Normal 2 16 3 3" xfId="3352" xr:uid="{00000000-0005-0000-0000-00001C110000}"/>
    <cellStyle name="Normal 2 16 3 3 2" xfId="4318" xr:uid="{00000000-0005-0000-0000-00001D110000}"/>
    <cellStyle name="Normal 2 16 3 3 2 2" xfId="5993" xr:uid="{00000000-0005-0000-0000-00001E110000}"/>
    <cellStyle name="Normal 2 16 3 3 2 2 2" xfId="9343" xr:uid="{00000000-0005-0000-0000-00001F110000}"/>
    <cellStyle name="Normal 2 16 3 3 2 3" xfId="11018" xr:uid="{00000000-0005-0000-0000-000020110000}"/>
    <cellStyle name="Normal 2 16 3 3 2 4" xfId="7668" xr:uid="{00000000-0005-0000-0000-000021110000}"/>
    <cellStyle name="Normal 2 16 3 3 3" xfId="5026" xr:uid="{00000000-0005-0000-0000-000022110000}"/>
    <cellStyle name="Normal 2 16 3 3 3 2" xfId="8376" xr:uid="{00000000-0005-0000-0000-000023110000}"/>
    <cellStyle name="Normal 2 16 3 3 4" xfId="10051" xr:uid="{00000000-0005-0000-0000-000024110000}"/>
    <cellStyle name="Normal 2 16 3 3 5" xfId="6701" xr:uid="{00000000-0005-0000-0000-000025110000}"/>
    <cellStyle name="Normal 2 16 3 4" xfId="3587" xr:uid="{00000000-0005-0000-0000-000026110000}"/>
    <cellStyle name="Normal 2 16 3 4 2" xfId="4554" xr:uid="{00000000-0005-0000-0000-000027110000}"/>
    <cellStyle name="Normal 2 16 3 4 2 2" xfId="6229" xr:uid="{00000000-0005-0000-0000-000028110000}"/>
    <cellStyle name="Normal 2 16 3 4 2 2 2" xfId="9579" xr:uid="{00000000-0005-0000-0000-000029110000}"/>
    <cellStyle name="Normal 2 16 3 4 2 3" xfId="11254" xr:uid="{00000000-0005-0000-0000-00002A110000}"/>
    <cellStyle name="Normal 2 16 3 4 2 4" xfId="7904" xr:uid="{00000000-0005-0000-0000-00002B110000}"/>
    <cellStyle name="Normal 2 16 3 4 3" xfId="5262" xr:uid="{00000000-0005-0000-0000-00002C110000}"/>
    <cellStyle name="Normal 2 16 3 4 3 2" xfId="8612" xr:uid="{00000000-0005-0000-0000-00002D110000}"/>
    <cellStyle name="Normal 2 16 3 4 4" xfId="10287" xr:uid="{00000000-0005-0000-0000-00002E110000}"/>
    <cellStyle name="Normal 2 16 3 4 5" xfId="6937" xr:uid="{00000000-0005-0000-0000-00002F110000}"/>
    <cellStyle name="Normal 2 16 3 5" xfId="3823" xr:uid="{00000000-0005-0000-0000-000030110000}"/>
    <cellStyle name="Normal 2 16 3 5 2" xfId="5498" xr:uid="{00000000-0005-0000-0000-000031110000}"/>
    <cellStyle name="Normal 2 16 3 5 2 2" xfId="8848" xr:uid="{00000000-0005-0000-0000-000032110000}"/>
    <cellStyle name="Normal 2 16 3 5 3" xfId="10523" xr:uid="{00000000-0005-0000-0000-000033110000}"/>
    <cellStyle name="Normal 2 16 3 5 4" xfId="7173" xr:uid="{00000000-0005-0000-0000-000034110000}"/>
    <cellStyle name="Normal 2 16 3 6" xfId="4082" xr:uid="{00000000-0005-0000-0000-000035110000}"/>
    <cellStyle name="Normal 2 16 3 6 2" xfId="5757" xr:uid="{00000000-0005-0000-0000-000036110000}"/>
    <cellStyle name="Normal 2 16 3 6 2 2" xfId="9107" xr:uid="{00000000-0005-0000-0000-000037110000}"/>
    <cellStyle name="Normal 2 16 3 6 3" xfId="10782" xr:uid="{00000000-0005-0000-0000-000038110000}"/>
    <cellStyle name="Normal 2 16 3 6 4" xfId="7432" xr:uid="{00000000-0005-0000-0000-000039110000}"/>
    <cellStyle name="Normal 2 16 3 7" xfId="4790" xr:uid="{00000000-0005-0000-0000-00003A110000}"/>
    <cellStyle name="Normal 2 16 3 7 2" xfId="8140" xr:uid="{00000000-0005-0000-0000-00003B110000}"/>
    <cellStyle name="Normal 2 16 3 8" xfId="9815" xr:uid="{00000000-0005-0000-0000-00003C110000}"/>
    <cellStyle name="Normal 2 16 3 9" xfId="6465" xr:uid="{00000000-0005-0000-0000-00003D110000}"/>
    <cellStyle name="Normal 2 16 4" xfId="3140" xr:uid="{00000000-0005-0000-0000-00003E110000}"/>
    <cellStyle name="Normal 2 16 4 2" xfId="3258" xr:uid="{00000000-0005-0000-0000-00003F110000}"/>
    <cellStyle name="Normal 2 16 4 2 2" xfId="3494" xr:uid="{00000000-0005-0000-0000-000040110000}"/>
    <cellStyle name="Normal 2 16 4 2 2 2" xfId="4460" xr:uid="{00000000-0005-0000-0000-000041110000}"/>
    <cellStyle name="Normal 2 16 4 2 2 2 2" xfId="6135" xr:uid="{00000000-0005-0000-0000-000042110000}"/>
    <cellStyle name="Normal 2 16 4 2 2 2 2 2" xfId="9485" xr:uid="{00000000-0005-0000-0000-000043110000}"/>
    <cellStyle name="Normal 2 16 4 2 2 2 3" xfId="11160" xr:uid="{00000000-0005-0000-0000-000044110000}"/>
    <cellStyle name="Normal 2 16 4 2 2 2 4" xfId="7810" xr:uid="{00000000-0005-0000-0000-000045110000}"/>
    <cellStyle name="Normal 2 16 4 2 2 3" xfId="5168" xr:uid="{00000000-0005-0000-0000-000046110000}"/>
    <cellStyle name="Normal 2 16 4 2 2 3 2" xfId="8518" xr:uid="{00000000-0005-0000-0000-000047110000}"/>
    <cellStyle name="Normal 2 16 4 2 2 4" xfId="10193" xr:uid="{00000000-0005-0000-0000-000048110000}"/>
    <cellStyle name="Normal 2 16 4 2 2 5" xfId="6843" xr:uid="{00000000-0005-0000-0000-000049110000}"/>
    <cellStyle name="Normal 2 16 4 2 3" xfId="3729" xr:uid="{00000000-0005-0000-0000-00004A110000}"/>
    <cellStyle name="Normal 2 16 4 2 3 2" xfId="4696" xr:uid="{00000000-0005-0000-0000-00004B110000}"/>
    <cellStyle name="Normal 2 16 4 2 3 2 2" xfId="6371" xr:uid="{00000000-0005-0000-0000-00004C110000}"/>
    <cellStyle name="Normal 2 16 4 2 3 2 2 2" xfId="9721" xr:uid="{00000000-0005-0000-0000-00004D110000}"/>
    <cellStyle name="Normal 2 16 4 2 3 2 3" xfId="11396" xr:uid="{00000000-0005-0000-0000-00004E110000}"/>
    <cellStyle name="Normal 2 16 4 2 3 2 4" xfId="8046" xr:uid="{00000000-0005-0000-0000-00004F110000}"/>
    <cellStyle name="Normal 2 16 4 2 3 3" xfId="5404" xr:uid="{00000000-0005-0000-0000-000050110000}"/>
    <cellStyle name="Normal 2 16 4 2 3 3 2" xfId="8754" xr:uid="{00000000-0005-0000-0000-000051110000}"/>
    <cellStyle name="Normal 2 16 4 2 3 4" xfId="10429" xr:uid="{00000000-0005-0000-0000-000052110000}"/>
    <cellStyle name="Normal 2 16 4 2 3 5" xfId="7079" xr:uid="{00000000-0005-0000-0000-000053110000}"/>
    <cellStyle name="Normal 2 16 4 2 4" xfId="3965" xr:uid="{00000000-0005-0000-0000-000054110000}"/>
    <cellStyle name="Normal 2 16 4 2 4 2" xfId="5640" xr:uid="{00000000-0005-0000-0000-000055110000}"/>
    <cellStyle name="Normal 2 16 4 2 4 2 2" xfId="8990" xr:uid="{00000000-0005-0000-0000-000056110000}"/>
    <cellStyle name="Normal 2 16 4 2 4 3" xfId="10665" xr:uid="{00000000-0005-0000-0000-000057110000}"/>
    <cellStyle name="Normal 2 16 4 2 4 4" xfId="7315" xr:uid="{00000000-0005-0000-0000-000058110000}"/>
    <cellStyle name="Normal 2 16 4 2 5" xfId="4224" xr:uid="{00000000-0005-0000-0000-000059110000}"/>
    <cellStyle name="Normal 2 16 4 2 5 2" xfId="5899" xr:uid="{00000000-0005-0000-0000-00005A110000}"/>
    <cellStyle name="Normal 2 16 4 2 5 2 2" xfId="9249" xr:uid="{00000000-0005-0000-0000-00005B110000}"/>
    <cellStyle name="Normal 2 16 4 2 5 3" xfId="10924" xr:uid="{00000000-0005-0000-0000-00005C110000}"/>
    <cellStyle name="Normal 2 16 4 2 5 4" xfId="7574" xr:uid="{00000000-0005-0000-0000-00005D110000}"/>
    <cellStyle name="Normal 2 16 4 2 6" xfId="4932" xr:uid="{00000000-0005-0000-0000-00005E110000}"/>
    <cellStyle name="Normal 2 16 4 2 6 2" xfId="8282" xr:uid="{00000000-0005-0000-0000-00005F110000}"/>
    <cellStyle name="Normal 2 16 4 2 7" xfId="9957" xr:uid="{00000000-0005-0000-0000-000060110000}"/>
    <cellStyle name="Normal 2 16 4 2 8" xfId="6607" xr:uid="{00000000-0005-0000-0000-000061110000}"/>
    <cellStyle name="Normal 2 16 4 3" xfId="3376" xr:uid="{00000000-0005-0000-0000-000062110000}"/>
    <cellStyle name="Normal 2 16 4 3 2" xfId="4342" xr:uid="{00000000-0005-0000-0000-000063110000}"/>
    <cellStyle name="Normal 2 16 4 3 2 2" xfId="6017" xr:uid="{00000000-0005-0000-0000-000064110000}"/>
    <cellStyle name="Normal 2 16 4 3 2 2 2" xfId="9367" xr:uid="{00000000-0005-0000-0000-000065110000}"/>
    <cellStyle name="Normal 2 16 4 3 2 3" xfId="11042" xr:uid="{00000000-0005-0000-0000-000066110000}"/>
    <cellStyle name="Normal 2 16 4 3 2 4" xfId="7692" xr:uid="{00000000-0005-0000-0000-000067110000}"/>
    <cellStyle name="Normal 2 16 4 3 3" xfId="5050" xr:uid="{00000000-0005-0000-0000-000068110000}"/>
    <cellStyle name="Normal 2 16 4 3 3 2" xfId="8400" xr:uid="{00000000-0005-0000-0000-000069110000}"/>
    <cellStyle name="Normal 2 16 4 3 4" xfId="10075" xr:uid="{00000000-0005-0000-0000-00006A110000}"/>
    <cellStyle name="Normal 2 16 4 3 5" xfId="6725" xr:uid="{00000000-0005-0000-0000-00006B110000}"/>
    <cellStyle name="Normal 2 16 4 4" xfId="3611" xr:uid="{00000000-0005-0000-0000-00006C110000}"/>
    <cellStyle name="Normal 2 16 4 4 2" xfId="4578" xr:uid="{00000000-0005-0000-0000-00006D110000}"/>
    <cellStyle name="Normal 2 16 4 4 2 2" xfId="6253" xr:uid="{00000000-0005-0000-0000-00006E110000}"/>
    <cellStyle name="Normal 2 16 4 4 2 2 2" xfId="9603" xr:uid="{00000000-0005-0000-0000-00006F110000}"/>
    <cellStyle name="Normal 2 16 4 4 2 3" xfId="11278" xr:uid="{00000000-0005-0000-0000-000070110000}"/>
    <cellStyle name="Normal 2 16 4 4 2 4" xfId="7928" xr:uid="{00000000-0005-0000-0000-000071110000}"/>
    <cellStyle name="Normal 2 16 4 4 3" xfId="5286" xr:uid="{00000000-0005-0000-0000-000072110000}"/>
    <cellStyle name="Normal 2 16 4 4 3 2" xfId="8636" xr:uid="{00000000-0005-0000-0000-000073110000}"/>
    <cellStyle name="Normal 2 16 4 4 4" xfId="10311" xr:uid="{00000000-0005-0000-0000-000074110000}"/>
    <cellStyle name="Normal 2 16 4 4 5" xfId="6961" xr:uid="{00000000-0005-0000-0000-000075110000}"/>
    <cellStyle name="Normal 2 16 4 5" xfId="3847" xr:uid="{00000000-0005-0000-0000-000076110000}"/>
    <cellStyle name="Normal 2 16 4 5 2" xfId="5522" xr:uid="{00000000-0005-0000-0000-000077110000}"/>
    <cellStyle name="Normal 2 16 4 5 2 2" xfId="8872" xr:uid="{00000000-0005-0000-0000-000078110000}"/>
    <cellStyle name="Normal 2 16 4 5 3" xfId="10547" xr:uid="{00000000-0005-0000-0000-000079110000}"/>
    <cellStyle name="Normal 2 16 4 5 4" xfId="7197" xr:uid="{00000000-0005-0000-0000-00007A110000}"/>
    <cellStyle name="Normal 2 16 4 6" xfId="4106" xr:uid="{00000000-0005-0000-0000-00007B110000}"/>
    <cellStyle name="Normal 2 16 4 6 2" xfId="5781" xr:uid="{00000000-0005-0000-0000-00007C110000}"/>
    <cellStyle name="Normal 2 16 4 6 2 2" xfId="9131" xr:uid="{00000000-0005-0000-0000-00007D110000}"/>
    <cellStyle name="Normal 2 16 4 6 3" xfId="10806" xr:uid="{00000000-0005-0000-0000-00007E110000}"/>
    <cellStyle name="Normal 2 16 4 6 4" xfId="7456" xr:uid="{00000000-0005-0000-0000-00007F110000}"/>
    <cellStyle name="Normal 2 16 4 7" xfId="4814" xr:uid="{00000000-0005-0000-0000-000080110000}"/>
    <cellStyle name="Normal 2 16 4 7 2" xfId="8164" xr:uid="{00000000-0005-0000-0000-000081110000}"/>
    <cellStyle name="Normal 2 16 4 8" xfId="9839" xr:uid="{00000000-0005-0000-0000-000082110000}"/>
    <cellStyle name="Normal 2 16 4 9" xfId="6489" xr:uid="{00000000-0005-0000-0000-000083110000}"/>
    <cellStyle name="Normal 2 16 5" xfId="3164" xr:uid="{00000000-0005-0000-0000-000084110000}"/>
    <cellStyle name="Normal 2 16 5 2" xfId="3282" xr:uid="{00000000-0005-0000-0000-000085110000}"/>
    <cellStyle name="Normal 2 16 5 2 2" xfId="3518" xr:uid="{00000000-0005-0000-0000-000086110000}"/>
    <cellStyle name="Normal 2 16 5 2 2 2" xfId="4484" xr:uid="{00000000-0005-0000-0000-000087110000}"/>
    <cellStyle name="Normal 2 16 5 2 2 2 2" xfId="6159" xr:uid="{00000000-0005-0000-0000-000088110000}"/>
    <cellStyle name="Normal 2 16 5 2 2 2 2 2" xfId="9509" xr:uid="{00000000-0005-0000-0000-000089110000}"/>
    <cellStyle name="Normal 2 16 5 2 2 2 3" xfId="11184" xr:uid="{00000000-0005-0000-0000-00008A110000}"/>
    <cellStyle name="Normal 2 16 5 2 2 2 4" xfId="7834" xr:uid="{00000000-0005-0000-0000-00008B110000}"/>
    <cellStyle name="Normal 2 16 5 2 2 3" xfId="5192" xr:uid="{00000000-0005-0000-0000-00008C110000}"/>
    <cellStyle name="Normal 2 16 5 2 2 3 2" xfId="8542" xr:uid="{00000000-0005-0000-0000-00008D110000}"/>
    <cellStyle name="Normal 2 16 5 2 2 4" xfId="10217" xr:uid="{00000000-0005-0000-0000-00008E110000}"/>
    <cellStyle name="Normal 2 16 5 2 2 5" xfId="6867" xr:uid="{00000000-0005-0000-0000-00008F110000}"/>
    <cellStyle name="Normal 2 16 5 2 3" xfId="3753" xr:uid="{00000000-0005-0000-0000-000090110000}"/>
    <cellStyle name="Normal 2 16 5 2 3 2" xfId="4720" xr:uid="{00000000-0005-0000-0000-000091110000}"/>
    <cellStyle name="Normal 2 16 5 2 3 2 2" xfId="6395" xr:uid="{00000000-0005-0000-0000-000092110000}"/>
    <cellStyle name="Normal 2 16 5 2 3 2 2 2" xfId="9745" xr:uid="{00000000-0005-0000-0000-000093110000}"/>
    <cellStyle name="Normal 2 16 5 2 3 2 3" xfId="11420" xr:uid="{00000000-0005-0000-0000-000094110000}"/>
    <cellStyle name="Normal 2 16 5 2 3 2 4" xfId="8070" xr:uid="{00000000-0005-0000-0000-000095110000}"/>
    <cellStyle name="Normal 2 16 5 2 3 3" xfId="5428" xr:uid="{00000000-0005-0000-0000-000096110000}"/>
    <cellStyle name="Normal 2 16 5 2 3 3 2" xfId="8778" xr:uid="{00000000-0005-0000-0000-000097110000}"/>
    <cellStyle name="Normal 2 16 5 2 3 4" xfId="10453" xr:uid="{00000000-0005-0000-0000-000098110000}"/>
    <cellStyle name="Normal 2 16 5 2 3 5" xfId="7103" xr:uid="{00000000-0005-0000-0000-000099110000}"/>
    <cellStyle name="Normal 2 16 5 2 4" xfId="3989" xr:uid="{00000000-0005-0000-0000-00009A110000}"/>
    <cellStyle name="Normal 2 16 5 2 4 2" xfId="5664" xr:uid="{00000000-0005-0000-0000-00009B110000}"/>
    <cellStyle name="Normal 2 16 5 2 4 2 2" xfId="9014" xr:uid="{00000000-0005-0000-0000-00009C110000}"/>
    <cellStyle name="Normal 2 16 5 2 4 3" xfId="10689" xr:uid="{00000000-0005-0000-0000-00009D110000}"/>
    <cellStyle name="Normal 2 16 5 2 4 4" xfId="7339" xr:uid="{00000000-0005-0000-0000-00009E110000}"/>
    <cellStyle name="Normal 2 16 5 2 5" xfId="4248" xr:uid="{00000000-0005-0000-0000-00009F110000}"/>
    <cellStyle name="Normal 2 16 5 2 5 2" xfId="5923" xr:uid="{00000000-0005-0000-0000-0000A0110000}"/>
    <cellStyle name="Normal 2 16 5 2 5 2 2" xfId="9273" xr:uid="{00000000-0005-0000-0000-0000A1110000}"/>
    <cellStyle name="Normal 2 16 5 2 5 3" xfId="10948" xr:uid="{00000000-0005-0000-0000-0000A2110000}"/>
    <cellStyle name="Normal 2 16 5 2 5 4" xfId="7598" xr:uid="{00000000-0005-0000-0000-0000A3110000}"/>
    <cellStyle name="Normal 2 16 5 2 6" xfId="4956" xr:uid="{00000000-0005-0000-0000-0000A4110000}"/>
    <cellStyle name="Normal 2 16 5 2 6 2" xfId="8306" xr:uid="{00000000-0005-0000-0000-0000A5110000}"/>
    <cellStyle name="Normal 2 16 5 2 7" xfId="9981" xr:uid="{00000000-0005-0000-0000-0000A6110000}"/>
    <cellStyle name="Normal 2 16 5 2 8" xfId="6631" xr:uid="{00000000-0005-0000-0000-0000A7110000}"/>
    <cellStyle name="Normal 2 16 5 3" xfId="3400" xr:uid="{00000000-0005-0000-0000-0000A8110000}"/>
    <cellStyle name="Normal 2 16 5 3 2" xfId="4366" xr:uid="{00000000-0005-0000-0000-0000A9110000}"/>
    <cellStyle name="Normal 2 16 5 3 2 2" xfId="6041" xr:uid="{00000000-0005-0000-0000-0000AA110000}"/>
    <cellStyle name="Normal 2 16 5 3 2 2 2" xfId="9391" xr:uid="{00000000-0005-0000-0000-0000AB110000}"/>
    <cellStyle name="Normal 2 16 5 3 2 3" xfId="11066" xr:uid="{00000000-0005-0000-0000-0000AC110000}"/>
    <cellStyle name="Normal 2 16 5 3 2 4" xfId="7716" xr:uid="{00000000-0005-0000-0000-0000AD110000}"/>
    <cellStyle name="Normal 2 16 5 3 3" xfId="5074" xr:uid="{00000000-0005-0000-0000-0000AE110000}"/>
    <cellStyle name="Normal 2 16 5 3 3 2" xfId="8424" xr:uid="{00000000-0005-0000-0000-0000AF110000}"/>
    <cellStyle name="Normal 2 16 5 3 4" xfId="10099" xr:uid="{00000000-0005-0000-0000-0000B0110000}"/>
    <cellStyle name="Normal 2 16 5 3 5" xfId="6749" xr:uid="{00000000-0005-0000-0000-0000B1110000}"/>
    <cellStyle name="Normal 2 16 5 4" xfId="3635" xr:uid="{00000000-0005-0000-0000-0000B2110000}"/>
    <cellStyle name="Normal 2 16 5 4 2" xfId="4602" xr:uid="{00000000-0005-0000-0000-0000B3110000}"/>
    <cellStyle name="Normal 2 16 5 4 2 2" xfId="6277" xr:uid="{00000000-0005-0000-0000-0000B4110000}"/>
    <cellStyle name="Normal 2 16 5 4 2 2 2" xfId="9627" xr:uid="{00000000-0005-0000-0000-0000B5110000}"/>
    <cellStyle name="Normal 2 16 5 4 2 3" xfId="11302" xr:uid="{00000000-0005-0000-0000-0000B6110000}"/>
    <cellStyle name="Normal 2 16 5 4 2 4" xfId="7952" xr:uid="{00000000-0005-0000-0000-0000B7110000}"/>
    <cellStyle name="Normal 2 16 5 4 3" xfId="5310" xr:uid="{00000000-0005-0000-0000-0000B8110000}"/>
    <cellStyle name="Normal 2 16 5 4 3 2" xfId="8660" xr:uid="{00000000-0005-0000-0000-0000B9110000}"/>
    <cellStyle name="Normal 2 16 5 4 4" xfId="10335" xr:uid="{00000000-0005-0000-0000-0000BA110000}"/>
    <cellStyle name="Normal 2 16 5 4 5" xfId="6985" xr:uid="{00000000-0005-0000-0000-0000BB110000}"/>
    <cellStyle name="Normal 2 16 5 5" xfId="3871" xr:uid="{00000000-0005-0000-0000-0000BC110000}"/>
    <cellStyle name="Normal 2 16 5 5 2" xfId="5546" xr:uid="{00000000-0005-0000-0000-0000BD110000}"/>
    <cellStyle name="Normal 2 16 5 5 2 2" xfId="8896" xr:uid="{00000000-0005-0000-0000-0000BE110000}"/>
    <cellStyle name="Normal 2 16 5 5 3" xfId="10571" xr:uid="{00000000-0005-0000-0000-0000BF110000}"/>
    <cellStyle name="Normal 2 16 5 5 4" xfId="7221" xr:uid="{00000000-0005-0000-0000-0000C0110000}"/>
    <cellStyle name="Normal 2 16 5 6" xfId="4130" xr:uid="{00000000-0005-0000-0000-0000C1110000}"/>
    <cellStyle name="Normal 2 16 5 6 2" xfId="5805" xr:uid="{00000000-0005-0000-0000-0000C2110000}"/>
    <cellStyle name="Normal 2 16 5 6 2 2" xfId="9155" xr:uid="{00000000-0005-0000-0000-0000C3110000}"/>
    <cellStyle name="Normal 2 16 5 6 3" xfId="10830" xr:uid="{00000000-0005-0000-0000-0000C4110000}"/>
    <cellStyle name="Normal 2 16 5 6 4" xfId="7480" xr:uid="{00000000-0005-0000-0000-0000C5110000}"/>
    <cellStyle name="Normal 2 16 5 7" xfId="4838" xr:uid="{00000000-0005-0000-0000-0000C6110000}"/>
    <cellStyle name="Normal 2 16 5 7 2" xfId="8188" xr:uid="{00000000-0005-0000-0000-0000C7110000}"/>
    <cellStyle name="Normal 2 16 5 8" xfId="9863" xr:uid="{00000000-0005-0000-0000-0000C8110000}"/>
    <cellStyle name="Normal 2 16 5 9" xfId="6513" xr:uid="{00000000-0005-0000-0000-0000C9110000}"/>
    <cellStyle name="Normal 2 16 6" xfId="3188" xr:uid="{00000000-0005-0000-0000-0000CA110000}"/>
    <cellStyle name="Normal 2 16 6 2" xfId="3424" xr:uid="{00000000-0005-0000-0000-0000CB110000}"/>
    <cellStyle name="Normal 2 16 6 2 2" xfId="4390" xr:uid="{00000000-0005-0000-0000-0000CC110000}"/>
    <cellStyle name="Normal 2 16 6 2 2 2" xfId="6065" xr:uid="{00000000-0005-0000-0000-0000CD110000}"/>
    <cellStyle name="Normal 2 16 6 2 2 2 2" xfId="9415" xr:uid="{00000000-0005-0000-0000-0000CE110000}"/>
    <cellStyle name="Normal 2 16 6 2 2 3" xfId="11090" xr:uid="{00000000-0005-0000-0000-0000CF110000}"/>
    <cellStyle name="Normal 2 16 6 2 2 4" xfId="7740" xr:uid="{00000000-0005-0000-0000-0000D0110000}"/>
    <cellStyle name="Normal 2 16 6 2 3" xfId="5098" xr:uid="{00000000-0005-0000-0000-0000D1110000}"/>
    <cellStyle name="Normal 2 16 6 2 3 2" xfId="8448" xr:uid="{00000000-0005-0000-0000-0000D2110000}"/>
    <cellStyle name="Normal 2 16 6 2 4" xfId="10123" xr:uid="{00000000-0005-0000-0000-0000D3110000}"/>
    <cellStyle name="Normal 2 16 6 2 5" xfId="6773" xr:uid="{00000000-0005-0000-0000-0000D4110000}"/>
    <cellStyle name="Normal 2 16 6 3" xfId="3659" xr:uid="{00000000-0005-0000-0000-0000D5110000}"/>
    <cellStyle name="Normal 2 16 6 3 2" xfId="4626" xr:uid="{00000000-0005-0000-0000-0000D6110000}"/>
    <cellStyle name="Normal 2 16 6 3 2 2" xfId="6301" xr:uid="{00000000-0005-0000-0000-0000D7110000}"/>
    <cellStyle name="Normal 2 16 6 3 2 2 2" xfId="9651" xr:uid="{00000000-0005-0000-0000-0000D8110000}"/>
    <cellStyle name="Normal 2 16 6 3 2 3" xfId="11326" xr:uid="{00000000-0005-0000-0000-0000D9110000}"/>
    <cellStyle name="Normal 2 16 6 3 2 4" xfId="7976" xr:uid="{00000000-0005-0000-0000-0000DA110000}"/>
    <cellStyle name="Normal 2 16 6 3 3" xfId="5334" xr:uid="{00000000-0005-0000-0000-0000DB110000}"/>
    <cellStyle name="Normal 2 16 6 3 3 2" xfId="8684" xr:uid="{00000000-0005-0000-0000-0000DC110000}"/>
    <cellStyle name="Normal 2 16 6 3 4" xfId="10359" xr:uid="{00000000-0005-0000-0000-0000DD110000}"/>
    <cellStyle name="Normal 2 16 6 3 5" xfId="7009" xr:uid="{00000000-0005-0000-0000-0000DE110000}"/>
    <cellStyle name="Normal 2 16 6 4" xfId="3895" xr:uid="{00000000-0005-0000-0000-0000DF110000}"/>
    <cellStyle name="Normal 2 16 6 4 2" xfId="5570" xr:uid="{00000000-0005-0000-0000-0000E0110000}"/>
    <cellStyle name="Normal 2 16 6 4 2 2" xfId="8920" xr:uid="{00000000-0005-0000-0000-0000E1110000}"/>
    <cellStyle name="Normal 2 16 6 4 3" xfId="10595" xr:uid="{00000000-0005-0000-0000-0000E2110000}"/>
    <cellStyle name="Normal 2 16 6 4 4" xfId="7245" xr:uid="{00000000-0005-0000-0000-0000E3110000}"/>
    <cellStyle name="Normal 2 16 6 5" xfId="4154" xr:uid="{00000000-0005-0000-0000-0000E4110000}"/>
    <cellStyle name="Normal 2 16 6 5 2" xfId="5829" xr:uid="{00000000-0005-0000-0000-0000E5110000}"/>
    <cellStyle name="Normal 2 16 6 5 2 2" xfId="9179" xr:uid="{00000000-0005-0000-0000-0000E6110000}"/>
    <cellStyle name="Normal 2 16 6 5 3" xfId="10854" xr:uid="{00000000-0005-0000-0000-0000E7110000}"/>
    <cellStyle name="Normal 2 16 6 5 4" xfId="7504" xr:uid="{00000000-0005-0000-0000-0000E8110000}"/>
    <cellStyle name="Normal 2 16 6 6" xfId="4862" xr:uid="{00000000-0005-0000-0000-0000E9110000}"/>
    <cellStyle name="Normal 2 16 6 6 2" xfId="8212" xr:uid="{00000000-0005-0000-0000-0000EA110000}"/>
    <cellStyle name="Normal 2 16 6 7" xfId="9887" xr:uid="{00000000-0005-0000-0000-0000EB110000}"/>
    <cellStyle name="Normal 2 16 6 8" xfId="6537" xr:uid="{00000000-0005-0000-0000-0000EC110000}"/>
    <cellStyle name="Normal 2 16 7" xfId="3306" xr:uid="{00000000-0005-0000-0000-0000ED110000}"/>
    <cellStyle name="Normal 2 16 7 2" xfId="4272" xr:uid="{00000000-0005-0000-0000-0000EE110000}"/>
    <cellStyle name="Normal 2 16 7 2 2" xfId="5947" xr:uid="{00000000-0005-0000-0000-0000EF110000}"/>
    <cellStyle name="Normal 2 16 7 2 2 2" xfId="9297" xr:uid="{00000000-0005-0000-0000-0000F0110000}"/>
    <cellStyle name="Normal 2 16 7 2 3" xfId="10972" xr:uid="{00000000-0005-0000-0000-0000F1110000}"/>
    <cellStyle name="Normal 2 16 7 2 4" xfId="7622" xr:uid="{00000000-0005-0000-0000-0000F2110000}"/>
    <cellStyle name="Normal 2 16 7 3" xfId="4980" xr:uid="{00000000-0005-0000-0000-0000F3110000}"/>
    <cellStyle name="Normal 2 16 7 3 2" xfId="8330" xr:uid="{00000000-0005-0000-0000-0000F4110000}"/>
    <cellStyle name="Normal 2 16 7 4" xfId="10005" xr:uid="{00000000-0005-0000-0000-0000F5110000}"/>
    <cellStyle name="Normal 2 16 7 5" xfId="6655" xr:uid="{00000000-0005-0000-0000-0000F6110000}"/>
    <cellStyle name="Normal 2 16 8" xfId="3542" xr:uid="{00000000-0005-0000-0000-0000F7110000}"/>
    <cellStyle name="Normal 2 16 8 2" xfId="4508" xr:uid="{00000000-0005-0000-0000-0000F8110000}"/>
    <cellStyle name="Normal 2 16 8 2 2" xfId="6183" xr:uid="{00000000-0005-0000-0000-0000F9110000}"/>
    <cellStyle name="Normal 2 16 8 2 2 2" xfId="9533" xr:uid="{00000000-0005-0000-0000-0000FA110000}"/>
    <cellStyle name="Normal 2 16 8 2 3" xfId="11208" xr:uid="{00000000-0005-0000-0000-0000FB110000}"/>
    <cellStyle name="Normal 2 16 8 2 4" xfId="7858" xr:uid="{00000000-0005-0000-0000-0000FC110000}"/>
    <cellStyle name="Normal 2 16 8 3" xfId="5216" xr:uid="{00000000-0005-0000-0000-0000FD110000}"/>
    <cellStyle name="Normal 2 16 8 3 2" xfId="8566" xr:uid="{00000000-0005-0000-0000-0000FE110000}"/>
    <cellStyle name="Normal 2 16 8 4" xfId="10241" xr:uid="{00000000-0005-0000-0000-0000FF110000}"/>
    <cellStyle name="Normal 2 16 8 5" xfId="6891" xr:uid="{00000000-0005-0000-0000-000000120000}"/>
    <cellStyle name="Normal 2 16 9" xfId="3777" xr:uid="{00000000-0005-0000-0000-000001120000}"/>
    <cellStyle name="Normal 2 16 9 2" xfId="4036" xr:uid="{00000000-0005-0000-0000-000002120000}"/>
    <cellStyle name="Normal 2 16 9 2 2" xfId="5711" xr:uid="{00000000-0005-0000-0000-000003120000}"/>
    <cellStyle name="Normal 2 16 9 2 2 2" xfId="9061" xr:uid="{00000000-0005-0000-0000-000004120000}"/>
    <cellStyle name="Normal 2 16 9 2 3" xfId="10736" xr:uid="{00000000-0005-0000-0000-000005120000}"/>
    <cellStyle name="Normal 2 16 9 2 4" xfId="7386" xr:uid="{00000000-0005-0000-0000-000006120000}"/>
    <cellStyle name="Normal 2 16 9 3" xfId="5452" xr:uid="{00000000-0005-0000-0000-000007120000}"/>
    <cellStyle name="Normal 2 16 9 3 2" xfId="8802" xr:uid="{00000000-0005-0000-0000-000008120000}"/>
    <cellStyle name="Normal 2 16 9 4" xfId="10477" xr:uid="{00000000-0005-0000-0000-000009120000}"/>
    <cellStyle name="Normal 2 16 9 5" xfId="7127" xr:uid="{00000000-0005-0000-0000-00000A120000}"/>
    <cellStyle name="Normal 2 17" xfId="2868" xr:uid="{00000000-0005-0000-0000-00000B120000}"/>
    <cellStyle name="Normal 2 18" xfId="2092" xr:uid="{00000000-0005-0000-0000-000075080000}"/>
    <cellStyle name="Normal 2 19" xfId="3093" xr:uid="{00000000-0005-0000-0000-00000D120000}"/>
    <cellStyle name="Normal 2 19 2" xfId="3210" xr:uid="{00000000-0005-0000-0000-00000E120000}"/>
    <cellStyle name="Normal 2 19 2 2" xfId="3446" xr:uid="{00000000-0005-0000-0000-00000F120000}"/>
    <cellStyle name="Normal 2 19 2 2 2" xfId="4412" xr:uid="{00000000-0005-0000-0000-000010120000}"/>
    <cellStyle name="Normal 2 19 2 2 2 2" xfId="6087" xr:uid="{00000000-0005-0000-0000-000011120000}"/>
    <cellStyle name="Normal 2 19 2 2 2 2 2" xfId="9437" xr:uid="{00000000-0005-0000-0000-000012120000}"/>
    <cellStyle name="Normal 2 19 2 2 2 3" xfId="11112" xr:uid="{00000000-0005-0000-0000-000013120000}"/>
    <cellStyle name="Normal 2 19 2 2 2 4" xfId="7762" xr:uid="{00000000-0005-0000-0000-000014120000}"/>
    <cellStyle name="Normal 2 19 2 2 3" xfId="5120" xr:uid="{00000000-0005-0000-0000-000015120000}"/>
    <cellStyle name="Normal 2 19 2 2 3 2" xfId="8470" xr:uid="{00000000-0005-0000-0000-000016120000}"/>
    <cellStyle name="Normal 2 19 2 2 4" xfId="10145" xr:uid="{00000000-0005-0000-0000-000017120000}"/>
    <cellStyle name="Normal 2 19 2 2 5" xfId="6795" xr:uid="{00000000-0005-0000-0000-000018120000}"/>
    <cellStyle name="Normal 2 19 2 3" xfId="3681" xr:uid="{00000000-0005-0000-0000-000019120000}"/>
    <cellStyle name="Normal 2 19 2 3 2" xfId="4648" xr:uid="{00000000-0005-0000-0000-00001A120000}"/>
    <cellStyle name="Normal 2 19 2 3 2 2" xfId="6323" xr:uid="{00000000-0005-0000-0000-00001B120000}"/>
    <cellStyle name="Normal 2 19 2 3 2 2 2" xfId="9673" xr:uid="{00000000-0005-0000-0000-00001C120000}"/>
    <cellStyle name="Normal 2 19 2 3 2 3" xfId="11348" xr:uid="{00000000-0005-0000-0000-00001D120000}"/>
    <cellStyle name="Normal 2 19 2 3 2 4" xfId="7998" xr:uid="{00000000-0005-0000-0000-00001E120000}"/>
    <cellStyle name="Normal 2 19 2 3 3" xfId="5356" xr:uid="{00000000-0005-0000-0000-00001F120000}"/>
    <cellStyle name="Normal 2 19 2 3 3 2" xfId="8706" xr:uid="{00000000-0005-0000-0000-000020120000}"/>
    <cellStyle name="Normal 2 19 2 3 4" xfId="10381" xr:uid="{00000000-0005-0000-0000-000021120000}"/>
    <cellStyle name="Normal 2 19 2 3 5" xfId="7031" xr:uid="{00000000-0005-0000-0000-000022120000}"/>
    <cellStyle name="Normal 2 19 2 4" xfId="3917" xr:uid="{00000000-0005-0000-0000-000023120000}"/>
    <cellStyle name="Normal 2 19 2 4 2" xfId="5592" xr:uid="{00000000-0005-0000-0000-000024120000}"/>
    <cellStyle name="Normal 2 19 2 4 2 2" xfId="8942" xr:uid="{00000000-0005-0000-0000-000025120000}"/>
    <cellStyle name="Normal 2 19 2 4 3" xfId="10617" xr:uid="{00000000-0005-0000-0000-000026120000}"/>
    <cellStyle name="Normal 2 19 2 4 4" xfId="7267" xr:uid="{00000000-0005-0000-0000-000027120000}"/>
    <cellStyle name="Normal 2 19 2 5" xfId="4176" xr:uid="{00000000-0005-0000-0000-000028120000}"/>
    <cellStyle name="Normal 2 19 2 5 2" xfId="5851" xr:uid="{00000000-0005-0000-0000-000029120000}"/>
    <cellStyle name="Normal 2 19 2 5 2 2" xfId="9201" xr:uid="{00000000-0005-0000-0000-00002A120000}"/>
    <cellStyle name="Normal 2 19 2 5 3" xfId="10876" xr:uid="{00000000-0005-0000-0000-00002B120000}"/>
    <cellStyle name="Normal 2 19 2 5 4" xfId="7526" xr:uid="{00000000-0005-0000-0000-00002C120000}"/>
    <cellStyle name="Normal 2 19 2 6" xfId="4884" xr:uid="{00000000-0005-0000-0000-00002D120000}"/>
    <cellStyle name="Normal 2 19 2 6 2" xfId="8234" xr:uid="{00000000-0005-0000-0000-00002E120000}"/>
    <cellStyle name="Normal 2 19 2 7" xfId="9909" xr:uid="{00000000-0005-0000-0000-00002F120000}"/>
    <cellStyle name="Normal 2 19 2 8" xfId="6559" xr:uid="{00000000-0005-0000-0000-000030120000}"/>
    <cellStyle name="Normal 2 19 3" xfId="3327" xr:uid="{00000000-0005-0000-0000-000031120000}"/>
    <cellStyle name="Normal 2 19 3 2" xfId="4293" xr:uid="{00000000-0005-0000-0000-000032120000}"/>
    <cellStyle name="Normal 2 19 3 2 2" xfId="5968" xr:uid="{00000000-0005-0000-0000-000033120000}"/>
    <cellStyle name="Normal 2 19 3 2 2 2" xfId="9318" xr:uid="{00000000-0005-0000-0000-000034120000}"/>
    <cellStyle name="Normal 2 19 3 2 3" xfId="10993" xr:uid="{00000000-0005-0000-0000-000035120000}"/>
    <cellStyle name="Normal 2 19 3 2 4" xfId="7643" xr:uid="{00000000-0005-0000-0000-000036120000}"/>
    <cellStyle name="Normal 2 19 3 3" xfId="5001" xr:uid="{00000000-0005-0000-0000-000037120000}"/>
    <cellStyle name="Normal 2 19 3 3 2" xfId="8351" xr:uid="{00000000-0005-0000-0000-000038120000}"/>
    <cellStyle name="Normal 2 19 3 4" xfId="10026" xr:uid="{00000000-0005-0000-0000-000039120000}"/>
    <cellStyle name="Normal 2 19 3 5" xfId="6676" xr:uid="{00000000-0005-0000-0000-00003A120000}"/>
    <cellStyle name="Normal 2 19 4" xfId="3562" xr:uid="{00000000-0005-0000-0000-00003B120000}"/>
    <cellStyle name="Normal 2 19 4 2" xfId="4529" xr:uid="{00000000-0005-0000-0000-00003C120000}"/>
    <cellStyle name="Normal 2 19 4 2 2" xfId="6204" xr:uid="{00000000-0005-0000-0000-00003D120000}"/>
    <cellStyle name="Normal 2 19 4 2 2 2" xfId="9554" xr:uid="{00000000-0005-0000-0000-00003E120000}"/>
    <cellStyle name="Normal 2 19 4 2 3" xfId="11229" xr:uid="{00000000-0005-0000-0000-00003F120000}"/>
    <cellStyle name="Normal 2 19 4 2 4" xfId="7879" xr:uid="{00000000-0005-0000-0000-000040120000}"/>
    <cellStyle name="Normal 2 19 4 3" xfId="5237" xr:uid="{00000000-0005-0000-0000-000041120000}"/>
    <cellStyle name="Normal 2 19 4 3 2" xfId="8587" xr:uid="{00000000-0005-0000-0000-000042120000}"/>
    <cellStyle name="Normal 2 19 4 4" xfId="10262" xr:uid="{00000000-0005-0000-0000-000043120000}"/>
    <cellStyle name="Normal 2 19 4 5" xfId="6912" xr:uid="{00000000-0005-0000-0000-000044120000}"/>
    <cellStyle name="Normal 2 19 5" xfId="3798" xr:uid="{00000000-0005-0000-0000-000045120000}"/>
    <cellStyle name="Normal 2 19 5 2" xfId="5473" xr:uid="{00000000-0005-0000-0000-000046120000}"/>
    <cellStyle name="Normal 2 19 5 2 2" xfId="8823" xr:uid="{00000000-0005-0000-0000-000047120000}"/>
    <cellStyle name="Normal 2 19 5 3" xfId="10498" xr:uid="{00000000-0005-0000-0000-000048120000}"/>
    <cellStyle name="Normal 2 19 5 4" xfId="7148" xr:uid="{00000000-0005-0000-0000-000049120000}"/>
    <cellStyle name="Normal 2 19 6" xfId="4057" xr:uid="{00000000-0005-0000-0000-00004A120000}"/>
    <cellStyle name="Normal 2 19 6 2" xfId="5732" xr:uid="{00000000-0005-0000-0000-00004B120000}"/>
    <cellStyle name="Normal 2 19 6 2 2" xfId="9082" xr:uid="{00000000-0005-0000-0000-00004C120000}"/>
    <cellStyle name="Normal 2 19 6 3" xfId="10757" xr:uid="{00000000-0005-0000-0000-00004D120000}"/>
    <cellStyle name="Normal 2 19 6 4" xfId="7407" xr:uid="{00000000-0005-0000-0000-00004E120000}"/>
    <cellStyle name="Normal 2 19 7" xfId="4765" xr:uid="{00000000-0005-0000-0000-00004F120000}"/>
    <cellStyle name="Normal 2 19 7 2" xfId="8115" xr:uid="{00000000-0005-0000-0000-000050120000}"/>
    <cellStyle name="Normal 2 19 8" xfId="9790" xr:uid="{00000000-0005-0000-0000-000051120000}"/>
    <cellStyle name="Normal 2 19 9" xfId="6440" xr:uid="{00000000-0005-0000-0000-000052120000}"/>
    <cellStyle name="Normal 2 2" xfId="32" xr:uid="{E2FABBCF-59F5-40DD-B858-4E616ACF9C96}"/>
    <cellStyle name="Normal 2 2 10" xfId="11" xr:uid="{3645F7CD-882B-41AF-925B-A2BCF88BEC8B}"/>
    <cellStyle name="Normal 2 2 11" xfId="2093" xr:uid="{00000000-0005-0000-0000-000078080000}"/>
    <cellStyle name="Normal 2 2 12" xfId="17" xr:uid="{7AE5477C-7698-42F3-988E-E0ED396CC23E}"/>
    <cellStyle name="Normal 2 2 12 10" xfId="3547" xr:uid="{00000000-0005-0000-0000-000057120000}"/>
    <cellStyle name="Normal 2 2 12 10 2" xfId="4514" xr:uid="{00000000-0005-0000-0000-000058120000}"/>
    <cellStyle name="Normal 2 2 12 10 2 2" xfId="6189" xr:uid="{00000000-0005-0000-0000-000059120000}"/>
    <cellStyle name="Normal 2 2 12 10 2 2 2" xfId="9539" xr:uid="{00000000-0005-0000-0000-00005A120000}"/>
    <cellStyle name="Normal 2 2 12 10 2 3" xfId="11214" xr:uid="{00000000-0005-0000-0000-00005B120000}"/>
    <cellStyle name="Normal 2 2 12 10 2 4" xfId="7864" xr:uid="{00000000-0005-0000-0000-00005C120000}"/>
    <cellStyle name="Normal 2 2 12 10 3" xfId="5222" xr:uid="{00000000-0005-0000-0000-00005D120000}"/>
    <cellStyle name="Normal 2 2 12 10 3 2" xfId="8572" xr:uid="{00000000-0005-0000-0000-00005E120000}"/>
    <cellStyle name="Normal 2 2 12 10 4" xfId="10247" xr:uid="{00000000-0005-0000-0000-00005F120000}"/>
    <cellStyle name="Normal 2 2 12 10 5" xfId="6897" xr:uid="{00000000-0005-0000-0000-000060120000}"/>
    <cellStyle name="Normal 2 2 12 11" xfId="3783" xr:uid="{00000000-0005-0000-0000-000061120000}"/>
    <cellStyle name="Normal 2 2 12 11 2" xfId="4042" xr:uid="{00000000-0005-0000-0000-000062120000}"/>
    <cellStyle name="Normal 2 2 12 11 2 2" xfId="5717" xr:uid="{00000000-0005-0000-0000-000063120000}"/>
    <cellStyle name="Normal 2 2 12 11 2 2 2" xfId="9067" xr:uid="{00000000-0005-0000-0000-000064120000}"/>
    <cellStyle name="Normal 2 2 12 11 2 3" xfId="10742" xr:uid="{00000000-0005-0000-0000-000065120000}"/>
    <cellStyle name="Normal 2 2 12 11 2 4" xfId="7392" xr:uid="{00000000-0005-0000-0000-000066120000}"/>
    <cellStyle name="Normal 2 2 12 11 3" xfId="5458" xr:uid="{00000000-0005-0000-0000-000067120000}"/>
    <cellStyle name="Normal 2 2 12 11 3 2" xfId="8808" xr:uid="{00000000-0005-0000-0000-000068120000}"/>
    <cellStyle name="Normal 2 2 12 11 4" xfId="10483" xr:uid="{00000000-0005-0000-0000-000069120000}"/>
    <cellStyle name="Normal 2 2 12 11 5" xfId="7133" xr:uid="{00000000-0005-0000-0000-00006A120000}"/>
    <cellStyle name="Normal 2 2 12 12" xfId="4019" xr:uid="{00000000-0005-0000-0000-00006B120000}"/>
    <cellStyle name="Normal 2 2 12 12 2" xfId="5694" xr:uid="{00000000-0005-0000-0000-00006C120000}"/>
    <cellStyle name="Normal 2 2 12 12 2 2" xfId="9044" xr:uid="{00000000-0005-0000-0000-00006D120000}"/>
    <cellStyle name="Normal 2 2 12 12 3" xfId="10719" xr:uid="{00000000-0005-0000-0000-00006E120000}"/>
    <cellStyle name="Normal 2 2 12 12 4" xfId="7369" xr:uid="{00000000-0005-0000-0000-00006F120000}"/>
    <cellStyle name="Normal 2 2 12 13" xfId="4750" xr:uid="{00000000-0005-0000-0000-000070120000}"/>
    <cellStyle name="Normal 2 2 12 13 2" xfId="8100" xr:uid="{00000000-0005-0000-0000-000071120000}"/>
    <cellStyle name="Normal 2 2 12 14" xfId="9775" xr:uid="{00000000-0005-0000-0000-000072120000}"/>
    <cellStyle name="Normal 2 2 12 15" xfId="6425" xr:uid="{00000000-0005-0000-0000-000073120000}"/>
    <cellStyle name="Normal 2 2 12 16" xfId="12232" xr:uid="{00000000-0005-0000-0000-000056120000}"/>
    <cellStyle name="Normal 2 2 12 2" xfId="2094" xr:uid="{00000000-0005-0000-0000-00007A080000}"/>
    <cellStyle name="Normal 2 2 12 2 10" xfId="4020" xr:uid="{00000000-0005-0000-0000-000075120000}"/>
    <cellStyle name="Normal 2 2 12 2 10 2" xfId="5695" xr:uid="{00000000-0005-0000-0000-000076120000}"/>
    <cellStyle name="Normal 2 2 12 2 10 2 2" xfId="9045" xr:uid="{00000000-0005-0000-0000-000077120000}"/>
    <cellStyle name="Normal 2 2 12 2 10 3" xfId="10720" xr:uid="{00000000-0005-0000-0000-000078120000}"/>
    <cellStyle name="Normal 2 2 12 2 10 4" xfId="7370" xr:uid="{00000000-0005-0000-0000-000079120000}"/>
    <cellStyle name="Normal 2 2 12 2 11" xfId="4751" xr:uid="{00000000-0005-0000-0000-00007A120000}"/>
    <cellStyle name="Normal 2 2 12 2 11 2" xfId="8101" xr:uid="{00000000-0005-0000-0000-00007B120000}"/>
    <cellStyle name="Normal 2 2 12 2 12" xfId="9776" xr:uid="{00000000-0005-0000-0000-00007C120000}"/>
    <cellStyle name="Normal 2 2 12 2 13" xfId="6426" xr:uid="{00000000-0005-0000-0000-00007D120000}"/>
    <cellStyle name="Normal 2 2 12 2 14" xfId="12233" xr:uid="{00000000-0005-0000-0000-000074120000}"/>
    <cellStyle name="Normal 2 2 12 2 2" xfId="3101" xr:uid="{00000000-0005-0000-0000-00007E120000}"/>
    <cellStyle name="Normal 2 2 12 2 2 2" xfId="3218" xr:uid="{00000000-0005-0000-0000-00007F120000}"/>
    <cellStyle name="Normal 2 2 12 2 2 2 2" xfId="3454" xr:uid="{00000000-0005-0000-0000-000080120000}"/>
    <cellStyle name="Normal 2 2 12 2 2 2 2 2" xfId="4420" xr:uid="{00000000-0005-0000-0000-000081120000}"/>
    <cellStyle name="Normal 2 2 12 2 2 2 2 2 2" xfId="6095" xr:uid="{00000000-0005-0000-0000-000082120000}"/>
    <cellStyle name="Normal 2 2 12 2 2 2 2 2 2 2" xfId="9445" xr:uid="{00000000-0005-0000-0000-000083120000}"/>
    <cellStyle name="Normal 2 2 12 2 2 2 2 2 3" xfId="11120" xr:uid="{00000000-0005-0000-0000-000084120000}"/>
    <cellStyle name="Normal 2 2 12 2 2 2 2 2 4" xfId="7770" xr:uid="{00000000-0005-0000-0000-000085120000}"/>
    <cellStyle name="Normal 2 2 12 2 2 2 2 3" xfId="5128" xr:uid="{00000000-0005-0000-0000-000086120000}"/>
    <cellStyle name="Normal 2 2 12 2 2 2 2 3 2" xfId="8478" xr:uid="{00000000-0005-0000-0000-000087120000}"/>
    <cellStyle name="Normal 2 2 12 2 2 2 2 4" xfId="10153" xr:uid="{00000000-0005-0000-0000-000088120000}"/>
    <cellStyle name="Normal 2 2 12 2 2 2 2 5" xfId="6803" xr:uid="{00000000-0005-0000-0000-000089120000}"/>
    <cellStyle name="Normal 2 2 12 2 2 2 3" xfId="3689" xr:uid="{00000000-0005-0000-0000-00008A120000}"/>
    <cellStyle name="Normal 2 2 12 2 2 2 3 2" xfId="4656" xr:uid="{00000000-0005-0000-0000-00008B120000}"/>
    <cellStyle name="Normal 2 2 12 2 2 2 3 2 2" xfId="6331" xr:uid="{00000000-0005-0000-0000-00008C120000}"/>
    <cellStyle name="Normal 2 2 12 2 2 2 3 2 2 2" xfId="9681" xr:uid="{00000000-0005-0000-0000-00008D120000}"/>
    <cellStyle name="Normal 2 2 12 2 2 2 3 2 3" xfId="11356" xr:uid="{00000000-0005-0000-0000-00008E120000}"/>
    <cellStyle name="Normal 2 2 12 2 2 2 3 2 4" xfId="8006" xr:uid="{00000000-0005-0000-0000-00008F120000}"/>
    <cellStyle name="Normal 2 2 12 2 2 2 3 3" xfId="5364" xr:uid="{00000000-0005-0000-0000-000090120000}"/>
    <cellStyle name="Normal 2 2 12 2 2 2 3 3 2" xfId="8714" xr:uid="{00000000-0005-0000-0000-000091120000}"/>
    <cellStyle name="Normal 2 2 12 2 2 2 3 4" xfId="10389" xr:uid="{00000000-0005-0000-0000-000092120000}"/>
    <cellStyle name="Normal 2 2 12 2 2 2 3 5" xfId="7039" xr:uid="{00000000-0005-0000-0000-000093120000}"/>
    <cellStyle name="Normal 2 2 12 2 2 2 4" xfId="3925" xr:uid="{00000000-0005-0000-0000-000094120000}"/>
    <cellStyle name="Normal 2 2 12 2 2 2 4 2" xfId="5600" xr:uid="{00000000-0005-0000-0000-000095120000}"/>
    <cellStyle name="Normal 2 2 12 2 2 2 4 2 2" xfId="8950" xr:uid="{00000000-0005-0000-0000-000096120000}"/>
    <cellStyle name="Normal 2 2 12 2 2 2 4 3" xfId="10625" xr:uid="{00000000-0005-0000-0000-000097120000}"/>
    <cellStyle name="Normal 2 2 12 2 2 2 4 4" xfId="7275" xr:uid="{00000000-0005-0000-0000-000098120000}"/>
    <cellStyle name="Normal 2 2 12 2 2 2 5" xfId="4184" xr:uid="{00000000-0005-0000-0000-000099120000}"/>
    <cellStyle name="Normal 2 2 12 2 2 2 5 2" xfId="5859" xr:uid="{00000000-0005-0000-0000-00009A120000}"/>
    <cellStyle name="Normal 2 2 12 2 2 2 5 2 2" xfId="9209" xr:uid="{00000000-0005-0000-0000-00009B120000}"/>
    <cellStyle name="Normal 2 2 12 2 2 2 5 3" xfId="10884" xr:uid="{00000000-0005-0000-0000-00009C120000}"/>
    <cellStyle name="Normal 2 2 12 2 2 2 5 4" xfId="7534" xr:uid="{00000000-0005-0000-0000-00009D120000}"/>
    <cellStyle name="Normal 2 2 12 2 2 2 6" xfId="4892" xr:uid="{00000000-0005-0000-0000-00009E120000}"/>
    <cellStyle name="Normal 2 2 12 2 2 2 6 2" xfId="8242" xr:uid="{00000000-0005-0000-0000-00009F120000}"/>
    <cellStyle name="Normal 2 2 12 2 2 2 7" xfId="9917" xr:uid="{00000000-0005-0000-0000-0000A0120000}"/>
    <cellStyle name="Normal 2 2 12 2 2 2 8" xfId="6567" xr:uid="{00000000-0005-0000-0000-0000A1120000}"/>
    <cellStyle name="Normal 2 2 12 2 2 3" xfId="3336" xr:uid="{00000000-0005-0000-0000-0000A2120000}"/>
    <cellStyle name="Normal 2 2 12 2 2 3 2" xfId="4302" xr:uid="{00000000-0005-0000-0000-0000A3120000}"/>
    <cellStyle name="Normal 2 2 12 2 2 3 2 2" xfId="5977" xr:uid="{00000000-0005-0000-0000-0000A4120000}"/>
    <cellStyle name="Normal 2 2 12 2 2 3 2 2 2" xfId="9327" xr:uid="{00000000-0005-0000-0000-0000A5120000}"/>
    <cellStyle name="Normal 2 2 12 2 2 3 2 3" xfId="11002" xr:uid="{00000000-0005-0000-0000-0000A6120000}"/>
    <cellStyle name="Normal 2 2 12 2 2 3 2 4" xfId="7652" xr:uid="{00000000-0005-0000-0000-0000A7120000}"/>
    <cellStyle name="Normal 2 2 12 2 2 3 3" xfId="5010" xr:uid="{00000000-0005-0000-0000-0000A8120000}"/>
    <cellStyle name="Normal 2 2 12 2 2 3 3 2" xfId="8360" xr:uid="{00000000-0005-0000-0000-0000A9120000}"/>
    <cellStyle name="Normal 2 2 12 2 2 3 4" xfId="10035" xr:uid="{00000000-0005-0000-0000-0000AA120000}"/>
    <cellStyle name="Normal 2 2 12 2 2 3 5" xfId="6685" xr:uid="{00000000-0005-0000-0000-0000AB120000}"/>
    <cellStyle name="Normal 2 2 12 2 2 4" xfId="3571" xr:uid="{00000000-0005-0000-0000-0000AC120000}"/>
    <cellStyle name="Normal 2 2 12 2 2 4 2" xfId="4538" xr:uid="{00000000-0005-0000-0000-0000AD120000}"/>
    <cellStyle name="Normal 2 2 12 2 2 4 2 2" xfId="6213" xr:uid="{00000000-0005-0000-0000-0000AE120000}"/>
    <cellStyle name="Normal 2 2 12 2 2 4 2 2 2" xfId="9563" xr:uid="{00000000-0005-0000-0000-0000AF120000}"/>
    <cellStyle name="Normal 2 2 12 2 2 4 2 3" xfId="11238" xr:uid="{00000000-0005-0000-0000-0000B0120000}"/>
    <cellStyle name="Normal 2 2 12 2 2 4 2 4" xfId="7888" xr:uid="{00000000-0005-0000-0000-0000B1120000}"/>
    <cellStyle name="Normal 2 2 12 2 2 4 3" xfId="5246" xr:uid="{00000000-0005-0000-0000-0000B2120000}"/>
    <cellStyle name="Normal 2 2 12 2 2 4 3 2" xfId="8596" xr:uid="{00000000-0005-0000-0000-0000B3120000}"/>
    <cellStyle name="Normal 2 2 12 2 2 4 4" xfId="10271" xr:uid="{00000000-0005-0000-0000-0000B4120000}"/>
    <cellStyle name="Normal 2 2 12 2 2 4 5" xfId="6921" xr:uid="{00000000-0005-0000-0000-0000B5120000}"/>
    <cellStyle name="Normal 2 2 12 2 2 5" xfId="3807" xr:uid="{00000000-0005-0000-0000-0000B6120000}"/>
    <cellStyle name="Normal 2 2 12 2 2 5 2" xfId="5482" xr:uid="{00000000-0005-0000-0000-0000B7120000}"/>
    <cellStyle name="Normal 2 2 12 2 2 5 2 2" xfId="8832" xr:uid="{00000000-0005-0000-0000-0000B8120000}"/>
    <cellStyle name="Normal 2 2 12 2 2 5 3" xfId="10507" xr:uid="{00000000-0005-0000-0000-0000B9120000}"/>
    <cellStyle name="Normal 2 2 12 2 2 5 4" xfId="7157" xr:uid="{00000000-0005-0000-0000-0000BA120000}"/>
    <cellStyle name="Normal 2 2 12 2 2 6" xfId="4066" xr:uid="{00000000-0005-0000-0000-0000BB120000}"/>
    <cellStyle name="Normal 2 2 12 2 2 6 2" xfId="5741" xr:uid="{00000000-0005-0000-0000-0000BC120000}"/>
    <cellStyle name="Normal 2 2 12 2 2 6 2 2" xfId="9091" xr:uid="{00000000-0005-0000-0000-0000BD120000}"/>
    <cellStyle name="Normal 2 2 12 2 2 6 3" xfId="10766" xr:uid="{00000000-0005-0000-0000-0000BE120000}"/>
    <cellStyle name="Normal 2 2 12 2 2 6 4" xfId="7416" xr:uid="{00000000-0005-0000-0000-0000BF120000}"/>
    <cellStyle name="Normal 2 2 12 2 2 7" xfId="4774" xr:uid="{00000000-0005-0000-0000-0000C0120000}"/>
    <cellStyle name="Normal 2 2 12 2 2 7 2" xfId="8124" xr:uid="{00000000-0005-0000-0000-0000C1120000}"/>
    <cellStyle name="Normal 2 2 12 2 2 8" xfId="9799" xr:uid="{00000000-0005-0000-0000-0000C2120000}"/>
    <cellStyle name="Normal 2 2 12 2 2 9" xfId="6449" xr:uid="{00000000-0005-0000-0000-0000C3120000}"/>
    <cellStyle name="Normal 2 2 12 2 3" xfId="3124" xr:uid="{00000000-0005-0000-0000-0000C4120000}"/>
    <cellStyle name="Normal 2 2 12 2 3 2" xfId="3241" xr:uid="{00000000-0005-0000-0000-0000C5120000}"/>
    <cellStyle name="Normal 2 2 12 2 3 2 2" xfId="3477" xr:uid="{00000000-0005-0000-0000-0000C6120000}"/>
    <cellStyle name="Normal 2 2 12 2 3 2 2 2" xfId="4443" xr:uid="{00000000-0005-0000-0000-0000C7120000}"/>
    <cellStyle name="Normal 2 2 12 2 3 2 2 2 2" xfId="6118" xr:uid="{00000000-0005-0000-0000-0000C8120000}"/>
    <cellStyle name="Normal 2 2 12 2 3 2 2 2 2 2" xfId="9468" xr:uid="{00000000-0005-0000-0000-0000C9120000}"/>
    <cellStyle name="Normal 2 2 12 2 3 2 2 2 3" xfId="11143" xr:uid="{00000000-0005-0000-0000-0000CA120000}"/>
    <cellStyle name="Normal 2 2 12 2 3 2 2 2 4" xfId="7793" xr:uid="{00000000-0005-0000-0000-0000CB120000}"/>
    <cellStyle name="Normal 2 2 12 2 3 2 2 3" xfId="5151" xr:uid="{00000000-0005-0000-0000-0000CC120000}"/>
    <cellStyle name="Normal 2 2 12 2 3 2 2 3 2" xfId="8501" xr:uid="{00000000-0005-0000-0000-0000CD120000}"/>
    <cellStyle name="Normal 2 2 12 2 3 2 2 4" xfId="10176" xr:uid="{00000000-0005-0000-0000-0000CE120000}"/>
    <cellStyle name="Normal 2 2 12 2 3 2 2 5" xfId="6826" xr:uid="{00000000-0005-0000-0000-0000CF120000}"/>
    <cellStyle name="Normal 2 2 12 2 3 2 3" xfId="3712" xr:uid="{00000000-0005-0000-0000-0000D0120000}"/>
    <cellStyle name="Normal 2 2 12 2 3 2 3 2" xfId="4679" xr:uid="{00000000-0005-0000-0000-0000D1120000}"/>
    <cellStyle name="Normal 2 2 12 2 3 2 3 2 2" xfId="6354" xr:uid="{00000000-0005-0000-0000-0000D2120000}"/>
    <cellStyle name="Normal 2 2 12 2 3 2 3 2 2 2" xfId="9704" xr:uid="{00000000-0005-0000-0000-0000D3120000}"/>
    <cellStyle name="Normal 2 2 12 2 3 2 3 2 3" xfId="11379" xr:uid="{00000000-0005-0000-0000-0000D4120000}"/>
    <cellStyle name="Normal 2 2 12 2 3 2 3 2 4" xfId="8029" xr:uid="{00000000-0005-0000-0000-0000D5120000}"/>
    <cellStyle name="Normal 2 2 12 2 3 2 3 3" xfId="5387" xr:uid="{00000000-0005-0000-0000-0000D6120000}"/>
    <cellStyle name="Normal 2 2 12 2 3 2 3 3 2" xfId="8737" xr:uid="{00000000-0005-0000-0000-0000D7120000}"/>
    <cellStyle name="Normal 2 2 12 2 3 2 3 4" xfId="10412" xr:uid="{00000000-0005-0000-0000-0000D8120000}"/>
    <cellStyle name="Normal 2 2 12 2 3 2 3 5" xfId="7062" xr:uid="{00000000-0005-0000-0000-0000D9120000}"/>
    <cellStyle name="Normal 2 2 12 2 3 2 4" xfId="3948" xr:uid="{00000000-0005-0000-0000-0000DA120000}"/>
    <cellStyle name="Normal 2 2 12 2 3 2 4 2" xfId="5623" xr:uid="{00000000-0005-0000-0000-0000DB120000}"/>
    <cellStyle name="Normal 2 2 12 2 3 2 4 2 2" xfId="8973" xr:uid="{00000000-0005-0000-0000-0000DC120000}"/>
    <cellStyle name="Normal 2 2 12 2 3 2 4 3" xfId="10648" xr:uid="{00000000-0005-0000-0000-0000DD120000}"/>
    <cellStyle name="Normal 2 2 12 2 3 2 4 4" xfId="7298" xr:uid="{00000000-0005-0000-0000-0000DE120000}"/>
    <cellStyle name="Normal 2 2 12 2 3 2 5" xfId="4207" xr:uid="{00000000-0005-0000-0000-0000DF120000}"/>
    <cellStyle name="Normal 2 2 12 2 3 2 5 2" xfId="5882" xr:uid="{00000000-0005-0000-0000-0000E0120000}"/>
    <cellStyle name="Normal 2 2 12 2 3 2 5 2 2" xfId="9232" xr:uid="{00000000-0005-0000-0000-0000E1120000}"/>
    <cellStyle name="Normal 2 2 12 2 3 2 5 3" xfId="10907" xr:uid="{00000000-0005-0000-0000-0000E2120000}"/>
    <cellStyle name="Normal 2 2 12 2 3 2 5 4" xfId="7557" xr:uid="{00000000-0005-0000-0000-0000E3120000}"/>
    <cellStyle name="Normal 2 2 12 2 3 2 6" xfId="4915" xr:uid="{00000000-0005-0000-0000-0000E4120000}"/>
    <cellStyle name="Normal 2 2 12 2 3 2 6 2" xfId="8265" xr:uid="{00000000-0005-0000-0000-0000E5120000}"/>
    <cellStyle name="Normal 2 2 12 2 3 2 7" xfId="9940" xr:uid="{00000000-0005-0000-0000-0000E6120000}"/>
    <cellStyle name="Normal 2 2 12 2 3 2 8" xfId="6590" xr:uid="{00000000-0005-0000-0000-0000E7120000}"/>
    <cellStyle name="Normal 2 2 12 2 3 3" xfId="3359" xr:uid="{00000000-0005-0000-0000-0000E8120000}"/>
    <cellStyle name="Normal 2 2 12 2 3 3 2" xfId="4325" xr:uid="{00000000-0005-0000-0000-0000E9120000}"/>
    <cellStyle name="Normal 2 2 12 2 3 3 2 2" xfId="6000" xr:uid="{00000000-0005-0000-0000-0000EA120000}"/>
    <cellStyle name="Normal 2 2 12 2 3 3 2 2 2" xfId="9350" xr:uid="{00000000-0005-0000-0000-0000EB120000}"/>
    <cellStyle name="Normal 2 2 12 2 3 3 2 3" xfId="11025" xr:uid="{00000000-0005-0000-0000-0000EC120000}"/>
    <cellStyle name="Normal 2 2 12 2 3 3 2 4" xfId="7675" xr:uid="{00000000-0005-0000-0000-0000ED120000}"/>
    <cellStyle name="Normal 2 2 12 2 3 3 3" xfId="5033" xr:uid="{00000000-0005-0000-0000-0000EE120000}"/>
    <cellStyle name="Normal 2 2 12 2 3 3 3 2" xfId="8383" xr:uid="{00000000-0005-0000-0000-0000EF120000}"/>
    <cellStyle name="Normal 2 2 12 2 3 3 4" xfId="10058" xr:uid="{00000000-0005-0000-0000-0000F0120000}"/>
    <cellStyle name="Normal 2 2 12 2 3 3 5" xfId="6708" xr:uid="{00000000-0005-0000-0000-0000F1120000}"/>
    <cellStyle name="Normal 2 2 12 2 3 4" xfId="3594" xr:uid="{00000000-0005-0000-0000-0000F2120000}"/>
    <cellStyle name="Normal 2 2 12 2 3 4 2" xfId="4561" xr:uid="{00000000-0005-0000-0000-0000F3120000}"/>
    <cellStyle name="Normal 2 2 12 2 3 4 2 2" xfId="6236" xr:uid="{00000000-0005-0000-0000-0000F4120000}"/>
    <cellStyle name="Normal 2 2 12 2 3 4 2 2 2" xfId="9586" xr:uid="{00000000-0005-0000-0000-0000F5120000}"/>
    <cellStyle name="Normal 2 2 12 2 3 4 2 3" xfId="11261" xr:uid="{00000000-0005-0000-0000-0000F6120000}"/>
    <cellStyle name="Normal 2 2 12 2 3 4 2 4" xfId="7911" xr:uid="{00000000-0005-0000-0000-0000F7120000}"/>
    <cellStyle name="Normal 2 2 12 2 3 4 3" xfId="5269" xr:uid="{00000000-0005-0000-0000-0000F8120000}"/>
    <cellStyle name="Normal 2 2 12 2 3 4 3 2" xfId="8619" xr:uid="{00000000-0005-0000-0000-0000F9120000}"/>
    <cellStyle name="Normal 2 2 12 2 3 4 4" xfId="10294" xr:uid="{00000000-0005-0000-0000-0000FA120000}"/>
    <cellStyle name="Normal 2 2 12 2 3 4 5" xfId="6944" xr:uid="{00000000-0005-0000-0000-0000FB120000}"/>
    <cellStyle name="Normal 2 2 12 2 3 5" xfId="3830" xr:uid="{00000000-0005-0000-0000-0000FC120000}"/>
    <cellStyle name="Normal 2 2 12 2 3 5 2" xfId="5505" xr:uid="{00000000-0005-0000-0000-0000FD120000}"/>
    <cellStyle name="Normal 2 2 12 2 3 5 2 2" xfId="8855" xr:uid="{00000000-0005-0000-0000-0000FE120000}"/>
    <cellStyle name="Normal 2 2 12 2 3 5 3" xfId="10530" xr:uid="{00000000-0005-0000-0000-0000FF120000}"/>
    <cellStyle name="Normal 2 2 12 2 3 5 4" xfId="7180" xr:uid="{00000000-0005-0000-0000-000000130000}"/>
    <cellStyle name="Normal 2 2 12 2 3 6" xfId="4089" xr:uid="{00000000-0005-0000-0000-000001130000}"/>
    <cellStyle name="Normal 2 2 12 2 3 6 2" xfId="5764" xr:uid="{00000000-0005-0000-0000-000002130000}"/>
    <cellStyle name="Normal 2 2 12 2 3 6 2 2" xfId="9114" xr:uid="{00000000-0005-0000-0000-000003130000}"/>
    <cellStyle name="Normal 2 2 12 2 3 6 3" xfId="10789" xr:uid="{00000000-0005-0000-0000-000004130000}"/>
    <cellStyle name="Normal 2 2 12 2 3 6 4" xfId="7439" xr:uid="{00000000-0005-0000-0000-000005130000}"/>
    <cellStyle name="Normal 2 2 12 2 3 7" xfId="4797" xr:uid="{00000000-0005-0000-0000-000006130000}"/>
    <cellStyle name="Normal 2 2 12 2 3 7 2" xfId="8147" xr:uid="{00000000-0005-0000-0000-000007130000}"/>
    <cellStyle name="Normal 2 2 12 2 3 8" xfId="9822" xr:uid="{00000000-0005-0000-0000-000008130000}"/>
    <cellStyle name="Normal 2 2 12 2 3 9" xfId="6472" xr:uid="{00000000-0005-0000-0000-000009130000}"/>
    <cellStyle name="Normal 2 2 12 2 4" xfId="3147" xr:uid="{00000000-0005-0000-0000-00000A130000}"/>
    <cellStyle name="Normal 2 2 12 2 4 2" xfId="3265" xr:uid="{00000000-0005-0000-0000-00000B130000}"/>
    <cellStyle name="Normal 2 2 12 2 4 2 2" xfId="3501" xr:uid="{00000000-0005-0000-0000-00000C130000}"/>
    <cellStyle name="Normal 2 2 12 2 4 2 2 2" xfId="4467" xr:uid="{00000000-0005-0000-0000-00000D130000}"/>
    <cellStyle name="Normal 2 2 12 2 4 2 2 2 2" xfId="6142" xr:uid="{00000000-0005-0000-0000-00000E130000}"/>
    <cellStyle name="Normal 2 2 12 2 4 2 2 2 2 2" xfId="9492" xr:uid="{00000000-0005-0000-0000-00000F130000}"/>
    <cellStyle name="Normal 2 2 12 2 4 2 2 2 3" xfId="11167" xr:uid="{00000000-0005-0000-0000-000010130000}"/>
    <cellStyle name="Normal 2 2 12 2 4 2 2 2 4" xfId="7817" xr:uid="{00000000-0005-0000-0000-000011130000}"/>
    <cellStyle name="Normal 2 2 12 2 4 2 2 3" xfId="5175" xr:uid="{00000000-0005-0000-0000-000012130000}"/>
    <cellStyle name="Normal 2 2 12 2 4 2 2 3 2" xfId="8525" xr:uid="{00000000-0005-0000-0000-000013130000}"/>
    <cellStyle name="Normal 2 2 12 2 4 2 2 4" xfId="10200" xr:uid="{00000000-0005-0000-0000-000014130000}"/>
    <cellStyle name="Normal 2 2 12 2 4 2 2 5" xfId="6850" xr:uid="{00000000-0005-0000-0000-000015130000}"/>
    <cellStyle name="Normal 2 2 12 2 4 2 3" xfId="3736" xr:uid="{00000000-0005-0000-0000-000016130000}"/>
    <cellStyle name="Normal 2 2 12 2 4 2 3 2" xfId="4703" xr:uid="{00000000-0005-0000-0000-000017130000}"/>
    <cellStyle name="Normal 2 2 12 2 4 2 3 2 2" xfId="6378" xr:uid="{00000000-0005-0000-0000-000018130000}"/>
    <cellStyle name="Normal 2 2 12 2 4 2 3 2 2 2" xfId="9728" xr:uid="{00000000-0005-0000-0000-000019130000}"/>
    <cellStyle name="Normal 2 2 12 2 4 2 3 2 3" xfId="11403" xr:uid="{00000000-0005-0000-0000-00001A130000}"/>
    <cellStyle name="Normal 2 2 12 2 4 2 3 2 4" xfId="8053" xr:uid="{00000000-0005-0000-0000-00001B130000}"/>
    <cellStyle name="Normal 2 2 12 2 4 2 3 3" xfId="5411" xr:uid="{00000000-0005-0000-0000-00001C130000}"/>
    <cellStyle name="Normal 2 2 12 2 4 2 3 3 2" xfId="8761" xr:uid="{00000000-0005-0000-0000-00001D130000}"/>
    <cellStyle name="Normal 2 2 12 2 4 2 3 4" xfId="10436" xr:uid="{00000000-0005-0000-0000-00001E130000}"/>
    <cellStyle name="Normal 2 2 12 2 4 2 3 5" xfId="7086" xr:uid="{00000000-0005-0000-0000-00001F130000}"/>
    <cellStyle name="Normal 2 2 12 2 4 2 4" xfId="3972" xr:uid="{00000000-0005-0000-0000-000020130000}"/>
    <cellStyle name="Normal 2 2 12 2 4 2 4 2" xfId="5647" xr:uid="{00000000-0005-0000-0000-000021130000}"/>
    <cellStyle name="Normal 2 2 12 2 4 2 4 2 2" xfId="8997" xr:uid="{00000000-0005-0000-0000-000022130000}"/>
    <cellStyle name="Normal 2 2 12 2 4 2 4 3" xfId="10672" xr:uid="{00000000-0005-0000-0000-000023130000}"/>
    <cellStyle name="Normal 2 2 12 2 4 2 4 4" xfId="7322" xr:uid="{00000000-0005-0000-0000-000024130000}"/>
    <cellStyle name="Normal 2 2 12 2 4 2 5" xfId="4231" xr:uid="{00000000-0005-0000-0000-000025130000}"/>
    <cellStyle name="Normal 2 2 12 2 4 2 5 2" xfId="5906" xr:uid="{00000000-0005-0000-0000-000026130000}"/>
    <cellStyle name="Normal 2 2 12 2 4 2 5 2 2" xfId="9256" xr:uid="{00000000-0005-0000-0000-000027130000}"/>
    <cellStyle name="Normal 2 2 12 2 4 2 5 3" xfId="10931" xr:uid="{00000000-0005-0000-0000-000028130000}"/>
    <cellStyle name="Normal 2 2 12 2 4 2 5 4" xfId="7581" xr:uid="{00000000-0005-0000-0000-000029130000}"/>
    <cellStyle name="Normal 2 2 12 2 4 2 6" xfId="4939" xr:uid="{00000000-0005-0000-0000-00002A130000}"/>
    <cellStyle name="Normal 2 2 12 2 4 2 6 2" xfId="8289" xr:uid="{00000000-0005-0000-0000-00002B130000}"/>
    <cellStyle name="Normal 2 2 12 2 4 2 7" xfId="9964" xr:uid="{00000000-0005-0000-0000-00002C130000}"/>
    <cellStyle name="Normal 2 2 12 2 4 2 8" xfId="6614" xr:uid="{00000000-0005-0000-0000-00002D130000}"/>
    <cellStyle name="Normal 2 2 12 2 4 3" xfId="3383" xr:uid="{00000000-0005-0000-0000-00002E130000}"/>
    <cellStyle name="Normal 2 2 12 2 4 3 2" xfId="4349" xr:uid="{00000000-0005-0000-0000-00002F130000}"/>
    <cellStyle name="Normal 2 2 12 2 4 3 2 2" xfId="6024" xr:uid="{00000000-0005-0000-0000-000030130000}"/>
    <cellStyle name="Normal 2 2 12 2 4 3 2 2 2" xfId="9374" xr:uid="{00000000-0005-0000-0000-000031130000}"/>
    <cellStyle name="Normal 2 2 12 2 4 3 2 3" xfId="11049" xr:uid="{00000000-0005-0000-0000-000032130000}"/>
    <cellStyle name="Normal 2 2 12 2 4 3 2 4" xfId="7699" xr:uid="{00000000-0005-0000-0000-000033130000}"/>
    <cellStyle name="Normal 2 2 12 2 4 3 3" xfId="5057" xr:uid="{00000000-0005-0000-0000-000034130000}"/>
    <cellStyle name="Normal 2 2 12 2 4 3 3 2" xfId="8407" xr:uid="{00000000-0005-0000-0000-000035130000}"/>
    <cellStyle name="Normal 2 2 12 2 4 3 4" xfId="10082" xr:uid="{00000000-0005-0000-0000-000036130000}"/>
    <cellStyle name="Normal 2 2 12 2 4 3 5" xfId="6732" xr:uid="{00000000-0005-0000-0000-000037130000}"/>
    <cellStyle name="Normal 2 2 12 2 4 4" xfId="3618" xr:uid="{00000000-0005-0000-0000-000038130000}"/>
    <cellStyle name="Normal 2 2 12 2 4 4 2" xfId="4585" xr:uid="{00000000-0005-0000-0000-000039130000}"/>
    <cellStyle name="Normal 2 2 12 2 4 4 2 2" xfId="6260" xr:uid="{00000000-0005-0000-0000-00003A130000}"/>
    <cellStyle name="Normal 2 2 12 2 4 4 2 2 2" xfId="9610" xr:uid="{00000000-0005-0000-0000-00003B130000}"/>
    <cellStyle name="Normal 2 2 12 2 4 4 2 3" xfId="11285" xr:uid="{00000000-0005-0000-0000-00003C130000}"/>
    <cellStyle name="Normal 2 2 12 2 4 4 2 4" xfId="7935" xr:uid="{00000000-0005-0000-0000-00003D130000}"/>
    <cellStyle name="Normal 2 2 12 2 4 4 3" xfId="5293" xr:uid="{00000000-0005-0000-0000-00003E130000}"/>
    <cellStyle name="Normal 2 2 12 2 4 4 3 2" xfId="8643" xr:uid="{00000000-0005-0000-0000-00003F130000}"/>
    <cellStyle name="Normal 2 2 12 2 4 4 4" xfId="10318" xr:uid="{00000000-0005-0000-0000-000040130000}"/>
    <cellStyle name="Normal 2 2 12 2 4 4 5" xfId="6968" xr:uid="{00000000-0005-0000-0000-000041130000}"/>
    <cellStyle name="Normal 2 2 12 2 4 5" xfId="3854" xr:uid="{00000000-0005-0000-0000-000042130000}"/>
    <cellStyle name="Normal 2 2 12 2 4 5 2" xfId="5529" xr:uid="{00000000-0005-0000-0000-000043130000}"/>
    <cellStyle name="Normal 2 2 12 2 4 5 2 2" xfId="8879" xr:uid="{00000000-0005-0000-0000-000044130000}"/>
    <cellStyle name="Normal 2 2 12 2 4 5 3" xfId="10554" xr:uid="{00000000-0005-0000-0000-000045130000}"/>
    <cellStyle name="Normal 2 2 12 2 4 5 4" xfId="7204" xr:uid="{00000000-0005-0000-0000-000046130000}"/>
    <cellStyle name="Normal 2 2 12 2 4 6" xfId="4113" xr:uid="{00000000-0005-0000-0000-000047130000}"/>
    <cellStyle name="Normal 2 2 12 2 4 6 2" xfId="5788" xr:uid="{00000000-0005-0000-0000-000048130000}"/>
    <cellStyle name="Normal 2 2 12 2 4 6 2 2" xfId="9138" xr:uid="{00000000-0005-0000-0000-000049130000}"/>
    <cellStyle name="Normal 2 2 12 2 4 6 3" xfId="10813" xr:uid="{00000000-0005-0000-0000-00004A130000}"/>
    <cellStyle name="Normal 2 2 12 2 4 6 4" xfId="7463" xr:uid="{00000000-0005-0000-0000-00004B130000}"/>
    <cellStyle name="Normal 2 2 12 2 4 7" xfId="4821" xr:uid="{00000000-0005-0000-0000-00004C130000}"/>
    <cellStyle name="Normal 2 2 12 2 4 7 2" xfId="8171" xr:uid="{00000000-0005-0000-0000-00004D130000}"/>
    <cellStyle name="Normal 2 2 12 2 4 8" xfId="9846" xr:uid="{00000000-0005-0000-0000-00004E130000}"/>
    <cellStyle name="Normal 2 2 12 2 4 9" xfId="6496" xr:uid="{00000000-0005-0000-0000-00004F130000}"/>
    <cellStyle name="Normal 2 2 12 2 5" xfId="3171" xr:uid="{00000000-0005-0000-0000-000050130000}"/>
    <cellStyle name="Normal 2 2 12 2 5 2" xfId="3289" xr:uid="{00000000-0005-0000-0000-000051130000}"/>
    <cellStyle name="Normal 2 2 12 2 5 2 2" xfId="3525" xr:uid="{00000000-0005-0000-0000-000052130000}"/>
    <cellStyle name="Normal 2 2 12 2 5 2 2 2" xfId="4491" xr:uid="{00000000-0005-0000-0000-000053130000}"/>
    <cellStyle name="Normal 2 2 12 2 5 2 2 2 2" xfId="6166" xr:uid="{00000000-0005-0000-0000-000054130000}"/>
    <cellStyle name="Normal 2 2 12 2 5 2 2 2 2 2" xfId="9516" xr:uid="{00000000-0005-0000-0000-000055130000}"/>
    <cellStyle name="Normal 2 2 12 2 5 2 2 2 3" xfId="11191" xr:uid="{00000000-0005-0000-0000-000056130000}"/>
    <cellStyle name="Normal 2 2 12 2 5 2 2 2 4" xfId="7841" xr:uid="{00000000-0005-0000-0000-000057130000}"/>
    <cellStyle name="Normal 2 2 12 2 5 2 2 3" xfId="5199" xr:uid="{00000000-0005-0000-0000-000058130000}"/>
    <cellStyle name="Normal 2 2 12 2 5 2 2 3 2" xfId="8549" xr:uid="{00000000-0005-0000-0000-000059130000}"/>
    <cellStyle name="Normal 2 2 12 2 5 2 2 4" xfId="10224" xr:uid="{00000000-0005-0000-0000-00005A130000}"/>
    <cellStyle name="Normal 2 2 12 2 5 2 2 5" xfId="6874" xr:uid="{00000000-0005-0000-0000-00005B130000}"/>
    <cellStyle name="Normal 2 2 12 2 5 2 3" xfId="3760" xr:uid="{00000000-0005-0000-0000-00005C130000}"/>
    <cellStyle name="Normal 2 2 12 2 5 2 3 2" xfId="4727" xr:uid="{00000000-0005-0000-0000-00005D130000}"/>
    <cellStyle name="Normal 2 2 12 2 5 2 3 2 2" xfId="6402" xr:uid="{00000000-0005-0000-0000-00005E130000}"/>
    <cellStyle name="Normal 2 2 12 2 5 2 3 2 2 2" xfId="9752" xr:uid="{00000000-0005-0000-0000-00005F130000}"/>
    <cellStyle name="Normal 2 2 12 2 5 2 3 2 3" xfId="11427" xr:uid="{00000000-0005-0000-0000-000060130000}"/>
    <cellStyle name="Normal 2 2 12 2 5 2 3 2 4" xfId="8077" xr:uid="{00000000-0005-0000-0000-000061130000}"/>
    <cellStyle name="Normal 2 2 12 2 5 2 3 3" xfId="5435" xr:uid="{00000000-0005-0000-0000-000062130000}"/>
    <cellStyle name="Normal 2 2 12 2 5 2 3 3 2" xfId="8785" xr:uid="{00000000-0005-0000-0000-000063130000}"/>
    <cellStyle name="Normal 2 2 12 2 5 2 3 4" xfId="10460" xr:uid="{00000000-0005-0000-0000-000064130000}"/>
    <cellStyle name="Normal 2 2 12 2 5 2 3 5" xfId="7110" xr:uid="{00000000-0005-0000-0000-000065130000}"/>
    <cellStyle name="Normal 2 2 12 2 5 2 4" xfId="3996" xr:uid="{00000000-0005-0000-0000-000066130000}"/>
    <cellStyle name="Normal 2 2 12 2 5 2 4 2" xfId="5671" xr:uid="{00000000-0005-0000-0000-000067130000}"/>
    <cellStyle name="Normal 2 2 12 2 5 2 4 2 2" xfId="9021" xr:uid="{00000000-0005-0000-0000-000068130000}"/>
    <cellStyle name="Normal 2 2 12 2 5 2 4 3" xfId="10696" xr:uid="{00000000-0005-0000-0000-000069130000}"/>
    <cellStyle name="Normal 2 2 12 2 5 2 4 4" xfId="7346" xr:uid="{00000000-0005-0000-0000-00006A130000}"/>
    <cellStyle name="Normal 2 2 12 2 5 2 5" xfId="4255" xr:uid="{00000000-0005-0000-0000-00006B130000}"/>
    <cellStyle name="Normal 2 2 12 2 5 2 5 2" xfId="5930" xr:uid="{00000000-0005-0000-0000-00006C130000}"/>
    <cellStyle name="Normal 2 2 12 2 5 2 5 2 2" xfId="9280" xr:uid="{00000000-0005-0000-0000-00006D130000}"/>
    <cellStyle name="Normal 2 2 12 2 5 2 5 3" xfId="10955" xr:uid="{00000000-0005-0000-0000-00006E130000}"/>
    <cellStyle name="Normal 2 2 12 2 5 2 5 4" xfId="7605" xr:uid="{00000000-0005-0000-0000-00006F130000}"/>
    <cellStyle name="Normal 2 2 12 2 5 2 6" xfId="4963" xr:uid="{00000000-0005-0000-0000-000070130000}"/>
    <cellStyle name="Normal 2 2 12 2 5 2 6 2" xfId="8313" xr:uid="{00000000-0005-0000-0000-000071130000}"/>
    <cellStyle name="Normal 2 2 12 2 5 2 7" xfId="9988" xr:uid="{00000000-0005-0000-0000-000072130000}"/>
    <cellStyle name="Normal 2 2 12 2 5 2 8" xfId="6638" xr:uid="{00000000-0005-0000-0000-000073130000}"/>
    <cellStyle name="Normal 2 2 12 2 5 3" xfId="3407" xr:uid="{00000000-0005-0000-0000-000074130000}"/>
    <cellStyle name="Normal 2 2 12 2 5 3 2" xfId="4373" xr:uid="{00000000-0005-0000-0000-000075130000}"/>
    <cellStyle name="Normal 2 2 12 2 5 3 2 2" xfId="6048" xr:uid="{00000000-0005-0000-0000-000076130000}"/>
    <cellStyle name="Normal 2 2 12 2 5 3 2 2 2" xfId="9398" xr:uid="{00000000-0005-0000-0000-000077130000}"/>
    <cellStyle name="Normal 2 2 12 2 5 3 2 3" xfId="11073" xr:uid="{00000000-0005-0000-0000-000078130000}"/>
    <cellStyle name="Normal 2 2 12 2 5 3 2 4" xfId="7723" xr:uid="{00000000-0005-0000-0000-000079130000}"/>
    <cellStyle name="Normal 2 2 12 2 5 3 3" xfId="5081" xr:uid="{00000000-0005-0000-0000-00007A130000}"/>
    <cellStyle name="Normal 2 2 12 2 5 3 3 2" xfId="8431" xr:uid="{00000000-0005-0000-0000-00007B130000}"/>
    <cellStyle name="Normal 2 2 12 2 5 3 4" xfId="10106" xr:uid="{00000000-0005-0000-0000-00007C130000}"/>
    <cellStyle name="Normal 2 2 12 2 5 3 5" xfId="6756" xr:uid="{00000000-0005-0000-0000-00007D130000}"/>
    <cellStyle name="Normal 2 2 12 2 5 4" xfId="3642" xr:uid="{00000000-0005-0000-0000-00007E130000}"/>
    <cellStyle name="Normal 2 2 12 2 5 4 2" xfId="4609" xr:uid="{00000000-0005-0000-0000-00007F130000}"/>
    <cellStyle name="Normal 2 2 12 2 5 4 2 2" xfId="6284" xr:uid="{00000000-0005-0000-0000-000080130000}"/>
    <cellStyle name="Normal 2 2 12 2 5 4 2 2 2" xfId="9634" xr:uid="{00000000-0005-0000-0000-000081130000}"/>
    <cellStyle name="Normal 2 2 12 2 5 4 2 3" xfId="11309" xr:uid="{00000000-0005-0000-0000-000082130000}"/>
    <cellStyle name="Normal 2 2 12 2 5 4 2 4" xfId="7959" xr:uid="{00000000-0005-0000-0000-000083130000}"/>
    <cellStyle name="Normal 2 2 12 2 5 4 3" xfId="5317" xr:uid="{00000000-0005-0000-0000-000084130000}"/>
    <cellStyle name="Normal 2 2 12 2 5 4 3 2" xfId="8667" xr:uid="{00000000-0005-0000-0000-000085130000}"/>
    <cellStyle name="Normal 2 2 12 2 5 4 4" xfId="10342" xr:uid="{00000000-0005-0000-0000-000086130000}"/>
    <cellStyle name="Normal 2 2 12 2 5 4 5" xfId="6992" xr:uid="{00000000-0005-0000-0000-000087130000}"/>
    <cellStyle name="Normal 2 2 12 2 5 5" xfId="3878" xr:uid="{00000000-0005-0000-0000-000088130000}"/>
    <cellStyle name="Normal 2 2 12 2 5 5 2" xfId="5553" xr:uid="{00000000-0005-0000-0000-000089130000}"/>
    <cellStyle name="Normal 2 2 12 2 5 5 2 2" xfId="8903" xr:uid="{00000000-0005-0000-0000-00008A130000}"/>
    <cellStyle name="Normal 2 2 12 2 5 5 3" xfId="10578" xr:uid="{00000000-0005-0000-0000-00008B130000}"/>
    <cellStyle name="Normal 2 2 12 2 5 5 4" xfId="7228" xr:uid="{00000000-0005-0000-0000-00008C130000}"/>
    <cellStyle name="Normal 2 2 12 2 5 6" xfId="4137" xr:uid="{00000000-0005-0000-0000-00008D130000}"/>
    <cellStyle name="Normal 2 2 12 2 5 6 2" xfId="5812" xr:uid="{00000000-0005-0000-0000-00008E130000}"/>
    <cellStyle name="Normal 2 2 12 2 5 6 2 2" xfId="9162" xr:uid="{00000000-0005-0000-0000-00008F130000}"/>
    <cellStyle name="Normal 2 2 12 2 5 6 3" xfId="10837" xr:uid="{00000000-0005-0000-0000-000090130000}"/>
    <cellStyle name="Normal 2 2 12 2 5 6 4" xfId="7487" xr:uid="{00000000-0005-0000-0000-000091130000}"/>
    <cellStyle name="Normal 2 2 12 2 5 7" xfId="4845" xr:uid="{00000000-0005-0000-0000-000092130000}"/>
    <cellStyle name="Normal 2 2 12 2 5 7 2" xfId="8195" xr:uid="{00000000-0005-0000-0000-000093130000}"/>
    <cellStyle name="Normal 2 2 12 2 5 8" xfId="9870" xr:uid="{00000000-0005-0000-0000-000094130000}"/>
    <cellStyle name="Normal 2 2 12 2 5 9" xfId="6520" xr:uid="{00000000-0005-0000-0000-000095130000}"/>
    <cellStyle name="Normal 2 2 12 2 6" xfId="3195" xr:uid="{00000000-0005-0000-0000-000096130000}"/>
    <cellStyle name="Normal 2 2 12 2 6 2" xfId="3431" xr:uid="{00000000-0005-0000-0000-000097130000}"/>
    <cellStyle name="Normal 2 2 12 2 6 2 2" xfId="4397" xr:uid="{00000000-0005-0000-0000-000098130000}"/>
    <cellStyle name="Normal 2 2 12 2 6 2 2 2" xfId="6072" xr:uid="{00000000-0005-0000-0000-000099130000}"/>
    <cellStyle name="Normal 2 2 12 2 6 2 2 2 2" xfId="9422" xr:uid="{00000000-0005-0000-0000-00009A130000}"/>
    <cellStyle name="Normal 2 2 12 2 6 2 2 3" xfId="11097" xr:uid="{00000000-0005-0000-0000-00009B130000}"/>
    <cellStyle name="Normal 2 2 12 2 6 2 2 4" xfId="7747" xr:uid="{00000000-0005-0000-0000-00009C130000}"/>
    <cellStyle name="Normal 2 2 12 2 6 2 3" xfId="5105" xr:uid="{00000000-0005-0000-0000-00009D130000}"/>
    <cellStyle name="Normal 2 2 12 2 6 2 3 2" xfId="8455" xr:uid="{00000000-0005-0000-0000-00009E130000}"/>
    <cellStyle name="Normal 2 2 12 2 6 2 4" xfId="10130" xr:uid="{00000000-0005-0000-0000-00009F130000}"/>
    <cellStyle name="Normal 2 2 12 2 6 2 5" xfId="6780" xr:uid="{00000000-0005-0000-0000-0000A0130000}"/>
    <cellStyle name="Normal 2 2 12 2 6 3" xfId="3666" xr:uid="{00000000-0005-0000-0000-0000A1130000}"/>
    <cellStyle name="Normal 2 2 12 2 6 3 2" xfId="4633" xr:uid="{00000000-0005-0000-0000-0000A2130000}"/>
    <cellStyle name="Normal 2 2 12 2 6 3 2 2" xfId="6308" xr:uid="{00000000-0005-0000-0000-0000A3130000}"/>
    <cellStyle name="Normal 2 2 12 2 6 3 2 2 2" xfId="9658" xr:uid="{00000000-0005-0000-0000-0000A4130000}"/>
    <cellStyle name="Normal 2 2 12 2 6 3 2 3" xfId="11333" xr:uid="{00000000-0005-0000-0000-0000A5130000}"/>
    <cellStyle name="Normal 2 2 12 2 6 3 2 4" xfId="7983" xr:uid="{00000000-0005-0000-0000-0000A6130000}"/>
    <cellStyle name="Normal 2 2 12 2 6 3 3" xfId="5341" xr:uid="{00000000-0005-0000-0000-0000A7130000}"/>
    <cellStyle name="Normal 2 2 12 2 6 3 3 2" xfId="8691" xr:uid="{00000000-0005-0000-0000-0000A8130000}"/>
    <cellStyle name="Normal 2 2 12 2 6 3 4" xfId="10366" xr:uid="{00000000-0005-0000-0000-0000A9130000}"/>
    <cellStyle name="Normal 2 2 12 2 6 3 5" xfId="7016" xr:uid="{00000000-0005-0000-0000-0000AA130000}"/>
    <cellStyle name="Normal 2 2 12 2 6 4" xfId="3902" xr:uid="{00000000-0005-0000-0000-0000AB130000}"/>
    <cellStyle name="Normal 2 2 12 2 6 4 2" xfId="5577" xr:uid="{00000000-0005-0000-0000-0000AC130000}"/>
    <cellStyle name="Normal 2 2 12 2 6 4 2 2" xfId="8927" xr:uid="{00000000-0005-0000-0000-0000AD130000}"/>
    <cellStyle name="Normal 2 2 12 2 6 4 3" xfId="10602" xr:uid="{00000000-0005-0000-0000-0000AE130000}"/>
    <cellStyle name="Normal 2 2 12 2 6 4 4" xfId="7252" xr:uid="{00000000-0005-0000-0000-0000AF130000}"/>
    <cellStyle name="Normal 2 2 12 2 6 5" xfId="4161" xr:uid="{00000000-0005-0000-0000-0000B0130000}"/>
    <cellStyle name="Normal 2 2 12 2 6 5 2" xfId="5836" xr:uid="{00000000-0005-0000-0000-0000B1130000}"/>
    <cellStyle name="Normal 2 2 12 2 6 5 2 2" xfId="9186" xr:uid="{00000000-0005-0000-0000-0000B2130000}"/>
    <cellStyle name="Normal 2 2 12 2 6 5 3" xfId="10861" xr:uid="{00000000-0005-0000-0000-0000B3130000}"/>
    <cellStyle name="Normal 2 2 12 2 6 5 4" xfId="7511" xr:uid="{00000000-0005-0000-0000-0000B4130000}"/>
    <cellStyle name="Normal 2 2 12 2 6 6" xfId="4869" xr:uid="{00000000-0005-0000-0000-0000B5130000}"/>
    <cellStyle name="Normal 2 2 12 2 6 6 2" xfId="8219" xr:uid="{00000000-0005-0000-0000-0000B6130000}"/>
    <cellStyle name="Normal 2 2 12 2 6 7" xfId="9894" xr:uid="{00000000-0005-0000-0000-0000B7130000}"/>
    <cellStyle name="Normal 2 2 12 2 6 8" xfId="6544" xr:uid="{00000000-0005-0000-0000-0000B8130000}"/>
    <cellStyle name="Normal 2 2 12 2 7" xfId="3313" xr:uid="{00000000-0005-0000-0000-0000B9130000}"/>
    <cellStyle name="Normal 2 2 12 2 7 2" xfId="4279" xr:uid="{00000000-0005-0000-0000-0000BA130000}"/>
    <cellStyle name="Normal 2 2 12 2 7 2 2" xfId="5954" xr:uid="{00000000-0005-0000-0000-0000BB130000}"/>
    <cellStyle name="Normal 2 2 12 2 7 2 2 2" xfId="9304" xr:uid="{00000000-0005-0000-0000-0000BC130000}"/>
    <cellStyle name="Normal 2 2 12 2 7 2 3" xfId="10979" xr:uid="{00000000-0005-0000-0000-0000BD130000}"/>
    <cellStyle name="Normal 2 2 12 2 7 2 4" xfId="7629" xr:uid="{00000000-0005-0000-0000-0000BE130000}"/>
    <cellStyle name="Normal 2 2 12 2 7 3" xfId="4987" xr:uid="{00000000-0005-0000-0000-0000BF130000}"/>
    <cellStyle name="Normal 2 2 12 2 7 3 2" xfId="8337" xr:uid="{00000000-0005-0000-0000-0000C0130000}"/>
    <cellStyle name="Normal 2 2 12 2 7 4" xfId="10012" xr:uid="{00000000-0005-0000-0000-0000C1130000}"/>
    <cellStyle name="Normal 2 2 12 2 7 5" xfId="6662" xr:uid="{00000000-0005-0000-0000-0000C2130000}"/>
    <cellStyle name="Normal 2 2 12 2 8" xfId="3548" xr:uid="{00000000-0005-0000-0000-0000C3130000}"/>
    <cellStyle name="Normal 2 2 12 2 8 2" xfId="4515" xr:uid="{00000000-0005-0000-0000-0000C4130000}"/>
    <cellStyle name="Normal 2 2 12 2 8 2 2" xfId="6190" xr:uid="{00000000-0005-0000-0000-0000C5130000}"/>
    <cellStyle name="Normal 2 2 12 2 8 2 2 2" xfId="9540" xr:uid="{00000000-0005-0000-0000-0000C6130000}"/>
    <cellStyle name="Normal 2 2 12 2 8 2 3" xfId="11215" xr:uid="{00000000-0005-0000-0000-0000C7130000}"/>
    <cellStyle name="Normal 2 2 12 2 8 2 4" xfId="7865" xr:uid="{00000000-0005-0000-0000-0000C8130000}"/>
    <cellStyle name="Normal 2 2 12 2 8 3" xfId="5223" xr:uid="{00000000-0005-0000-0000-0000C9130000}"/>
    <cellStyle name="Normal 2 2 12 2 8 3 2" xfId="8573" xr:uid="{00000000-0005-0000-0000-0000CA130000}"/>
    <cellStyle name="Normal 2 2 12 2 8 4" xfId="10248" xr:uid="{00000000-0005-0000-0000-0000CB130000}"/>
    <cellStyle name="Normal 2 2 12 2 8 5" xfId="6898" xr:uid="{00000000-0005-0000-0000-0000CC130000}"/>
    <cellStyle name="Normal 2 2 12 2 9" xfId="3784" xr:uid="{00000000-0005-0000-0000-0000CD130000}"/>
    <cellStyle name="Normal 2 2 12 2 9 2" xfId="4043" xr:uid="{00000000-0005-0000-0000-0000CE130000}"/>
    <cellStyle name="Normal 2 2 12 2 9 2 2" xfId="5718" xr:uid="{00000000-0005-0000-0000-0000CF130000}"/>
    <cellStyle name="Normal 2 2 12 2 9 2 2 2" xfId="9068" xr:uid="{00000000-0005-0000-0000-0000D0130000}"/>
    <cellStyle name="Normal 2 2 12 2 9 2 3" xfId="10743" xr:uid="{00000000-0005-0000-0000-0000D1130000}"/>
    <cellStyle name="Normal 2 2 12 2 9 2 4" xfId="7393" xr:uid="{00000000-0005-0000-0000-0000D2130000}"/>
    <cellStyle name="Normal 2 2 12 2 9 3" xfId="5459" xr:uid="{00000000-0005-0000-0000-0000D3130000}"/>
    <cellStyle name="Normal 2 2 12 2 9 3 2" xfId="8809" xr:uid="{00000000-0005-0000-0000-0000D4130000}"/>
    <cellStyle name="Normal 2 2 12 2 9 4" xfId="10484" xr:uid="{00000000-0005-0000-0000-0000D5130000}"/>
    <cellStyle name="Normal 2 2 12 2 9 5" xfId="7134" xr:uid="{00000000-0005-0000-0000-0000D6130000}"/>
    <cellStyle name="Normal 2 2 12 3" xfId="2095" xr:uid="{00000000-0005-0000-0000-00007B080000}"/>
    <cellStyle name="Normal 2 2 12 4" xfId="3100" xr:uid="{00000000-0005-0000-0000-0000D8130000}"/>
    <cellStyle name="Normal 2 2 12 4 2" xfId="3217" xr:uid="{00000000-0005-0000-0000-0000D9130000}"/>
    <cellStyle name="Normal 2 2 12 4 2 2" xfId="3453" xr:uid="{00000000-0005-0000-0000-0000DA130000}"/>
    <cellStyle name="Normal 2 2 12 4 2 2 2" xfId="4419" xr:uid="{00000000-0005-0000-0000-0000DB130000}"/>
    <cellStyle name="Normal 2 2 12 4 2 2 2 2" xfId="6094" xr:uid="{00000000-0005-0000-0000-0000DC130000}"/>
    <cellStyle name="Normal 2 2 12 4 2 2 2 2 2" xfId="9444" xr:uid="{00000000-0005-0000-0000-0000DD130000}"/>
    <cellStyle name="Normal 2 2 12 4 2 2 2 3" xfId="11119" xr:uid="{00000000-0005-0000-0000-0000DE130000}"/>
    <cellStyle name="Normal 2 2 12 4 2 2 2 4" xfId="7769" xr:uid="{00000000-0005-0000-0000-0000DF130000}"/>
    <cellStyle name="Normal 2 2 12 4 2 2 3" xfId="5127" xr:uid="{00000000-0005-0000-0000-0000E0130000}"/>
    <cellStyle name="Normal 2 2 12 4 2 2 3 2" xfId="8477" xr:uid="{00000000-0005-0000-0000-0000E1130000}"/>
    <cellStyle name="Normal 2 2 12 4 2 2 4" xfId="10152" xr:uid="{00000000-0005-0000-0000-0000E2130000}"/>
    <cellStyle name="Normal 2 2 12 4 2 2 5" xfId="6802" xr:uid="{00000000-0005-0000-0000-0000E3130000}"/>
    <cellStyle name="Normal 2 2 12 4 2 3" xfId="3688" xr:uid="{00000000-0005-0000-0000-0000E4130000}"/>
    <cellStyle name="Normal 2 2 12 4 2 3 2" xfId="4655" xr:uid="{00000000-0005-0000-0000-0000E5130000}"/>
    <cellStyle name="Normal 2 2 12 4 2 3 2 2" xfId="6330" xr:uid="{00000000-0005-0000-0000-0000E6130000}"/>
    <cellStyle name="Normal 2 2 12 4 2 3 2 2 2" xfId="9680" xr:uid="{00000000-0005-0000-0000-0000E7130000}"/>
    <cellStyle name="Normal 2 2 12 4 2 3 2 3" xfId="11355" xr:uid="{00000000-0005-0000-0000-0000E8130000}"/>
    <cellStyle name="Normal 2 2 12 4 2 3 2 4" xfId="8005" xr:uid="{00000000-0005-0000-0000-0000E9130000}"/>
    <cellStyle name="Normal 2 2 12 4 2 3 3" xfId="5363" xr:uid="{00000000-0005-0000-0000-0000EA130000}"/>
    <cellStyle name="Normal 2 2 12 4 2 3 3 2" xfId="8713" xr:uid="{00000000-0005-0000-0000-0000EB130000}"/>
    <cellStyle name="Normal 2 2 12 4 2 3 4" xfId="10388" xr:uid="{00000000-0005-0000-0000-0000EC130000}"/>
    <cellStyle name="Normal 2 2 12 4 2 3 5" xfId="7038" xr:uid="{00000000-0005-0000-0000-0000ED130000}"/>
    <cellStyle name="Normal 2 2 12 4 2 4" xfId="3924" xr:uid="{00000000-0005-0000-0000-0000EE130000}"/>
    <cellStyle name="Normal 2 2 12 4 2 4 2" xfId="5599" xr:uid="{00000000-0005-0000-0000-0000EF130000}"/>
    <cellStyle name="Normal 2 2 12 4 2 4 2 2" xfId="8949" xr:uid="{00000000-0005-0000-0000-0000F0130000}"/>
    <cellStyle name="Normal 2 2 12 4 2 4 3" xfId="10624" xr:uid="{00000000-0005-0000-0000-0000F1130000}"/>
    <cellStyle name="Normal 2 2 12 4 2 4 4" xfId="7274" xr:uid="{00000000-0005-0000-0000-0000F2130000}"/>
    <cellStyle name="Normal 2 2 12 4 2 5" xfId="4183" xr:uid="{00000000-0005-0000-0000-0000F3130000}"/>
    <cellStyle name="Normal 2 2 12 4 2 5 2" xfId="5858" xr:uid="{00000000-0005-0000-0000-0000F4130000}"/>
    <cellStyle name="Normal 2 2 12 4 2 5 2 2" xfId="9208" xr:uid="{00000000-0005-0000-0000-0000F5130000}"/>
    <cellStyle name="Normal 2 2 12 4 2 5 3" xfId="10883" xr:uid="{00000000-0005-0000-0000-0000F6130000}"/>
    <cellStyle name="Normal 2 2 12 4 2 5 4" xfId="7533" xr:uid="{00000000-0005-0000-0000-0000F7130000}"/>
    <cellStyle name="Normal 2 2 12 4 2 6" xfId="4891" xr:uid="{00000000-0005-0000-0000-0000F8130000}"/>
    <cellStyle name="Normal 2 2 12 4 2 6 2" xfId="8241" xr:uid="{00000000-0005-0000-0000-0000F9130000}"/>
    <cellStyle name="Normal 2 2 12 4 2 7" xfId="9916" xr:uid="{00000000-0005-0000-0000-0000FA130000}"/>
    <cellStyle name="Normal 2 2 12 4 2 8" xfId="6566" xr:uid="{00000000-0005-0000-0000-0000FB130000}"/>
    <cellStyle name="Normal 2 2 12 4 3" xfId="3335" xr:uid="{00000000-0005-0000-0000-0000FC130000}"/>
    <cellStyle name="Normal 2 2 12 4 3 2" xfId="4301" xr:uid="{00000000-0005-0000-0000-0000FD130000}"/>
    <cellStyle name="Normal 2 2 12 4 3 2 2" xfId="5976" xr:uid="{00000000-0005-0000-0000-0000FE130000}"/>
    <cellStyle name="Normal 2 2 12 4 3 2 2 2" xfId="9326" xr:uid="{00000000-0005-0000-0000-0000FF130000}"/>
    <cellStyle name="Normal 2 2 12 4 3 2 3" xfId="11001" xr:uid="{00000000-0005-0000-0000-000000140000}"/>
    <cellStyle name="Normal 2 2 12 4 3 2 4" xfId="7651" xr:uid="{00000000-0005-0000-0000-000001140000}"/>
    <cellStyle name="Normal 2 2 12 4 3 3" xfId="5009" xr:uid="{00000000-0005-0000-0000-000002140000}"/>
    <cellStyle name="Normal 2 2 12 4 3 3 2" xfId="8359" xr:uid="{00000000-0005-0000-0000-000003140000}"/>
    <cellStyle name="Normal 2 2 12 4 3 4" xfId="10034" xr:uid="{00000000-0005-0000-0000-000004140000}"/>
    <cellStyle name="Normal 2 2 12 4 3 5" xfId="6684" xr:uid="{00000000-0005-0000-0000-000005140000}"/>
    <cellStyle name="Normal 2 2 12 4 4" xfId="3570" xr:uid="{00000000-0005-0000-0000-000006140000}"/>
    <cellStyle name="Normal 2 2 12 4 4 2" xfId="4537" xr:uid="{00000000-0005-0000-0000-000007140000}"/>
    <cellStyle name="Normal 2 2 12 4 4 2 2" xfId="6212" xr:uid="{00000000-0005-0000-0000-000008140000}"/>
    <cellStyle name="Normal 2 2 12 4 4 2 2 2" xfId="9562" xr:uid="{00000000-0005-0000-0000-000009140000}"/>
    <cellStyle name="Normal 2 2 12 4 4 2 3" xfId="11237" xr:uid="{00000000-0005-0000-0000-00000A140000}"/>
    <cellStyle name="Normal 2 2 12 4 4 2 4" xfId="7887" xr:uid="{00000000-0005-0000-0000-00000B140000}"/>
    <cellStyle name="Normal 2 2 12 4 4 3" xfId="5245" xr:uid="{00000000-0005-0000-0000-00000C140000}"/>
    <cellStyle name="Normal 2 2 12 4 4 3 2" xfId="8595" xr:uid="{00000000-0005-0000-0000-00000D140000}"/>
    <cellStyle name="Normal 2 2 12 4 4 4" xfId="10270" xr:uid="{00000000-0005-0000-0000-00000E140000}"/>
    <cellStyle name="Normal 2 2 12 4 4 5" xfId="6920" xr:uid="{00000000-0005-0000-0000-00000F140000}"/>
    <cellStyle name="Normal 2 2 12 4 5" xfId="3806" xr:uid="{00000000-0005-0000-0000-000010140000}"/>
    <cellStyle name="Normal 2 2 12 4 5 2" xfId="5481" xr:uid="{00000000-0005-0000-0000-000011140000}"/>
    <cellStyle name="Normal 2 2 12 4 5 2 2" xfId="8831" xr:uid="{00000000-0005-0000-0000-000012140000}"/>
    <cellStyle name="Normal 2 2 12 4 5 3" xfId="10506" xr:uid="{00000000-0005-0000-0000-000013140000}"/>
    <cellStyle name="Normal 2 2 12 4 5 4" xfId="7156" xr:uid="{00000000-0005-0000-0000-000014140000}"/>
    <cellStyle name="Normal 2 2 12 4 6" xfId="4065" xr:uid="{00000000-0005-0000-0000-000015140000}"/>
    <cellStyle name="Normal 2 2 12 4 6 2" xfId="5740" xr:uid="{00000000-0005-0000-0000-000016140000}"/>
    <cellStyle name="Normal 2 2 12 4 6 2 2" xfId="9090" xr:uid="{00000000-0005-0000-0000-000017140000}"/>
    <cellStyle name="Normal 2 2 12 4 6 3" xfId="10765" xr:uid="{00000000-0005-0000-0000-000018140000}"/>
    <cellStyle name="Normal 2 2 12 4 6 4" xfId="7415" xr:uid="{00000000-0005-0000-0000-000019140000}"/>
    <cellStyle name="Normal 2 2 12 4 7" xfId="4773" xr:uid="{00000000-0005-0000-0000-00001A140000}"/>
    <cellStyle name="Normal 2 2 12 4 7 2" xfId="8123" xr:uid="{00000000-0005-0000-0000-00001B140000}"/>
    <cellStyle name="Normal 2 2 12 4 8" xfId="9798" xr:uid="{00000000-0005-0000-0000-00001C140000}"/>
    <cellStyle name="Normal 2 2 12 4 9" xfId="6448" xr:uid="{00000000-0005-0000-0000-00001D140000}"/>
    <cellStyle name="Normal 2 2 12 5" xfId="3123" xr:uid="{00000000-0005-0000-0000-00001E140000}"/>
    <cellStyle name="Normal 2 2 12 5 2" xfId="3240" xr:uid="{00000000-0005-0000-0000-00001F140000}"/>
    <cellStyle name="Normal 2 2 12 5 2 2" xfId="3476" xr:uid="{00000000-0005-0000-0000-000020140000}"/>
    <cellStyle name="Normal 2 2 12 5 2 2 2" xfId="4442" xr:uid="{00000000-0005-0000-0000-000021140000}"/>
    <cellStyle name="Normal 2 2 12 5 2 2 2 2" xfId="6117" xr:uid="{00000000-0005-0000-0000-000022140000}"/>
    <cellStyle name="Normal 2 2 12 5 2 2 2 2 2" xfId="9467" xr:uid="{00000000-0005-0000-0000-000023140000}"/>
    <cellStyle name="Normal 2 2 12 5 2 2 2 3" xfId="11142" xr:uid="{00000000-0005-0000-0000-000024140000}"/>
    <cellStyle name="Normal 2 2 12 5 2 2 2 4" xfId="7792" xr:uid="{00000000-0005-0000-0000-000025140000}"/>
    <cellStyle name="Normal 2 2 12 5 2 2 3" xfId="5150" xr:uid="{00000000-0005-0000-0000-000026140000}"/>
    <cellStyle name="Normal 2 2 12 5 2 2 3 2" xfId="8500" xr:uid="{00000000-0005-0000-0000-000027140000}"/>
    <cellStyle name="Normal 2 2 12 5 2 2 4" xfId="10175" xr:uid="{00000000-0005-0000-0000-000028140000}"/>
    <cellStyle name="Normal 2 2 12 5 2 2 5" xfId="6825" xr:uid="{00000000-0005-0000-0000-000029140000}"/>
    <cellStyle name="Normal 2 2 12 5 2 3" xfId="3711" xr:uid="{00000000-0005-0000-0000-00002A140000}"/>
    <cellStyle name="Normal 2 2 12 5 2 3 2" xfId="4678" xr:uid="{00000000-0005-0000-0000-00002B140000}"/>
    <cellStyle name="Normal 2 2 12 5 2 3 2 2" xfId="6353" xr:uid="{00000000-0005-0000-0000-00002C140000}"/>
    <cellStyle name="Normal 2 2 12 5 2 3 2 2 2" xfId="9703" xr:uid="{00000000-0005-0000-0000-00002D140000}"/>
    <cellStyle name="Normal 2 2 12 5 2 3 2 3" xfId="11378" xr:uid="{00000000-0005-0000-0000-00002E140000}"/>
    <cellStyle name="Normal 2 2 12 5 2 3 2 4" xfId="8028" xr:uid="{00000000-0005-0000-0000-00002F140000}"/>
    <cellStyle name="Normal 2 2 12 5 2 3 3" xfId="5386" xr:uid="{00000000-0005-0000-0000-000030140000}"/>
    <cellStyle name="Normal 2 2 12 5 2 3 3 2" xfId="8736" xr:uid="{00000000-0005-0000-0000-000031140000}"/>
    <cellStyle name="Normal 2 2 12 5 2 3 4" xfId="10411" xr:uid="{00000000-0005-0000-0000-000032140000}"/>
    <cellStyle name="Normal 2 2 12 5 2 3 5" xfId="7061" xr:uid="{00000000-0005-0000-0000-000033140000}"/>
    <cellStyle name="Normal 2 2 12 5 2 4" xfId="3947" xr:uid="{00000000-0005-0000-0000-000034140000}"/>
    <cellStyle name="Normal 2 2 12 5 2 4 2" xfId="5622" xr:uid="{00000000-0005-0000-0000-000035140000}"/>
    <cellStyle name="Normal 2 2 12 5 2 4 2 2" xfId="8972" xr:uid="{00000000-0005-0000-0000-000036140000}"/>
    <cellStyle name="Normal 2 2 12 5 2 4 3" xfId="10647" xr:uid="{00000000-0005-0000-0000-000037140000}"/>
    <cellStyle name="Normal 2 2 12 5 2 4 4" xfId="7297" xr:uid="{00000000-0005-0000-0000-000038140000}"/>
    <cellStyle name="Normal 2 2 12 5 2 5" xfId="4206" xr:uid="{00000000-0005-0000-0000-000039140000}"/>
    <cellStyle name="Normal 2 2 12 5 2 5 2" xfId="5881" xr:uid="{00000000-0005-0000-0000-00003A140000}"/>
    <cellStyle name="Normal 2 2 12 5 2 5 2 2" xfId="9231" xr:uid="{00000000-0005-0000-0000-00003B140000}"/>
    <cellStyle name="Normal 2 2 12 5 2 5 3" xfId="10906" xr:uid="{00000000-0005-0000-0000-00003C140000}"/>
    <cellStyle name="Normal 2 2 12 5 2 5 4" xfId="7556" xr:uid="{00000000-0005-0000-0000-00003D140000}"/>
    <cellStyle name="Normal 2 2 12 5 2 6" xfId="4914" xr:uid="{00000000-0005-0000-0000-00003E140000}"/>
    <cellStyle name="Normal 2 2 12 5 2 6 2" xfId="8264" xr:uid="{00000000-0005-0000-0000-00003F140000}"/>
    <cellStyle name="Normal 2 2 12 5 2 7" xfId="9939" xr:uid="{00000000-0005-0000-0000-000040140000}"/>
    <cellStyle name="Normal 2 2 12 5 2 8" xfId="6589" xr:uid="{00000000-0005-0000-0000-000041140000}"/>
    <cellStyle name="Normal 2 2 12 5 3" xfId="3358" xr:uid="{00000000-0005-0000-0000-000042140000}"/>
    <cellStyle name="Normal 2 2 12 5 3 2" xfId="4324" xr:uid="{00000000-0005-0000-0000-000043140000}"/>
    <cellStyle name="Normal 2 2 12 5 3 2 2" xfId="5999" xr:uid="{00000000-0005-0000-0000-000044140000}"/>
    <cellStyle name="Normal 2 2 12 5 3 2 2 2" xfId="9349" xr:uid="{00000000-0005-0000-0000-000045140000}"/>
    <cellStyle name="Normal 2 2 12 5 3 2 3" xfId="11024" xr:uid="{00000000-0005-0000-0000-000046140000}"/>
    <cellStyle name="Normal 2 2 12 5 3 2 4" xfId="7674" xr:uid="{00000000-0005-0000-0000-000047140000}"/>
    <cellStyle name="Normal 2 2 12 5 3 3" xfId="5032" xr:uid="{00000000-0005-0000-0000-000048140000}"/>
    <cellStyle name="Normal 2 2 12 5 3 3 2" xfId="8382" xr:uid="{00000000-0005-0000-0000-000049140000}"/>
    <cellStyle name="Normal 2 2 12 5 3 4" xfId="10057" xr:uid="{00000000-0005-0000-0000-00004A140000}"/>
    <cellStyle name="Normal 2 2 12 5 3 5" xfId="6707" xr:uid="{00000000-0005-0000-0000-00004B140000}"/>
    <cellStyle name="Normal 2 2 12 5 4" xfId="3593" xr:uid="{00000000-0005-0000-0000-00004C140000}"/>
    <cellStyle name="Normal 2 2 12 5 4 2" xfId="4560" xr:uid="{00000000-0005-0000-0000-00004D140000}"/>
    <cellStyle name="Normal 2 2 12 5 4 2 2" xfId="6235" xr:uid="{00000000-0005-0000-0000-00004E140000}"/>
    <cellStyle name="Normal 2 2 12 5 4 2 2 2" xfId="9585" xr:uid="{00000000-0005-0000-0000-00004F140000}"/>
    <cellStyle name="Normal 2 2 12 5 4 2 3" xfId="11260" xr:uid="{00000000-0005-0000-0000-000050140000}"/>
    <cellStyle name="Normal 2 2 12 5 4 2 4" xfId="7910" xr:uid="{00000000-0005-0000-0000-000051140000}"/>
    <cellStyle name="Normal 2 2 12 5 4 3" xfId="5268" xr:uid="{00000000-0005-0000-0000-000052140000}"/>
    <cellStyle name="Normal 2 2 12 5 4 3 2" xfId="8618" xr:uid="{00000000-0005-0000-0000-000053140000}"/>
    <cellStyle name="Normal 2 2 12 5 4 4" xfId="10293" xr:uid="{00000000-0005-0000-0000-000054140000}"/>
    <cellStyle name="Normal 2 2 12 5 4 5" xfId="6943" xr:uid="{00000000-0005-0000-0000-000055140000}"/>
    <cellStyle name="Normal 2 2 12 5 5" xfId="3829" xr:uid="{00000000-0005-0000-0000-000056140000}"/>
    <cellStyle name="Normal 2 2 12 5 5 2" xfId="5504" xr:uid="{00000000-0005-0000-0000-000057140000}"/>
    <cellStyle name="Normal 2 2 12 5 5 2 2" xfId="8854" xr:uid="{00000000-0005-0000-0000-000058140000}"/>
    <cellStyle name="Normal 2 2 12 5 5 3" xfId="10529" xr:uid="{00000000-0005-0000-0000-000059140000}"/>
    <cellStyle name="Normal 2 2 12 5 5 4" xfId="7179" xr:uid="{00000000-0005-0000-0000-00005A140000}"/>
    <cellStyle name="Normal 2 2 12 5 6" xfId="4088" xr:uid="{00000000-0005-0000-0000-00005B140000}"/>
    <cellStyle name="Normal 2 2 12 5 6 2" xfId="5763" xr:uid="{00000000-0005-0000-0000-00005C140000}"/>
    <cellStyle name="Normal 2 2 12 5 6 2 2" xfId="9113" xr:uid="{00000000-0005-0000-0000-00005D140000}"/>
    <cellStyle name="Normal 2 2 12 5 6 3" xfId="10788" xr:uid="{00000000-0005-0000-0000-00005E140000}"/>
    <cellStyle name="Normal 2 2 12 5 6 4" xfId="7438" xr:uid="{00000000-0005-0000-0000-00005F140000}"/>
    <cellStyle name="Normal 2 2 12 5 7" xfId="4796" xr:uid="{00000000-0005-0000-0000-000060140000}"/>
    <cellStyle name="Normal 2 2 12 5 7 2" xfId="8146" xr:uid="{00000000-0005-0000-0000-000061140000}"/>
    <cellStyle name="Normal 2 2 12 5 8" xfId="9821" xr:uid="{00000000-0005-0000-0000-000062140000}"/>
    <cellStyle name="Normal 2 2 12 5 9" xfId="6471" xr:uid="{00000000-0005-0000-0000-000063140000}"/>
    <cellStyle name="Normal 2 2 12 6" xfId="3146" xr:uid="{00000000-0005-0000-0000-000064140000}"/>
    <cellStyle name="Normal 2 2 12 6 2" xfId="3264" xr:uid="{00000000-0005-0000-0000-000065140000}"/>
    <cellStyle name="Normal 2 2 12 6 2 2" xfId="3500" xr:uid="{00000000-0005-0000-0000-000066140000}"/>
    <cellStyle name="Normal 2 2 12 6 2 2 2" xfId="4466" xr:uid="{00000000-0005-0000-0000-000067140000}"/>
    <cellStyle name="Normal 2 2 12 6 2 2 2 2" xfId="6141" xr:uid="{00000000-0005-0000-0000-000068140000}"/>
    <cellStyle name="Normal 2 2 12 6 2 2 2 2 2" xfId="9491" xr:uid="{00000000-0005-0000-0000-000069140000}"/>
    <cellStyle name="Normal 2 2 12 6 2 2 2 3" xfId="11166" xr:uid="{00000000-0005-0000-0000-00006A140000}"/>
    <cellStyle name="Normal 2 2 12 6 2 2 2 4" xfId="7816" xr:uid="{00000000-0005-0000-0000-00006B140000}"/>
    <cellStyle name="Normal 2 2 12 6 2 2 3" xfId="5174" xr:uid="{00000000-0005-0000-0000-00006C140000}"/>
    <cellStyle name="Normal 2 2 12 6 2 2 3 2" xfId="8524" xr:uid="{00000000-0005-0000-0000-00006D140000}"/>
    <cellStyle name="Normal 2 2 12 6 2 2 4" xfId="10199" xr:uid="{00000000-0005-0000-0000-00006E140000}"/>
    <cellStyle name="Normal 2 2 12 6 2 2 5" xfId="6849" xr:uid="{00000000-0005-0000-0000-00006F140000}"/>
    <cellStyle name="Normal 2 2 12 6 2 3" xfId="3735" xr:uid="{00000000-0005-0000-0000-000070140000}"/>
    <cellStyle name="Normal 2 2 12 6 2 3 2" xfId="4702" xr:uid="{00000000-0005-0000-0000-000071140000}"/>
    <cellStyle name="Normal 2 2 12 6 2 3 2 2" xfId="6377" xr:uid="{00000000-0005-0000-0000-000072140000}"/>
    <cellStyle name="Normal 2 2 12 6 2 3 2 2 2" xfId="9727" xr:uid="{00000000-0005-0000-0000-000073140000}"/>
    <cellStyle name="Normal 2 2 12 6 2 3 2 3" xfId="11402" xr:uid="{00000000-0005-0000-0000-000074140000}"/>
    <cellStyle name="Normal 2 2 12 6 2 3 2 4" xfId="8052" xr:uid="{00000000-0005-0000-0000-000075140000}"/>
    <cellStyle name="Normal 2 2 12 6 2 3 3" xfId="5410" xr:uid="{00000000-0005-0000-0000-000076140000}"/>
    <cellStyle name="Normal 2 2 12 6 2 3 3 2" xfId="8760" xr:uid="{00000000-0005-0000-0000-000077140000}"/>
    <cellStyle name="Normal 2 2 12 6 2 3 4" xfId="10435" xr:uid="{00000000-0005-0000-0000-000078140000}"/>
    <cellStyle name="Normal 2 2 12 6 2 3 5" xfId="7085" xr:uid="{00000000-0005-0000-0000-000079140000}"/>
    <cellStyle name="Normal 2 2 12 6 2 4" xfId="3971" xr:uid="{00000000-0005-0000-0000-00007A140000}"/>
    <cellStyle name="Normal 2 2 12 6 2 4 2" xfId="5646" xr:uid="{00000000-0005-0000-0000-00007B140000}"/>
    <cellStyle name="Normal 2 2 12 6 2 4 2 2" xfId="8996" xr:uid="{00000000-0005-0000-0000-00007C140000}"/>
    <cellStyle name="Normal 2 2 12 6 2 4 3" xfId="10671" xr:uid="{00000000-0005-0000-0000-00007D140000}"/>
    <cellStyle name="Normal 2 2 12 6 2 4 4" xfId="7321" xr:uid="{00000000-0005-0000-0000-00007E140000}"/>
    <cellStyle name="Normal 2 2 12 6 2 5" xfId="4230" xr:uid="{00000000-0005-0000-0000-00007F140000}"/>
    <cellStyle name="Normal 2 2 12 6 2 5 2" xfId="5905" xr:uid="{00000000-0005-0000-0000-000080140000}"/>
    <cellStyle name="Normal 2 2 12 6 2 5 2 2" xfId="9255" xr:uid="{00000000-0005-0000-0000-000081140000}"/>
    <cellStyle name="Normal 2 2 12 6 2 5 3" xfId="10930" xr:uid="{00000000-0005-0000-0000-000082140000}"/>
    <cellStyle name="Normal 2 2 12 6 2 5 4" xfId="7580" xr:uid="{00000000-0005-0000-0000-000083140000}"/>
    <cellStyle name="Normal 2 2 12 6 2 6" xfId="4938" xr:uid="{00000000-0005-0000-0000-000084140000}"/>
    <cellStyle name="Normal 2 2 12 6 2 6 2" xfId="8288" xr:uid="{00000000-0005-0000-0000-000085140000}"/>
    <cellStyle name="Normal 2 2 12 6 2 7" xfId="9963" xr:uid="{00000000-0005-0000-0000-000086140000}"/>
    <cellStyle name="Normal 2 2 12 6 2 8" xfId="6613" xr:uid="{00000000-0005-0000-0000-000087140000}"/>
    <cellStyle name="Normal 2 2 12 6 3" xfId="3382" xr:uid="{00000000-0005-0000-0000-000088140000}"/>
    <cellStyle name="Normal 2 2 12 6 3 2" xfId="4348" xr:uid="{00000000-0005-0000-0000-000089140000}"/>
    <cellStyle name="Normal 2 2 12 6 3 2 2" xfId="6023" xr:uid="{00000000-0005-0000-0000-00008A140000}"/>
    <cellStyle name="Normal 2 2 12 6 3 2 2 2" xfId="9373" xr:uid="{00000000-0005-0000-0000-00008B140000}"/>
    <cellStyle name="Normal 2 2 12 6 3 2 3" xfId="11048" xr:uid="{00000000-0005-0000-0000-00008C140000}"/>
    <cellStyle name="Normal 2 2 12 6 3 2 4" xfId="7698" xr:uid="{00000000-0005-0000-0000-00008D140000}"/>
    <cellStyle name="Normal 2 2 12 6 3 3" xfId="5056" xr:uid="{00000000-0005-0000-0000-00008E140000}"/>
    <cellStyle name="Normal 2 2 12 6 3 3 2" xfId="8406" xr:uid="{00000000-0005-0000-0000-00008F140000}"/>
    <cellStyle name="Normal 2 2 12 6 3 4" xfId="10081" xr:uid="{00000000-0005-0000-0000-000090140000}"/>
    <cellStyle name="Normal 2 2 12 6 3 5" xfId="6731" xr:uid="{00000000-0005-0000-0000-000091140000}"/>
    <cellStyle name="Normal 2 2 12 6 4" xfId="3617" xr:uid="{00000000-0005-0000-0000-000092140000}"/>
    <cellStyle name="Normal 2 2 12 6 4 2" xfId="4584" xr:uid="{00000000-0005-0000-0000-000093140000}"/>
    <cellStyle name="Normal 2 2 12 6 4 2 2" xfId="6259" xr:uid="{00000000-0005-0000-0000-000094140000}"/>
    <cellStyle name="Normal 2 2 12 6 4 2 2 2" xfId="9609" xr:uid="{00000000-0005-0000-0000-000095140000}"/>
    <cellStyle name="Normal 2 2 12 6 4 2 3" xfId="11284" xr:uid="{00000000-0005-0000-0000-000096140000}"/>
    <cellStyle name="Normal 2 2 12 6 4 2 4" xfId="7934" xr:uid="{00000000-0005-0000-0000-000097140000}"/>
    <cellStyle name="Normal 2 2 12 6 4 3" xfId="5292" xr:uid="{00000000-0005-0000-0000-000098140000}"/>
    <cellStyle name="Normal 2 2 12 6 4 3 2" xfId="8642" xr:uid="{00000000-0005-0000-0000-000099140000}"/>
    <cellStyle name="Normal 2 2 12 6 4 4" xfId="10317" xr:uid="{00000000-0005-0000-0000-00009A140000}"/>
    <cellStyle name="Normal 2 2 12 6 4 5" xfId="6967" xr:uid="{00000000-0005-0000-0000-00009B140000}"/>
    <cellStyle name="Normal 2 2 12 6 5" xfId="3853" xr:uid="{00000000-0005-0000-0000-00009C140000}"/>
    <cellStyle name="Normal 2 2 12 6 5 2" xfId="5528" xr:uid="{00000000-0005-0000-0000-00009D140000}"/>
    <cellStyle name="Normal 2 2 12 6 5 2 2" xfId="8878" xr:uid="{00000000-0005-0000-0000-00009E140000}"/>
    <cellStyle name="Normal 2 2 12 6 5 3" xfId="10553" xr:uid="{00000000-0005-0000-0000-00009F140000}"/>
    <cellStyle name="Normal 2 2 12 6 5 4" xfId="7203" xr:uid="{00000000-0005-0000-0000-0000A0140000}"/>
    <cellStyle name="Normal 2 2 12 6 6" xfId="4112" xr:uid="{00000000-0005-0000-0000-0000A1140000}"/>
    <cellStyle name="Normal 2 2 12 6 6 2" xfId="5787" xr:uid="{00000000-0005-0000-0000-0000A2140000}"/>
    <cellStyle name="Normal 2 2 12 6 6 2 2" xfId="9137" xr:uid="{00000000-0005-0000-0000-0000A3140000}"/>
    <cellStyle name="Normal 2 2 12 6 6 3" xfId="10812" xr:uid="{00000000-0005-0000-0000-0000A4140000}"/>
    <cellStyle name="Normal 2 2 12 6 6 4" xfId="7462" xr:uid="{00000000-0005-0000-0000-0000A5140000}"/>
    <cellStyle name="Normal 2 2 12 6 7" xfId="4820" xr:uid="{00000000-0005-0000-0000-0000A6140000}"/>
    <cellStyle name="Normal 2 2 12 6 7 2" xfId="8170" xr:uid="{00000000-0005-0000-0000-0000A7140000}"/>
    <cellStyle name="Normal 2 2 12 6 8" xfId="9845" xr:uid="{00000000-0005-0000-0000-0000A8140000}"/>
    <cellStyle name="Normal 2 2 12 6 9" xfId="6495" xr:uid="{00000000-0005-0000-0000-0000A9140000}"/>
    <cellStyle name="Normal 2 2 12 7" xfId="3170" xr:uid="{00000000-0005-0000-0000-0000AA140000}"/>
    <cellStyle name="Normal 2 2 12 7 2" xfId="3288" xr:uid="{00000000-0005-0000-0000-0000AB140000}"/>
    <cellStyle name="Normal 2 2 12 7 2 2" xfId="3524" xr:uid="{00000000-0005-0000-0000-0000AC140000}"/>
    <cellStyle name="Normal 2 2 12 7 2 2 2" xfId="4490" xr:uid="{00000000-0005-0000-0000-0000AD140000}"/>
    <cellStyle name="Normal 2 2 12 7 2 2 2 2" xfId="6165" xr:uid="{00000000-0005-0000-0000-0000AE140000}"/>
    <cellStyle name="Normal 2 2 12 7 2 2 2 2 2" xfId="9515" xr:uid="{00000000-0005-0000-0000-0000AF140000}"/>
    <cellStyle name="Normal 2 2 12 7 2 2 2 3" xfId="11190" xr:uid="{00000000-0005-0000-0000-0000B0140000}"/>
    <cellStyle name="Normal 2 2 12 7 2 2 2 4" xfId="7840" xr:uid="{00000000-0005-0000-0000-0000B1140000}"/>
    <cellStyle name="Normal 2 2 12 7 2 2 3" xfId="5198" xr:uid="{00000000-0005-0000-0000-0000B2140000}"/>
    <cellStyle name="Normal 2 2 12 7 2 2 3 2" xfId="8548" xr:uid="{00000000-0005-0000-0000-0000B3140000}"/>
    <cellStyle name="Normal 2 2 12 7 2 2 4" xfId="10223" xr:uid="{00000000-0005-0000-0000-0000B4140000}"/>
    <cellStyle name="Normal 2 2 12 7 2 2 5" xfId="6873" xr:uid="{00000000-0005-0000-0000-0000B5140000}"/>
    <cellStyle name="Normal 2 2 12 7 2 3" xfId="3759" xr:uid="{00000000-0005-0000-0000-0000B6140000}"/>
    <cellStyle name="Normal 2 2 12 7 2 3 2" xfId="4726" xr:uid="{00000000-0005-0000-0000-0000B7140000}"/>
    <cellStyle name="Normal 2 2 12 7 2 3 2 2" xfId="6401" xr:uid="{00000000-0005-0000-0000-0000B8140000}"/>
    <cellStyle name="Normal 2 2 12 7 2 3 2 2 2" xfId="9751" xr:uid="{00000000-0005-0000-0000-0000B9140000}"/>
    <cellStyle name="Normal 2 2 12 7 2 3 2 3" xfId="11426" xr:uid="{00000000-0005-0000-0000-0000BA140000}"/>
    <cellStyle name="Normal 2 2 12 7 2 3 2 4" xfId="8076" xr:uid="{00000000-0005-0000-0000-0000BB140000}"/>
    <cellStyle name="Normal 2 2 12 7 2 3 3" xfId="5434" xr:uid="{00000000-0005-0000-0000-0000BC140000}"/>
    <cellStyle name="Normal 2 2 12 7 2 3 3 2" xfId="8784" xr:uid="{00000000-0005-0000-0000-0000BD140000}"/>
    <cellStyle name="Normal 2 2 12 7 2 3 4" xfId="10459" xr:uid="{00000000-0005-0000-0000-0000BE140000}"/>
    <cellStyle name="Normal 2 2 12 7 2 3 5" xfId="7109" xr:uid="{00000000-0005-0000-0000-0000BF140000}"/>
    <cellStyle name="Normal 2 2 12 7 2 4" xfId="3995" xr:uid="{00000000-0005-0000-0000-0000C0140000}"/>
    <cellStyle name="Normal 2 2 12 7 2 4 2" xfId="5670" xr:uid="{00000000-0005-0000-0000-0000C1140000}"/>
    <cellStyle name="Normal 2 2 12 7 2 4 2 2" xfId="9020" xr:uid="{00000000-0005-0000-0000-0000C2140000}"/>
    <cellStyle name="Normal 2 2 12 7 2 4 3" xfId="10695" xr:uid="{00000000-0005-0000-0000-0000C3140000}"/>
    <cellStyle name="Normal 2 2 12 7 2 4 4" xfId="7345" xr:uid="{00000000-0005-0000-0000-0000C4140000}"/>
    <cellStyle name="Normal 2 2 12 7 2 5" xfId="4254" xr:uid="{00000000-0005-0000-0000-0000C5140000}"/>
    <cellStyle name="Normal 2 2 12 7 2 5 2" xfId="5929" xr:uid="{00000000-0005-0000-0000-0000C6140000}"/>
    <cellStyle name="Normal 2 2 12 7 2 5 2 2" xfId="9279" xr:uid="{00000000-0005-0000-0000-0000C7140000}"/>
    <cellStyle name="Normal 2 2 12 7 2 5 3" xfId="10954" xr:uid="{00000000-0005-0000-0000-0000C8140000}"/>
    <cellStyle name="Normal 2 2 12 7 2 5 4" xfId="7604" xr:uid="{00000000-0005-0000-0000-0000C9140000}"/>
    <cellStyle name="Normal 2 2 12 7 2 6" xfId="4962" xr:uid="{00000000-0005-0000-0000-0000CA140000}"/>
    <cellStyle name="Normal 2 2 12 7 2 6 2" xfId="8312" xr:uid="{00000000-0005-0000-0000-0000CB140000}"/>
    <cellStyle name="Normal 2 2 12 7 2 7" xfId="9987" xr:uid="{00000000-0005-0000-0000-0000CC140000}"/>
    <cellStyle name="Normal 2 2 12 7 2 8" xfId="6637" xr:uid="{00000000-0005-0000-0000-0000CD140000}"/>
    <cellStyle name="Normal 2 2 12 7 3" xfId="3406" xr:uid="{00000000-0005-0000-0000-0000CE140000}"/>
    <cellStyle name="Normal 2 2 12 7 3 2" xfId="4372" xr:uid="{00000000-0005-0000-0000-0000CF140000}"/>
    <cellStyle name="Normal 2 2 12 7 3 2 2" xfId="6047" xr:uid="{00000000-0005-0000-0000-0000D0140000}"/>
    <cellStyle name="Normal 2 2 12 7 3 2 2 2" xfId="9397" xr:uid="{00000000-0005-0000-0000-0000D1140000}"/>
    <cellStyle name="Normal 2 2 12 7 3 2 3" xfId="11072" xr:uid="{00000000-0005-0000-0000-0000D2140000}"/>
    <cellStyle name="Normal 2 2 12 7 3 2 4" xfId="7722" xr:uid="{00000000-0005-0000-0000-0000D3140000}"/>
    <cellStyle name="Normal 2 2 12 7 3 3" xfId="5080" xr:uid="{00000000-0005-0000-0000-0000D4140000}"/>
    <cellStyle name="Normal 2 2 12 7 3 3 2" xfId="8430" xr:uid="{00000000-0005-0000-0000-0000D5140000}"/>
    <cellStyle name="Normal 2 2 12 7 3 4" xfId="10105" xr:uid="{00000000-0005-0000-0000-0000D6140000}"/>
    <cellStyle name="Normal 2 2 12 7 3 5" xfId="6755" xr:uid="{00000000-0005-0000-0000-0000D7140000}"/>
    <cellStyle name="Normal 2 2 12 7 4" xfId="3641" xr:uid="{00000000-0005-0000-0000-0000D8140000}"/>
    <cellStyle name="Normal 2 2 12 7 4 2" xfId="4608" xr:uid="{00000000-0005-0000-0000-0000D9140000}"/>
    <cellStyle name="Normal 2 2 12 7 4 2 2" xfId="6283" xr:uid="{00000000-0005-0000-0000-0000DA140000}"/>
    <cellStyle name="Normal 2 2 12 7 4 2 2 2" xfId="9633" xr:uid="{00000000-0005-0000-0000-0000DB140000}"/>
    <cellStyle name="Normal 2 2 12 7 4 2 3" xfId="11308" xr:uid="{00000000-0005-0000-0000-0000DC140000}"/>
    <cellStyle name="Normal 2 2 12 7 4 2 4" xfId="7958" xr:uid="{00000000-0005-0000-0000-0000DD140000}"/>
    <cellStyle name="Normal 2 2 12 7 4 3" xfId="5316" xr:uid="{00000000-0005-0000-0000-0000DE140000}"/>
    <cellStyle name="Normal 2 2 12 7 4 3 2" xfId="8666" xr:uid="{00000000-0005-0000-0000-0000DF140000}"/>
    <cellStyle name="Normal 2 2 12 7 4 4" xfId="10341" xr:uid="{00000000-0005-0000-0000-0000E0140000}"/>
    <cellStyle name="Normal 2 2 12 7 4 5" xfId="6991" xr:uid="{00000000-0005-0000-0000-0000E1140000}"/>
    <cellStyle name="Normal 2 2 12 7 5" xfId="3877" xr:uid="{00000000-0005-0000-0000-0000E2140000}"/>
    <cellStyle name="Normal 2 2 12 7 5 2" xfId="5552" xr:uid="{00000000-0005-0000-0000-0000E3140000}"/>
    <cellStyle name="Normal 2 2 12 7 5 2 2" xfId="8902" xr:uid="{00000000-0005-0000-0000-0000E4140000}"/>
    <cellStyle name="Normal 2 2 12 7 5 3" xfId="10577" xr:uid="{00000000-0005-0000-0000-0000E5140000}"/>
    <cellStyle name="Normal 2 2 12 7 5 4" xfId="7227" xr:uid="{00000000-0005-0000-0000-0000E6140000}"/>
    <cellStyle name="Normal 2 2 12 7 6" xfId="4136" xr:uid="{00000000-0005-0000-0000-0000E7140000}"/>
    <cellStyle name="Normal 2 2 12 7 6 2" xfId="5811" xr:uid="{00000000-0005-0000-0000-0000E8140000}"/>
    <cellStyle name="Normal 2 2 12 7 6 2 2" xfId="9161" xr:uid="{00000000-0005-0000-0000-0000E9140000}"/>
    <cellStyle name="Normal 2 2 12 7 6 3" xfId="10836" xr:uid="{00000000-0005-0000-0000-0000EA140000}"/>
    <cellStyle name="Normal 2 2 12 7 6 4" xfId="7486" xr:uid="{00000000-0005-0000-0000-0000EB140000}"/>
    <cellStyle name="Normal 2 2 12 7 7" xfId="4844" xr:uid="{00000000-0005-0000-0000-0000EC140000}"/>
    <cellStyle name="Normal 2 2 12 7 7 2" xfId="8194" xr:uid="{00000000-0005-0000-0000-0000ED140000}"/>
    <cellStyle name="Normal 2 2 12 7 8" xfId="9869" xr:uid="{00000000-0005-0000-0000-0000EE140000}"/>
    <cellStyle name="Normal 2 2 12 7 9" xfId="6519" xr:uid="{00000000-0005-0000-0000-0000EF140000}"/>
    <cellStyle name="Normal 2 2 12 8" xfId="3194" xr:uid="{00000000-0005-0000-0000-0000F0140000}"/>
    <cellStyle name="Normal 2 2 12 8 2" xfId="3430" xr:uid="{00000000-0005-0000-0000-0000F1140000}"/>
    <cellStyle name="Normal 2 2 12 8 2 2" xfId="4396" xr:uid="{00000000-0005-0000-0000-0000F2140000}"/>
    <cellStyle name="Normal 2 2 12 8 2 2 2" xfId="6071" xr:uid="{00000000-0005-0000-0000-0000F3140000}"/>
    <cellStyle name="Normal 2 2 12 8 2 2 2 2" xfId="9421" xr:uid="{00000000-0005-0000-0000-0000F4140000}"/>
    <cellStyle name="Normal 2 2 12 8 2 2 3" xfId="11096" xr:uid="{00000000-0005-0000-0000-0000F5140000}"/>
    <cellStyle name="Normal 2 2 12 8 2 2 4" xfId="7746" xr:uid="{00000000-0005-0000-0000-0000F6140000}"/>
    <cellStyle name="Normal 2 2 12 8 2 3" xfId="5104" xr:uid="{00000000-0005-0000-0000-0000F7140000}"/>
    <cellStyle name="Normal 2 2 12 8 2 3 2" xfId="8454" xr:uid="{00000000-0005-0000-0000-0000F8140000}"/>
    <cellStyle name="Normal 2 2 12 8 2 4" xfId="10129" xr:uid="{00000000-0005-0000-0000-0000F9140000}"/>
    <cellStyle name="Normal 2 2 12 8 2 5" xfId="6779" xr:uid="{00000000-0005-0000-0000-0000FA140000}"/>
    <cellStyle name="Normal 2 2 12 8 3" xfId="3665" xr:uid="{00000000-0005-0000-0000-0000FB140000}"/>
    <cellStyle name="Normal 2 2 12 8 3 2" xfId="4632" xr:uid="{00000000-0005-0000-0000-0000FC140000}"/>
    <cellStyle name="Normal 2 2 12 8 3 2 2" xfId="6307" xr:uid="{00000000-0005-0000-0000-0000FD140000}"/>
    <cellStyle name="Normal 2 2 12 8 3 2 2 2" xfId="9657" xr:uid="{00000000-0005-0000-0000-0000FE140000}"/>
    <cellStyle name="Normal 2 2 12 8 3 2 3" xfId="11332" xr:uid="{00000000-0005-0000-0000-0000FF140000}"/>
    <cellStyle name="Normal 2 2 12 8 3 2 4" xfId="7982" xr:uid="{00000000-0005-0000-0000-000000150000}"/>
    <cellStyle name="Normal 2 2 12 8 3 3" xfId="5340" xr:uid="{00000000-0005-0000-0000-000001150000}"/>
    <cellStyle name="Normal 2 2 12 8 3 3 2" xfId="8690" xr:uid="{00000000-0005-0000-0000-000002150000}"/>
    <cellStyle name="Normal 2 2 12 8 3 4" xfId="10365" xr:uid="{00000000-0005-0000-0000-000003150000}"/>
    <cellStyle name="Normal 2 2 12 8 3 5" xfId="7015" xr:uid="{00000000-0005-0000-0000-000004150000}"/>
    <cellStyle name="Normal 2 2 12 8 4" xfId="3901" xr:uid="{00000000-0005-0000-0000-000005150000}"/>
    <cellStyle name="Normal 2 2 12 8 4 2" xfId="5576" xr:uid="{00000000-0005-0000-0000-000006150000}"/>
    <cellStyle name="Normal 2 2 12 8 4 2 2" xfId="8926" xr:uid="{00000000-0005-0000-0000-000007150000}"/>
    <cellStyle name="Normal 2 2 12 8 4 3" xfId="10601" xr:uid="{00000000-0005-0000-0000-000008150000}"/>
    <cellStyle name="Normal 2 2 12 8 4 4" xfId="7251" xr:uid="{00000000-0005-0000-0000-000009150000}"/>
    <cellStyle name="Normal 2 2 12 8 5" xfId="4160" xr:uid="{00000000-0005-0000-0000-00000A150000}"/>
    <cellStyle name="Normal 2 2 12 8 5 2" xfId="5835" xr:uid="{00000000-0005-0000-0000-00000B150000}"/>
    <cellStyle name="Normal 2 2 12 8 5 2 2" xfId="9185" xr:uid="{00000000-0005-0000-0000-00000C150000}"/>
    <cellStyle name="Normal 2 2 12 8 5 3" xfId="10860" xr:uid="{00000000-0005-0000-0000-00000D150000}"/>
    <cellStyle name="Normal 2 2 12 8 5 4" xfId="7510" xr:uid="{00000000-0005-0000-0000-00000E150000}"/>
    <cellStyle name="Normal 2 2 12 8 6" xfId="4868" xr:uid="{00000000-0005-0000-0000-00000F150000}"/>
    <cellStyle name="Normal 2 2 12 8 6 2" xfId="8218" xr:uid="{00000000-0005-0000-0000-000010150000}"/>
    <cellStyle name="Normal 2 2 12 8 7" xfId="9893" xr:uid="{00000000-0005-0000-0000-000011150000}"/>
    <cellStyle name="Normal 2 2 12 8 8" xfId="6543" xr:uid="{00000000-0005-0000-0000-000012150000}"/>
    <cellStyle name="Normal 2 2 12 9" xfId="3312" xr:uid="{00000000-0005-0000-0000-000013150000}"/>
    <cellStyle name="Normal 2 2 12 9 2" xfId="4278" xr:uid="{00000000-0005-0000-0000-000014150000}"/>
    <cellStyle name="Normal 2 2 12 9 2 2" xfId="5953" xr:uid="{00000000-0005-0000-0000-000015150000}"/>
    <cellStyle name="Normal 2 2 12 9 2 2 2" xfId="9303" xr:uid="{00000000-0005-0000-0000-000016150000}"/>
    <cellStyle name="Normal 2 2 12 9 2 3" xfId="10978" xr:uid="{00000000-0005-0000-0000-000017150000}"/>
    <cellStyle name="Normal 2 2 12 9 2 4" xfId="7628" xr:uid="{00000000-0005-0000-0000-000018150000}"/>
    <cellStyle name="Normal 2 2 12 9 3" xfId="4986" xr:uid="{00000000-0005-0000-0000-000019150000}"/>
    <cellStyle name="Normal 2 2 12 9 3 2" xfId="8336" xr:uid="{00000000-0005-0000-0000-00001A150000}"/>
    <cellStyle name="Normal 2 2 12 9 4" xfId="10011" xr:uid="{00000000-0005-0000-0000-00001B150000}"/>
    <cellStyle name="Normal 2 2 12 9 5" xfId="6661" xr:uid="{00000000-0005-0000-0000-00001C150000}"/>
    <cellStyle name="Normal 2 2 13" xfId="2096" xr:uid="{00000000-0005-0000-0000-00007C080000}"/>
    <cellStyle name="Normal 2 2 13 10" xfId="4014" xr:uid="{00000000-0005-0000-0000-00001E150000}"/>
    <cellStyle name="Normal 2 2 13 10 2" xfId="5689" xr:uid="{00000000-0005-0000-0000-00001F150000}"/>
    <cellStyle name="Normal 2 2 13 10 2 2" xfId="9039" xr:uid="{00000000-0005-0000-0000-000020150000}"/>
    <cellStyle name="Normal 2 2 13 10 3" xfId="10714" xr:uid="{00000000-0005-0000-0000-000021150000}"/>
    <cellStyle name="Normal 2 2 13 10 4" xfId="7364" xr:uid="{00000000-0005-0000-0000-000022150000}"/>
    <cellStyle name="Normal 2 2 13 11" xfId="4745" xr:uid="{00000000-0005-0000-0000-000023150000}"/>
    <cellStyle name="Normal 2 2 13 11 2" xfId="8095" xr:uid="{00000000-0005-0000-0000-000024150000}"/>
    <cellStyle name="Normal 2 2 13 12" xfId="9770" xr:uid="{00000000-0005-0000-0000-000025150000}"/>
    <cellStyle name="Normal 2 2 13 13" xfId="6420" xr:uid="{00000000-0005-0000-0000-000026150000}"/>
    <cellStyle name="Normal 2 2 13 14" xfId="12226" xr:uid="{00000000-0005-0000-0000-00001D150000}"/>
    <cellStyle name="Normal 2 2 13 2" xfId="3096" xr:uid="{00000000-0005-0000-0000-000027150000}"/>
    <cellStyle name="Normal 2 2 13 2 10" xfId="12273" xr:uid="{00000000-0005-0000-0000-000027150000}"/>
    <cellStyle name="Normal 2 2 13 2 2" xfId="3213" xr:uid="{00000000-0005-0000-0000-000028150000}"/>
    <cellStyle name="Normal 2 2 13 2 2 2" xfId="3449" xr:uid="{00000000-0005-0000-0000-000029150000}"/>
    <cellStyle name="Normal 2 2 13 2 2 2 2" xfId="4415" xr:uid="{00000000-0005-0000-0000-00002A150000}"/>
    <cellStyle name="Normal 2 2 13 2 2 2 2 2" xfId="6090" xr:uid="{00000000-0005-0000-0000-00002B150000}"/>
    <cellStyle name="Normal 2 2 13 2 2 2 2 2 2" xfId="9440" xr:uid="{00000000-0005-0000-0000-00002C150000}"/>
    <cellStyle name="Normal 2 2 13 2 2 2 2 3" xfId="11115" xr:uid="{00000000-0005-0000-0000-00002D150000}"/>
    <cellStyle name="Normal 2 2 13 2 2 2 2 4" xfId="7765" xr:uid="{00000000-0005-0000-0000-00002E150000}"/>
    <cellStyle name="Normal 2 2 13 2 2 2 3" xfId="5123" xr:uid="{00000000-0005-0000-0000-00002F150000}"/>
    <cellStyle name="Normal 2 2 13 2 2 2 3 2" xfId="8473" xr:uid="{00000000-0005-0000-0000-000030150000}"/>
    <cellStyle name="Normal 2 2 13 2 2 2 4" xfId="10148" xr:uid="{00000000-0005-0000-0000-000031150000}"/>
    <cellStyle name="Normal 2 2 13 2 2 2 5" xfId="6798" xr:uid="{00000000-0005-0000-0000-000032150000}"/>
    <cellStyle name="Normal 2 2 13 2 2 3" xfId="3684" xr:uid="{00000000-0005-0000-0000-000033150000}"/>
    <cellStyle name="Normal 2 2 13 2 2 3 2" xfId="4651" xr:uid="{00000000-0005-0000-0000-000034150000}"/>
    <cellStyle name="Normal 2 2 13 2 2 3 2 2" xfId="6326" xr:uid="{00000000-0005-0000-0000-000035150000}"/>
    <cellStyle name="Normal 2 2 13 2 2 3 2 2 2" xfId="9676" xr:uid="{00000000-0005-0000-0000-000036150000}"/>
    <cellStyle name="Normal 2 2 13 2 2 3 2 3" xfId="11351" xr:uid="{00000000-0005-0000-0000-000037150000}"/>
    <cellStyle name="Normal 2 2 13 2 2 3 2 4" xfId="8001" xr:uid="{00000000-0005-0000-0000-000038150000}"/>
    <cellStyle name="Normal 2 2 13 2 2 3 3" xfId="5359" xr:uid="{00000000-0005-0000-0000-000039150000}"/>
    <cellStyle name="Normal 2 2 13 2 2 3 3 2" xfId="8709" xr:uid="{00000000-0005-0000-0000-00003A150000}"/>
    <cellStyle name="Normal 2 2 13 2 2 3 4" xfId="10384" xr:uid="{00000000-0005-0000-0000-00003B150000}"/>
    <cellStyle name="Normal 2 2 13 2 2 3 5" xfId="7034" xr:uid="{00000000-0005-0000-0000-00003C150000}"/>
    <cellStyle name="Normal 2 2 13 2 2 4" xfId="3920" xr:uid="{00000000-0005-0000-0000-00003D150000}"/>
    <cellStyle name="Normal 2 2 13 2 2 4 2" xfId="5595" xr:uid="{00000000-0005-0000-0000-00003E150000}"/>
    <cellStyle name="Normal 2 2 13 2 2 4 2 2" xfId="8945" xr:uid="{00000000-0005-0000-0000-00003F150000}"/>
    <cellStyle name="Normal 2 2 13 2 2 4 3" xfId="10620" xr:uid="{00000000-0005-0000-0000-000040150000}"/>
    <cellStyle name="Normal 2 2 13 2 2 4 4" xfId="7270" xr:uid="{00000000-0005-0000-0000-000041150000}"/>
    <cellStyle name="Normal 2 2 13 2 2 5" xfId="4179" xr:uid="{00000000-0005-0000-0000-000042150000}"/>
    <cellStyle name="Normal 2 2 13 2 2 5 2" xfId="5854" xr:uid="{00000000-0005-0000-0000-000043150000}"/>
    <cellStyle name="Normal 2 2 13 2 2 5 2 2" xfId="9204" xr:uid="{00000000-0005-0000-0000-000044150000}"/>
    <cellStyle name="Normal 2 2 13 2 2 5 3" xfId="10879" xr:uid="{00000000-0005-0000-0000-000045150000}"/>
    <cellStyle name="Normal 2 2 13 2 2 5 4" xfId="7529" xr:uid="{00000000-0005-0000-0000-000046150000}"/>
    <cellStyle name="Normal 2 2 13 2 2 6" xfId="4887" xr:uid="{00000000-0005-0000-0000-000047150000}"/>
    <cellStyle name="Normal 2 2 13 2 2 6 2" xfId="8237" xr:uid="{00000000-0005-0000-0000-000048150000}"/>
    <cellStyle name="Normal 2 2 13 2 2 7" xfId="9912" xr:uid="{00000000-0005-0000-0000-000049150000}"/>
    <cellStyle name="Normal 2 2 13 2 2 8" xfId="6562" xr:uid="{00000000-0005-0000-0000-00004A150000}"/>
    <cellStyle name="Normal 2 2 13 2 3" xfId="3330" xr:uid="{00000000-0005-0000-0000-00004B150000}"/>
    <cellStyle name="Normal 2 2 13 2 3 2" xfId="4296" xr:uid="{00000000-0005-0000-0000-00004C150000}"/>
    <cellStyle name="Normal 2 2 13 2 3 2 2" xfId="5971" xr:uid="{00000000-0005-0000-0000-00004D150000}"/>
    <cellStyle name="Normal 2 2 13 2 3 2 2 2" xfId="9321" xr:uid="{00000000-0005-0000-0000-00004E150000}"/>
    <cellStyle name="Normal 2 2 13 2 3 2 3" xfId="10996" xr:uid="{00000000-0005-0000-0000-00004F150000}"/>
    <cellStyle name="Normal 2 2 13 2 3 2 4" xfId="7646" xr:uid="{00000000-0005-0000-0000-000050150000}"/>
    <cellStyle name="Normal 2 2 13 2 3 3" xfId="5004" xr:uid="{00000000-0005-0000-0000-000051150000}"/>
    <cellStyle name="Normal 2 2 13 2 3 3 2" xfId="8354" xr:uid="{00000000-0005-0000-0000-000052150000}"/>
    <cellStyle name="Normal 2 2 13 2 3 4" xfId="10029" xr:uid="{00000000-0005-0000-0000-000053150000}"/>
    <cellStyle name="Normal 2 2 13 2 3 5" xfId="6679" xr:uid="{00000000-0005-0000-0000-000054150000}"/>
    <cellStyle name="Normal 2 2 13 2 4" xfId="3565" xr:uid="{00000000-0005-0000-0000-000055150000}"/>
    <cellStyle name="Normal 2 2 13 2 4 2" xfId="4532" xr:uid="{00000000-0005-0000-0000-000056150000}"/>
    <cellStyle name="Normal 2 2 13 2 4 2 2" xfId="6207" xr:uid="{00000000-0005-0000-0000-000057150000}"/>
    <cellStyle name="Normal 2 2 13 2 4 2 2 2" xfId="9557" xr:uid="{00000000-0005-0000-0000-000058150000}"/>
    <cellStyle name="Normal 2 2 13 2 4 2 3" xfId="11232" xr:uid="{00000000-0005-0000-0000-000059150000}"/>
    <cellStyle name="Normal 2 2 13 2 4 2 4" xfId="7882" xr:uid="{00000000-0005-0000-0000-00005A150000}"/>
    <cellStyle name="Normal 2 2 13 2 4 3" xfId="5240" xr:uid="{00000000-0005-0000-0000-00005B150000}"/>
    <cellStyle name="Normal 2 2 13 2 4 3 2" xfId="8590" xr:uid="{00000000-0005-0000-0000-00005C150000}"/>
    <cellStyle name="Normal 2 2 13 2 4 4" xfId="10265" xr:uid="{00000000-0005-0000-0000-00005D150000}"/>
    <cellStyle name="Normal 2 2 13 2 4 5" xfId="6915" xr:uid="{00000000-0005-0000-0000-00005E150000}"/>
    <cellStyle name="Normal 2 2 13 2 5" xfId="3801" xr:uid="{00000000-0005-0000-0000-00005F150000}"/>
    <cellStyle name="Normal 2 2 13 2 5 2" xfId="5476" xr:uid="{00000000-0005-0000-0000-000060150000}"/>
    <cellStyle name="Normal 2 2 13 2 5 2 2" xfId="8826" xr:uid="{00000000-0005-0000-0000-000061150000}"/>
    <cellStyle name="Normal 2 2 13 2 5 3" xfId="10501" xr:uid="{00000000-0005-0000-0000-000062150000}"/>
    <cellStyle name="Normal 2 2 13 2 5 4" xfId="7151" xr:uid="{00000000-0005-0000-0000-000063150000}"/>
    <cellStyle name="Normal 2 2 13 2 6" xfId="4060" xr:uid="{00000000-0005-0000-0000-000064150000}"/>
    <cellStyle name="Normal 2 2 13 2 6 2" xfId="5735" xr:uid="{00000000-0005-0000-0000-000065150000}"/>
    <cellStyle name="Normal 2 2 13 2 6 2 2" xfId="9085" xr:uid="{00000000-0005-0000-0000-000066150000}"/>
    <cellStyle name="Normal 2 2 13 2 6 3" xfId="10760" xr:uid="{00000000-0005-0000-0000-000067150000}"/>
    <cellStyle name="Normal 2 2 13 2 6 4" xfId="7410" xr:uid="{00000000-0005-0000-0000-000068150000}"/>
    <cellStyle name="Normal 2 2 13 2 7" xfId="4768" xr:uid="{00000000-0005-0000-0000-000069150000}"/>
    <cellStyle name="Normal 2 2 13 2 7 2" xfId="8118" xr:uid="{00000000-0005-0000-0000-00006A150000}"/>
    <cellStyle name="Normal 2 2 13 2 8" xfId="9793" xr:uid="{00000000-0005-0000-0000-00006B150000}"/>
    <cellStyle name="Normal 2 2 13 2 9" xfId="6443" xr:uid="{00000000-0005-0000-0000-00006C150000}"/>
    <cellStyle name="Normal 2 2 13 3" xfId="3118" xr:uid="{00000000-0005-0000-0000-00006D150000}"/>
    <cellStyle name="Normal 2 2 13 3 2" xfId="3235" xr:uid="{00000000-0005-0000-0000-00006E150000}"/>
    <cellStyle name="Normal 2 2 13 3 2 2" xfId="3471" xr:uid="{00000000-0005-0000-0000-00006F150000}"/>
    <cellStyle name="Normal 2 2 13 3 2 2 2" xfId="4437" xr:uid="{00000000-0005-0000-0000-000070150000}"/>
    <cellStyle name="Normal 2 2 13 3 2 2 2 2" xfId="6112" xr:uid="{00000000-0005-0000-0000-000071150000}"/>
    <cellStyle name="Normal 2 2 13 3 2 2 2 2 2" xfId="9462" xr:uid="{00000000-0005-0000-0000-000072150000}"/>
    <cellStyle name="Normal 2 2 13 3 2 2 2 3" xfId="11137" xr:uid="{00000000-0005-0000-0000-000073150000}"/>
    <cellStyle name="Normal 2 2 13 3 2 2 2 4" xfId="7787" xr:uid="{00000000-0005-0000-0000-000074150000}"/>
    <cellStyle name="Normal 2 2 13 3 2 2 3" xfId="5145" xr:uid="{00000000-0005-0000-0000-000075150000}"/>
    <cellStyle name="Normal 2 2 13 3 2 2 3 2" xfId="8495" xr:uid="{00000000-0005-0000-0000-000076150000}"/>
    <cellStyle name="Normal 2 2 13 3 2 2 4" xfId="10170" xr:uid="{00000000-0005-0000-0000-000077150000}"/>
    <cellStyle name="Normal 2 2 13 3 2 2 5" xfId="6820" xr:uid="{00000000-0005-0000-0000-000078150000}"/>
    <cellStyle name="Normal 2 2 13 3 2 3" xfId="3706" xr:uid="{00000000-0005-0000-0000-000079150000}"/>
    <cellStyle name="Normal 2 2 13 3 2 3 2" xfId="4673" xr:uid="{00000000-0005-0000-0000-00007A150000}"/>
    <cellStyle name="Normal 2 2 13 3 2 3 2 2" xfId="6348" xr:uid="{00000000-0005-0000-0000-00007B150000}"/>
    <cellStyle name="Normal 2 2 13 3 2 3 2 2 2" xfId="9698" xr:uid="{00000000-0005-0000-0000-00007C150000}"/>
    <cellStyle name="Normal 2 2 13 3 2 3 2 3" xfId="11373" xr:uid="{00000000-0005-0000-0000-00007D150000}"/>
    <cellStyle name="Normal 2 2 13 3 2 3 2 4" xfId="8023" xr:uid="{00000000-0005-0000-0000-00007E150000}"/>
    <cellStyle name="Normal 2 2 13 3 2 3 3" xfId="5381" xr:uid="{00000000-0005-0000-0000-00007F150000}"/>
    <cellStyle name="Normal 2 2 13 3 2 3 3 2" xfId="8731" xr:uid="{00000000-0005-0000-0000-000080150000}"/>
    <cellStyle name="Normal 2 2 13 3 2 3 4" xfId="10406" xr:uid="{00000000-0005-0000-0000-000081150000}"/>
    <cellStyle name="Normal 2 2 13 3 2 3 5" xfId="7056" xr:uid="{00000000-0005-0000-0000-000082150000}"/>
    <cellStyle name="Normal 2 2 13 3 2 4" xfId="3942" xr:uid="{00000000-0005-0000-0000-000083150000}"/>
    <cellStyle name="Normal 2 2 13 3 2 4 2" xfId="5617" xr:uid="{00000000-0005-0000-0000-000084150000}"/>
    <cellStyle name="Normal 2 2 13 3 2 4 2 2" xfId="8967" xr:uid="{00000000-0005-0000-0000-000085150000}"/>
    <cellStyle name="Normal 2 2 13 3 2 4 3" xfId="10642" xr:uid="{00000000-0005-0000-0000-000086150000}"/>
    <cellStyle name="Normal 2 2 13 3 2 4 4" xfId="7292" xr:uid="{00000000-0005-0000-0000-000087150000}"/>
    <cellStyle name="Normal 2 2 13 3 2 5" xfId="4201" xr:uid="{00000000-0005-0000-0000-000088150000}"/>
    <cellStyle name="Normal 2 2 13 3 2 5 2" xfId="5876" xr:uid="{00000000-0005-0000-0000-000089150000}"/>
    <cellStyle name="Normal 2 2 13 3 2 5 2 2" xfId="9226" xr:uid="{00000000-0005-0000-0000-00008A150000}"/>
    <cellStyle name="Normal 2 2 13 3 2 5 3" xfId="10901" xr:uid="{00000000-0005-0000-0000-00008B150000}"/>
    <cellStyle name="Normal 2 2 13 3 2 5 4" xfId="7551" xr:uid="{00000000-0005-0000-0000-00008C150000}"/>
    <cellStyle name="Normal 2 2 13 3 2 6" xfId="4909" xr:uid="{00000000-0005-0000-0000-00008D150000}"/>
    <cellStyle name="Normal 2 2 13 3 2 6 2" xfId="8259" xr:uid="{00000000-0005-0000-0000-00008E150000}"/>
    <cellStyle name="Normal 2 2 13 3 2 7" xfId="9934" xr:uid="{00000000-0005-0000-0000-00008F150000}"/>
    <cellStyle name="Normal 2 2 13 3 2 8" xfId="6584" xr:uid="{00000000-0005-0000-0000-000090150000}"/>
    <cellStyle name="Normal 2 2 13 3 3" xfId="3353" xr:uid="{00000000-0005-0000-0000-000091150000}"/>
    <cellStyle name="Normal 2 2 13 3 3 2" xfId="4319" xr:uid="{00000000-0005-0000-0000-000092150000}"/>
    <cellStyle name="Normal 2 2 13 3 3 2 2" xfId="5994" xr:uid="{00000000-0005-0000-0000-000093150000}"/>
    <cellStyle name="Normal 2 2 13 3 3 2 2 2" xfId="9344" xr:uid="{00000000-0005-0000-0000-000094150000}"/>
    <cellStyle name="Normal 2 2 13 3 3 2 3" xfId="11019" xr:uid="{00000000-0005-0000-0000-000095150000}"/>
    <cellStyle name="Normal 2 2 13 3 3 2 4" xfId="7669" xr:uid="{00000000-0005-0000-0000-000096150000}"/>
    <cellStyle name="Normal 2 2 13 3 3 3" xfId="5027" xr:uid="{00000000-0005-0000-0000-000097150000}"/>
    <cellStyle name="Normal 2 2 13 3 3 3 2" xfId="8377" xr:uid="{00000000-0005-0000-0000-000098150000}"/>
    <cellStyle name="Normal 2 2 13 3 3 4" xfId="10052" xr:uid="{00000000-0005-0000-0000-000099150000}"/>
    <cellStyle name="Normal 2 2 13 3 3 5" xfId="6702" xr:uid="{00000000-0005-0000-0000-00009A150000}"/>
    <cellStyle name="Normal 2 2 13 3 4" xfId="3588" xr:uid="{00000000-0005-0000-0000-00009B150000}"/>
    <cellStyle name="Normal 2 2 13 3 4 2" xfId="4555" xr:uid="{00000000-0005-0000-0000-00009C150000}"/>
    <cellStyle name="Normal 2 2 13 3 4 2 2" xfId="6230" xr:uid="{00000000-0005-0000-0000-00009D150000}"/>
    <cellStyle name="Normal 2 2 13 3 4 2 2 2" xfId="9580" xr:uid="{00000000-0005-0000-0000-00009E150000}"/>
    <cellStyle name="Normal 2 2 13 3 4 2 3" xfId="11255" xr:uid="{00000000-0005-0000-0000-00009F150000}"/>
    <cellStyle name="Normal 2 2 13 3 4 2 4" xfId="7905" xr:uid="{00000000-0005-0000-0000-0000A0150000}"/>
    <cellStyle name="Normal 2 2 13 3 4 3" xfId="5263" xr:uid="{00000000-0005-0000-0000-0000A1150000}"/>
    <cellStyle name="Normal 2 2 13 3 4 3 2" xfId="8613" xr:uid="{00000000-0005-0000-0000-0000A2150000}"/>
    <cellStyle name="Normal 2 2 13 3 4 4" xfId="10288" xr:uid="{00000000-0005-0000-0000-0000A3150000}"/>
    <cellStyle name="Normal 2 2 13 3 4 5" xfId="6938" xr:uid="{00000000-0005-0000-0000-0000A4150000}"/>
    <cellStyle name="Normal 2 2 13 3 5" xfId="3824" xr:uid="{00000000-0005-0000-0000-0000A5150000}"/>
    <cellStyle name="Normal 2 2 13 3 5 2" xfId="5499" xr:uid="{00000000-0005-0000-0000-0000A6150000}"/>
    <cellStyle name="Normal 2 2 13 3 5 2 2" xfId="8849" xr:uid="{00000000-0005-0000-0000-0000A7150000}"/>
    <cellStyle name="Normal 2 2 13 3 5 3" xfId="10524" xr:uid="{00000000-0005-0000-0000-0000A8150000}"/>
    <cellStyle name="Normal 2 2 13 3 5 4" xfId="7174" xr:uid="{00000000-0005-0000-0000-0000A9150000}"/>
    <cellStyle name="Normal 2 2 13 3 6" xfId="4083" xr:uid="{00000000-0005-0000-0000-0000AA150000}"/>
    <cellStyle name="Normal 2 2 13 3 6 2" xfId="5758" xr:uid="{00000000-0005-0000-0000-0000AB150000}"/>
    <cellStyle name="Normal 2 2 13 3 6 2 2" xfId="9108" xr:uid="{00000000-0005-0000-0000-0000AC150000}"/>
    <cellStyle name="Normal 2 2 13 3 6 3" xfId="10783" xr:uid="{00000000-0005-0000-0000-0000AD150000}"/>
    <cellStyle name="Normal 2 2 13 3 6 4" xfId="7433" xr:uid="{00000000-0005-0000-0000-0000AE150000}"/>
    <cellStyle name="Normal 2 2 13 3 7" xfId="4791" xr:uid="{00000000-0005-0000-0000-0000AF150000}"/>
    <cellStyle name="Normal 2 2 13 3 7 2" xfId="8141" xr:uid="{00000000-0005-0000-0000-0000B0150000}"/>
    <cellStyle name="Normal 2 2 13 3 8" xfId="9816" xr:uid="{00000000-0005-0000-0000-0000B1150000}"/>
    <cellStyle name="Normal 2 2 13 3 9" xfId="6466" xr:uid="{00000000-0005-0000-0000-0000B2150000}"/>
    <cellStyle name="Normal 2 2 13 4" xfId="3141" xr:uid="{00000000-0005-0000-0000-0000B3150000}"/>
    <cellStyle name="Normal 2 2 13 4 2" xfId="3259" xr:uid="{00000000-0005-0000-0000-0000B4150000}"/>
    <cellStyle name="Normal 2 2 13 4 2 2" xfId="3495" xr:uid="{00000000-0005-0000-0000-0000B5150000}"/>
    <cellStyle name="Normal 2 2 13 4 2 2 2" xfId="4461" xr:uid="{00000000-0005-0000-0000-0000B6150000}"/>
    <cellStyle name="Normal 2 2 13 4 2 2 2 2" xfId="6136" xr:uid="{00000000-0005-0000-0000-0000B7150000}"/>
    <cellStyle name="Normal 2 2 13 4 2 2 2 2 2" xfId="9486" xr:uid="{00000000-0005-0000-0000-0000B8150000}"/>
    <cellStyle name="Normal 2 2 13 4 2 2 2 3" xfId="11161" xr:uid="{00000000-0005-0000-0000-0000B9150000}"/>
    <cellStyle name="Normal 2 2 13 4 2 2 2 4" xfId="7811" xr:uid="{00000000-0005-0000-0000-0000BA150000}"/>
    <cellStyle name="Normal 2 2 13 4 2 2 3" xfId="5169" xr:uid="{00000000-0005-0000-0000-0000BB150000}"/>
    <cellStyle name="Normal 2 2 13 4 2 2 3 2" xfId="8519" xr:uid="{00000000-0005-0000-0000-0000BC150000}"/>
    <cellStyle name="Normal 2 2 13 4 2 2 4" xfId="10194" xr:uid="{00000000-0005-0000-0000-0000BD150000}"/>
    <cellStyle name="Normal 2 2 13 4 2 2 5" xfId="6844" xr:uid="{00000000-0005-0000-0000-0000BE150000}"/>
    <cellStyle name="Normal 2 2 13 4 2 3" xfId="3730" xr:uid="{00000000-0005-0000-0000-0000BF150000}"/>
    <cellStyle name="Normal 2 2 13 4 2 3 2" xfId="4697" xr:uid="{00000000-0005-0000-0000-0000C0150000}"/>
    <cellStyle name="Normal 2 2 13 4 2 3 2 2" xfId="6372" xr:uid="{00000000-0005-0000-0000-0000C1150000}"/>
    <cellStyle name="Normal 2 2 13 4 2 3 2 2 2" xfId="9722" xr:uid="{00000000-0005-0000-0000-0000C2150000}"/>
    <cellStyle name="Normal 2 2 13 4 2 3 2 3" xfId="11397" xr:uid="{00000000-0005-0000-0000-0000C3150000}"/>
    <cellStyle name="Normal 2 2 13 4 2 3 2 4" xfId="8047" xr:uid="{00000000-0005-0000-0000-0000C4150000}"/>
    <cellStyle name="Normal 2 2 13 4 2 3 3" xfId="5405" xr:uid="{00000000-0005-0000-0000-0000C5150000}"/>
    <cellStyle name="Normal 2 2 13 4 2 3 3 2" xfId="8755" xr:uid="{00000000-0005-0000-0000-0000C6150000}"/>
    <cellStyle name="Normal 2 2 13 4 2 3 4" xfId="10430" xr:uid="{00000000-0005-0000-0000-0000C7150000}"/>
    <cellStyle name="Normal 2 2 13 4 2 3 5" xfId="7080" xr:uid="{00000000-0005-0000-0000-0000C8150000}"/>
    <cellStyle name="Normal 2 2 13 4 2 4" xfId="3966" xr:uid="{00000000-0005-0000-0000-0000C9150000}"/>
    <cellStyle name="Normal 2 2 13 4 2 4 2" xfId="5641" xr:uid="{00000000-0005-0000-0000-0000CA150000}"/>
    <cellStyle name="Normal 2 2 13 4 2 4 2 2" xfId="8991" xr:uid="{00000000-0005-0000-0000-0000CB150000}"/>
    <cellStyle name="Normal 2 2 13 4 2 4 3" xfId="10666" xr:uid="{00000000-0005-0000-0000-0000CC150000}"/>
    <cellStyle name="Normal 2 2 13 4 2 4 4" xfId="7316" xr:uid="{00000000-0005-0000-0000-0000CD150000}"/>
    <cellStyle name="Normal 2 2 13 4 2 5" xfId="4225" xr:uid="{00000000-0005-0000-0000-0000CE150000}"/>
    <cellStyle name="Normal 2 2 13 4 2 5 2" xfId="5900" xr:uid="{00000000-0005-0000-0000-0000CF150000}"/>
    <cellStyle name="Normal 2 2 13 4 2 5 2 2" xfId="9250" xr:uid="{00000000-0005-0000-0000-0000D0150000}"/>
    <cellStyle name="Normal 2 2 13 4 2 5 3" xfId="10925" xr:uid="{00000000-0005-0000-0000-0000D1150000}"/>
    <cellStyle name="Normal 2 2 13 4 2 5 4" xfId="7575" xr:uid="{00000000-0005-0000-0000-0000D2150000}"/>
    <cellStyle name="Normal 2 2 13 4 2 6" xfId="4933" xr:uid="{00000000-0005-0000-0000-0000D3150000}"/>
    <cellStyle name="Normal 2 2 13 4 2 6 2" xfId="8283" xr:uid="{00000000-0005-0000-0000-0000D4150000}"/>
    <cellStyle name="Normal 2 2 13 4 2 7" xfId="9958" xr:uid="{00000000-0005-0000-0000-0000D5150000}"/>
    <cellStyle name="Normal 2 2 13 4 2 8" xfId="6608" xr:uid="{00000000-0005-0000-0000-0000D6150000}"/>
    <cellStyle name="Normal 2 2 13 4 3" xfId="3377" xr:uid="{00000000-0005-0000-0000-0000D7150000}"/>
    <cellStyle name="Normal 2 2 13 4 3 2" xfId="4343" xr:uid="{00000000-0005-0000-0000-0000D8150000}"/>
    <cellStyle name="Normal 2 2 13 4 3 2 2" xfId="6018" xr:uid="{00000000-0005-0000-0000-0000D9150000}"/>
    <cellStyle name="Normal 2 2 13 4 3 2 2 2" xfId="9368" xr:uid="{00000000-0005-0000-0000-0000DA150000}"/>
    <cellStyle name="Normal 2 2 13 4 3 2 3" xfId="11043" xr:uid="{00000000-0005-0000-0000-0000DB150000}"/>
    <cellStyle name="Normal 2 2 13 4 3 2 4" xfId="7693" xr:uid="{00000000-0005-0000-0000-0000DC150000}"/>
    <cellStyle name="Normal 2 2 13 4 3 3" xfId="5051" xr:uid="{00000000-0005-0000-0000-0000DD150000}"/>
    <cellStyle name="Normal 2 2 13 4 3 3 2" xfId="8401" xr:uid="{00000000-0005-0000-0000-0000DE150000}"/>
    <cellStyle name="Normal 2 2 13 4 3 4" xfId="10076" xr:uid="{00000000-0005-0000-0000-0000DF150000}"/>
    <cellStyle name="Normal 2 2 13 4 3 5" xfId="6726" xr:uid="{00000000-0005-0000-0000-0000E0150000}"/>
    <cellStyle name="Normal 2 2 13 4 4" xfId="3612" xr:uid="{00000000-0005-0000-0000-0000E1150000}"/>
    <cellStyle name="Normal 2 2 13 4 4 2" xfId="4579" xr:uid="{00000000-0005-0000-0000-0000E2150000}"/>
    <cellStyle name="Normal 2 2 13 4 4 2 2" xfId="6254" xr:uid="{00000000-0005-0000-0000-0000E3150000}"/>
    <cellStyle name="Normal 2 2 13 4 4 2 2 2" xfId="9604" xr:uid="{00000000-0005-0000-0000-0000E4150000}"/>
    <cellStyle name="Normal 2 2 13 4 4 2 3" xfId="11279" xr:uid="{00000000-0005-0000-0000-0000E5150000}"/>
    <cellStyle name="Normal 2 2 13 4 4 2 4" xfId="7929" xr:uid="{00000000-0005-0000-0000-0000E6150000}"/>
    <cellStyle name="Normal 2 2 13 4 4 3" xfId="5287" xr:uid="{00000000-0005-0000-0000-0000E7150000}"/>
    <cellStyle name="Normal 2 2 13 4 4 3 2" xfId="8637" xr:uid="{00000000-0005-0000-0000-0000E8150000}"/>
    <cellStyle name="Normal 2 2 13 4 4 4" xfId="10312" xr:uid="{00000000-0005-0000-0000-0000E9150000}"/>
    <cellStyle name="Normal 2 2 13 4 4 5" xfId="6962" xr:uid="{00000000-0005-0000-0000-0000EA150000}"/>
    <cellStyle name="Normal 2 2 13 4 5" xfId="3848" xr:uid="{00000000-0005-0000-0000-0000EB150000}"/>
    <cellStyle name="Normal 2 2 13 4 5 2" xfId="5523" xr:uid="{00000000-0005-0000-0000-0000EC150000}"/>
    <cellStyle name="Normal 2 2 13 4 5 2 2" xfId="8873" xr:uid="{00000000-0005-0000-0000-0000ED150000}"/>
    <cellStyle name="Normal 2 2 13 4 5 3" xfId="10548" xr:uid="{00000000-0005-0000-0000-0000EE150000}"/>
    <cellStyle name="Normal 2 2 13 4 5 4" xfId="7198" xr:uid="{00000000-0005-0000-0000-0000EF150000}"/>
    <cellStyle name="Normal 2 2 13 4 6" xfId="4107" xr:uid="{00000000-0005-0000-0000-0000F0150000}"/>
    <cellStyle name="Normal 2 2 13 4 6 2" xfId="5782" xr:uid="{00000000-0005-0000-0000-0000F1150000}"/>
    <cellStyle name="Normal 2 2 13 4 6 2 2" xfId="9132" xr:uid="{00000000-0005-0000-0000-0000F2150000}"/>
    <cellStyle name="Normal 2 2 13 4 6 3" xfId="10807" xr:uid="{00000000-0005-0000-0000-0000F3150000}"/>
    <cellStyle name="Normal 2 2 13 4 6 4" xfId="7457" xr:uid="{00000000-0005-0000-0000-0000F4150000}"/>
    <cellStyle name="Normal 2 2 13 4 7" xfId="4815" xr:uid="{00000000-0005-0000-0000-0000F5150000}"/>
    <cellStyle name="Normal 2 2 13 4 7 2" xfId="8165" xr:uid="{00000000-0005-0000-0000-0000F6150000}"/>
    <cellStyle name="Normal 2 2 13 4 8" xfId="9840" xr:uid="{00000000-0005-0000-0000-0000F7150000}"/>
    <cellStyle name="Normal 2 2 13 4 9" xfId="6490" xr:uid="{00000000-0005-0000-0000-0000F8150000}"/>
    <cellStyle name="Normal 2 2 13 5" xfId="3165" xr:uid="{00000000-0005-0000-0000-0000F9150000}"/>
    <cellStyle name="Normal 2 2 13 5 2" xfId="3283" xr:uid="{00000000-0005-0000-0000-0000FA150000}"/>
    <cellStyle name="Normal 2 2 13 5 2 2" xfId="3519" xr:uid="{00000000-0005-0000-0000-0000FB150000}"/>
    <cellStyle name="Normal 2 2 13 5 2 2 2" xfId="4485" xr:uid="{00000000-0005-0000-0000-0000FC150000}"/>
    <cellStyle name="Normal 2 2 13 5 2 2 2 2" xfId="6160" xr:uid="{00000000-0005-0000-0000-0000FD150000}"/>
    <cellStyle name="Normal 2 2 13 5 2 2 2 2 2" xfId="9510" xr:uid="{00000000-0005-0000-0000-0000FE150000}"/>
    <cellStyle name="Normal 2 2 13 5 2 2 2 3" xfId="11185" xr:uid="{00000000-0005-0000-0000-0000FF150000}"/>
    <cellStyle name="Normal 2 2 13 5 2 2 2 4" xfId="7835" xr:uid="{00000000-0005-0000-0000-000000160000}"/>
    <cellStyle name="Normal 2 2 13 5 2 2 3" xfId="5193" xr:uid="{00000000-0005-0000-0000-000001160000}"/>
    <cellStyle name="Normal 2 2 13 5 2 2 3 2" xfId="8543" xr:uid="{00000000-0005-0000-0000-000002160000}"/>
    <cellStyle name="Normal 2 2 13 5 2 2 4" xfId="10218" xr:uid="{00000000-0005-0000-0000-000003160000}"/>
    <cellStyle name="Normal 2 2 13 5 2 2 5" xfId="6868" xr:uid="{00000000-0005-0000-0000-000004160000}"/>
    <cellStyle name="Normal 2 2 13 5 2 3" xfId="3754" xr:uid="{00000000-0005-0000-0000-000005160000}"/>
    <cellStyle name="Normal 2 2 13 5 2 3 2" xfId="4721" xr:uid="{00000000-0005-0000-0000-000006160000}"/>
    <cellStyle name="Normal 2 2 13 5 2 3 2 2" xfId="6396" xr:uid="{00000000-0005-0000-0000-000007160000}"/>
    <cellStyle name="Normal 2 2 13 5 2 3 2 2 2" xfId="9746" xr:uid="{00000000-0005-0000-0000-000008160000}"/>
    <cellStyle name="Normal 2 2 13 5 2 3 2 3" xfId="11421" xr:uid="{00000000-0005-0000-0000-000009160000}"/>
    <cellStyle name="Normal 2 2 13 5 2 3 2 4" xfId="8071" xr:uid="{00000000-0005-0000-0000-00000A160000}"/>
    <cellStyle name="Normal 2 2 13 5 2 3 3" xfId="5429" xr:uid="{00000000-0005-0000-0000-00000B160000}"/>
    <cellStyle name="Normal 2 2 13 5 2 3 3 2" xfId="8779" xr:uid="{00000000-0005-0000-0000-00000C160000}"/>
    <cellStyle name="Normal 2 2 13 5 2 3 4" xfId="10454" xr:uid="{00000000-0005-0000-0000-00000D160000}"/>
    <cellStyle name="Normal 2 2 13 5 2 3 5" xfId="7104" xr:uid="{00000000-0005-0000-0000-00000E160000}"/>
    <cellStyle name="Normal 2 2 13 5 2 4" xfId="3990" xr:uid="{00000000-0005-0000-0000-00000F160000}"/>
    <cellStyle name="Normal 2 2 13 5 2 4 2" xfId="5665" xr:uid="{00000000-0005-0000-0000-000010160000}"/>
    <cellStyle name="Normal 2 2 13 5 2 4 2 2" xfId="9015" xr:uid="{00000000-0005-0000-0000-000011160000}"/>
    <cellStyle name="Normal 2 2 13 5 2 4 3" xfId="10690" xr:uid="{00000000-0005-0000-0000-000012160000}"/>
    <cellStyle name="Normal 2 2 13 5 2 4 4" xfId="7340" xr:uid="{00000000-0005-0000-0000-000013160000}"/>
    <cellStyle name="Normal 2 2 13 5 2 5" xfId="4249" xr:uid="{00000000-0005-0000-0000-000014160000}"/>
    <cellStyle name="Normal 2 2 13 5 2 5 2" xfId="5924" xr:uid="{00000000-0005-0000-0000-000015160000}"/>
    <cellStyle name="Normal 2 2 13 5 2 5 2 2" xfId="9274" xr:uid="{00000000-0005-0000-0000-000016160000}"/>
    <cellStyle name="Normal 2 2 13 5 2 5 3" xfId="10949" xr:uid="{00000000-0005-0000-0000-000017160000}"/>
    <cellStyle name="Normal 2 2 13 5 2 5 4" xfId="7599" xr:uid="{00000000-0005-0000-0000-000018160000}"/>
    <cellStyle name="Normal 2 2 13 5 2 6" xfId="4957" xr:uid="{00000000-0005-0000-0000-000019160000}"/>
    <cellStyle name="Normal 2 2 13 5 2 6 2" xfId="8307" xr:uid="{00000000-0005-0000-0000-00001A160000}"/>
    <cellStyle name="Normal 2 2 13 5 2 7" xfId="9982" xr:uid="{00000000-0005-0000-0000-00001B160000}"/>
    <cellStyle name="Normal 2 2 13 5 2 8" xfId="6632" xr:uid="{00000000-0005-0000-0000-00001C160000}"/>
    <cellStyle name="Normal 2 2 13 5 3" xfId="3401" xr:uid="{00000000-0005-0000-0000-00001D160000}"/>
    <cellStyle name="Normal 2 2 13 5 3 2" xfId="4367" xr:uid="{00000000-0005-0000-0000-00001E160000}"/>
    <cellStyle name="Normal 2 2 13 5 3 2 2" xfId="6042" xr:uid="{00000000-0005-0000-0000-00001F160000}"/>
    <cellStyle name="Normal 2 2 13 5 3 2 2 2" xfId="9392" xr:uid="{00000000-0005-0000-0000-000020160000}"/>
    <cellStyle name="Normal 2 2 13 5 3 2 3" xfId="11067" xr:uid="{00000000-0005-0000-0000-000021160000}"/>
    <cellStyle name="Normal 2 2 13 5 3 2 4" xfId="7717" xr:uid="{00000000-0005-0000-0000-000022160000}"/>
    <cellStyle name="Normal 2 2 13 5 3 3" xfId="5075" xr:uid="{00000000-0005-0000-0000-000023160000}"/>
    <cellStyle name="Normal 2 2 13 5 3 3 2" xfId="8425" xr:uid="{00000000-0005-0000-0000-000024160000}"/>
    <cellStyle name="Normal 2 2 13 5 3 4" xfId="10100" xr:uid="{00000000-0005-0000-0000-000025160000}"/>
    <cellStyle name="Normal 2 2 13 5 3 5" xfId="6750" xr:uid="{00000000-0005-0000-0000-000026160000}"/>
    <cellStyle name="Normal 2 2 13 5 4" xfId="3636" xr:uid="{00000000-0005-0000-0000-000027160000}"/>
    <cellStyle name="Normal 2 2 13 5 4 2" xfId="4603" xr:uid="{00000000-0005-0000-0000-000028160000}"/>
    <cellStyle name="Normal 2 2 13 5 4 2 2" xfId="6278" xr:uid="{00000000-0005-0000-0000-000029160000}"/>
    <cellStyle name="Normal 2 2 13 5 4 2 2 2" xfId="9628" xr:uid="{00000000-0005-0000-0000-00002A160000}"/>
    <cellStyle name="Normal 2 2 13 5 4 2 3" xfId="11303" xr:uid="{00000000-0005-0000-0000-00002B160000}"/>
    <cellStyle name="Normal 2 2 13 5 4 2 4" xfId="7953" xr:uid="{00000000-0005-0000-0000-00002C160000}"/>
    <cellStyle name="Normal 2 2 13 5 4 3" xfId="5311" xr:uid="{00000000-0005-0000-0000-00002D160000}"/>
    <cellStyle name="Normal 2 2 13 5 4 3 2" xfId="8661" xr:uid="{00000000-0005-0000-0000-00002E160000}"/>
    <cellStyle name="Normal 2 2 13 5 4 4" xfId="10336" xr:uid="{00000000-0005-0000-0000-00002F160000}"/>
    <cellStyle name="Normal 2 2 13 5 4 5" xfId="6986" xr:uid="{00000000-0005-0000-0000-000030160000}"/>
    <cellStyle name="Normal 2 2 13 5 5" xfId="3872" xr:uid="{00000000-0005-0000-0000-000031160000}"/>
    <cellStyle name="Normal 2 2 13 5 5 2" xfId="5547" xr:uid="{00000000-0005-0000-0000-000032160000}"/>
    <cellStyle name="Normal 2 2 13 5 5 2 2" xfId="8897" xr:uid="{00000000-0005-0000-0000-000033160000}"/>
    <cellStyle name="Normal 2 2 13 5 5 3" xfId="10572" xr:uid="{00000000-0005-0000-0000-000034160000}"/>
    <cellStyle name="Normal 2 2 13 5 5 4" xfId="7222" xr:uid="{00000000-0005-0000-0000-000035160000}"/>
    <cellStyle name="Normal 2 2 13 5 6" xfId="4131" xr:uid="{00000000-0005-0000-0000-000036160000}"/>
    <cellStyle name="Normal 2 2 13 5 6 2" xfId="5806" xr:uid="{00000000-0005-0000-0000-000037160000}"/>
    <cellStyle name="Normal 2 2 13 5 6 2 2" xfId="9156" xr:uid="{00000000-0005-0000-0000-000038160000}"/>
    <cellStyle name="Normal 2 2 13 5 6 3" xfId="10831" xr:uid="{00000000-0005-0000-0000-000039160000}"/>
    <cellStyle name="Normal 2 2 13 5 6 4" xfId="7481" xr:uid="{00000000-0005-0000-0000-00003A160000}"/>
    <cellStyle name="Normal 2 2 13 5 7" xfId="4839" xr:uid="{00000000-0005-0000-0000-00003B160000}"/>
    <cellStyle name="Normal 2 2 13 5 7 2" xfId="8189" xr:uid="{00000000-0005-0000-0000-00003C160000}"/>
    <cellStyle name="Normal 2 2 13 5 8" xfId="9864" xr:uid="{00000000-0005-0000-0000-00003D160000}"/>
    <cellStyle name="Normal 2 2 13 5 9" xfId="6514" xr:uid="{00000000-0005-0000-0000-00003E160000}"/>
    <cellStyle name="Normal 2 2 13 6" xfId="3189" xr:uid="{00000000-0005-0000-0000-00003F160000}"/>
    <cellStyle name="Normal 2 2 13 6 2" xfId="3425" xr:uid="{00000000-0005-0000-0000-000040160000}"/>
    <cellStyle name="Normal 2 2 13 6 2 2" xfId="4391" xr:uid="{00000000-0005-0000-0000-000041160000}"/>
    <cellStyle name="Normal 2 2 13 6 2 2 2" xfId="6066" xr:uid="{00000000-0005-0000-0000-000042160000}"/>
    <cellStyle name="Normal 2 2 13 6 2 2 2 2" xfId="9416" xr:uid="{00000000-0005-0000-0000-000043160000}"/>
    <cellStyle name="Normal 2 2 13 6 2 2 3" xfId="11091" xr:uid="{00000000-0005-0000-0000-000044160000}"/>
    <cellStyle name="Normal 2 2 13 6 2 2 4" xfId="7741" xr:uid="{00000000-0005-0000-0000-000045160000}"/>
    <cellStyle name="Normal 2 2 13 6 2 3" xfId="5099" xr:uid="{00000000-0005-0000-0000-000046160000}"/>
    <cellStyle name="Normal 2 2 13 6 2 3 2" xfId="8449" xr:uid="{00000000-0005-0000-0000-000047160000}"/>
    <cellStyle name="Normal 2 2 13 6 2 4" xfId="10124" xr:uid="{00000000-0005-0000-0000-000048160000}"/>
    <cellStyle name="Normal 2 2 13 6 2 5" xfId="6774" xr:uid="{00000000-0005-0000-0000-000049160000}"/>
    <cellStyle name="Normal 2 2 13 6 3" xfId="3660" xr:uid="{00000000-0005-0000-0000-00004A160000}"/>
    <cellStyle name="Normal 2 2 13 6 3 2" xfId="4627" xr:uid="{00000000-0005-0000-0000-00004B160000}"/>
    <cellStyle name="Normal 2 2 13 6 3 2 2" xfId="6302" xr:uid="{00000000-0005-0000-0000-00004C160000}"/>
    <cellStyle name="Normal 2 2 13 6 3 2 2 2" xfId="9652" xr:uid="{00000000-0005-0000-0000-00004D160000}"/>
    <cellStyle name="Normal 2 2 13 6 3 2 3" xfId="11327" xr:uid="{00000000-0005-0000-0000-00004E160000}"/>
    <cellStyle name="Normal 2 2 13 6 3 2 4" xfId="7977" xr:uid="{00000000-0005-0000-0000-00004F160000}"/>
    <cellStyle name="Normal 2 2 13 6 3 3" xfId="5335" xr:uid="{00000000-0005-0000-0000-000050160000}"/>
    <cellStyle name="Normal 2 2 13 6 3 3 2" xfId="8685" xr:uid="{00000000-0005-0000-0000-000051160000}"/>
    <cellStyle name="Normal 2 2 13 6 3 4" xfId="10360" xr:uid="{00000000-0005-0000-0000-000052160000}"/>
    <cellStyle name="Normal 2 2 13 6 3 5" xfId="7010" xr:uid="{00000000-0005-0000-0000-000053160000}"/>
    <cellStyle name="Normal 2 2 13 6 4" xfId="3896" xr:uid="{00000000-0005-0000-0000-000054160000}"/>
    <cellStyle name="Normal 2 2 13 6 4 2" xfId="5571" xr:uid="{00000000-0005-0000-0000-000055160000}"/>
    <cellStyle name="Normal 2 2 13 6 4 2 2" xfId="8921" xr:uid="{00000000-0005-0000-0000-000056160000}"/>
    <cellStyle name="Normal 2 2 13 6 4 3" xfId="10596" xr:uid="{00000000-0005-0000-0000-000057160000}"/>
    <cellStyle name="Normal 2 2 13 6 4 4" xfId="7246" xr:uid="{00000000-0005-0000-0000-000058160000}"/>
    <cellStyle name="Normal 2 2 13 6 5" xfId="4155" xr:uid="{00000000-0005-0000-0000-000059160000}"/>
    <cellStyle name="Normal 2 2 13 6 5 2" xfId="5830" xr:uid="{00000000-0005-0000-0000-00005A160000}"/>
    <cellStyle name="Normal 2 2 13 6 5 2 2" xfId="9180" xr:uid="{00000000-0005-0000-0000-00005B160000}"/>
    <cellStyle name="Normal 2 2 13 6 5 3" xfId="10855" xr:uid="{00000000-0005-0000-0000-00005C160000}"/>
    <cellStyle name="Normal 2 2 13 6 5 4" xfId="7505" xr:uid="{00000000-0005-0000-0000-00005D160000}"/>
    <cellStyle name="Normal 2 2 13 6 6" xfId="4863" xr:uid="{00000000-0005-0000-0000-00005E160000}"/>
    <cellStyle name="Normal 2 2 13 6 6 2" xfId="8213" xr:uid="{00000000-0005-0000-0000-00005F160000}"/>
    <cellStyle name="Normal 2 2 13 6 7" xfId="9888" xr:uid="{00000000-0005-0000-0000-000060160000}"/>
    <cellStyle name="Normal 2 2 13 6 8" xfId="6538" xr:uid="{00000000-0005-0000-0000-000061160000}"/>
    <cellStyle name="Normal 2 2 13 7" xfId="3307" xr:uid="{00000000-0005-0000-0000-000062160000}"/>
    <cellStyle name="Normal 2 2 13 7 2" xfId="4273" xr:uid="{00000000-0005-0000-0000-000063160000}"/>
    <cellStyle name="Normal 2 2 13 7 2 2" xfId="5948" xr:uid="{00000000-0005-0000-0000-000064160000}"/>
    <cellStyle name="Normal 2 2 13 7 2 2 2" xfId="9298" xr:uid="{00000000-0005-0000-0000-000065160000}"/>
    <cellStyle name="Normal 2 2 13 7 2 3" xfId="10973" xr:uid="{00000000-0005-0000-0000-000066160000}"/>
    <cellStyle name="Normal 2 2 13 7 2 4" xfId="7623" xr:uid="{00000000-0005-0000-0000-000067160000}"/>
    <cellStyle name="Normal 2 2 13 7 3" xfId="4981" xr:uid="{00000000-0005-0000-0000-000068160000}"/>
    <cellStyle name="Normal 2 2 13 7 3 2" xfId="8331" xr:uid="{00000000-0005-0000-0000-000069160000}"/>
    <cellStyle name="Normal 2 2 13 7 4" xfId="10006" xr:uid="{00000000-0005-0000-0000-00006A160000}"/>
    <cellStyle name="Normal 2 2 13 7 5" xfId="6656" xr:uid="{00000000-0005-0000-0000-00006B160000}"/>
    <cellStyle name="Normal 2 2 13 8" xfId="3543" xr:uid="{00000000-0005-0000-0000-00006C160000}"/>
    <cellStyle name="Normal 2 2 13 8 2" xfId="4509" xr:uid="{00000000-0005-0000-0000-00006D160000}"/>
    <cellStyle name="Normal 2 2 13 8 2 2" xfId="6184" xr:uid="{00000000-0005-0000-0000-00006E160000}"/>
    <cellStyle name="Normal 2 2 13 8 2 2 2" xfId="9534" xr:uid="{00000000-0005-0000-0000-00006F160000}"/>
    <cellStyle name="Normal 2 2 13 8 2 3" xfId="11209" xr:uid="{00000000-0005-0000-0000-000070160000}"/>
    <cellStyle name="Normal 2 2 13 8 2 4" xfId="7859" xr:uid="{00000000-0005-0000-0000-000071160000}"/>
    <cellStyle name="Normal 2 2 13 8 3" xfId="5217" xr:uid="{00000000-0005-0000-0000-000072160000}"/>
    <cellStyle name="Normal 2 2 13 8 3 2" xfId="8567" xr:uid="{00000000-0005-0000-0000-000073160000}"/>
    <cellStyle name="Normal 2 2 13 8 4" xfId="10242" xr:uid="{00000000-0005-0000-0000-000074160000}"/>
    <cellStyle name="Normal 2 2 13 8 5" xfId="6892" xr:uid="{00000000-0005-0000-0000-000075160000}"/>
    <cellStyle name="Normal 2 2 13 9" xfId="3778" xr:uid="{00000000-0005-0000-0000-000076160000}"/>
    <cellStyle name="Normal 2 2 13 9 2" xfId="4037" xr:uid="{00000000-0005-0000-0000-000077160000}"/>
    <cellStyle name="Normal 2 2 13 9 2 2" xfId="5712" xr:uid="{00000000-0005-0000-0000-000078160000}"/>
    <cellStyle name="Normal 2 2 13 9 2 2 2" xfId="9062" xr:uid="{00000000-0005-0000-0000-000079160000}"/>
    <cellStyle name="Normal 2 2 13 9 2 3" xfId="10737" xr:uid="{00000000-0005-0000-0000-00007A160000}"/>
    <cellStyle name="Normal 2 2 13 9 2 4" xfId="7387" xr:uid="{00000000-0005-0000-0000-00007B160000}"/>
    <cellStyle name="Normal 2 2 13 9 3" xfId="5453" xr:uid="{00000000-0005-0000-0000-00007C160000}"/>
    <cellStyle name="Normal 2 2 13 9 3 2" xfId="8803" xr:uid="{00000000-0005-0000-0000-00007D160000}"/>
    <cellStyle name="Normal 2 2 13 9 4" xfId="10478" xr:uid="{00000000-0005-0000-0000-00007E160000}"/>
    <cellStyle name="Normal 2 2 13 9 5" xfId="7128" xr:uid="{00000000-0005-0000-0000-00007F160000}"/>
    <cellStyle name="Normal 2 2 14" xfId="2097" xr:uid="{00000000-0005-0000-0000-00007D080000}"/>
    <cellStyle name="Normal 2 2 14 2" xfId="2419" xr:uid="{00000000-0005-0000-0000-00007E080000}"/>
    <cellStyle name="Normal 2 2 2" xfId="31" xr:uid="{557C3841-4FF4-4EE1-9C99-67C9DDF69A59}"/>
    <cellStyle name="Normal 2 2 2 2" xfId="56" xr:uid="{00000000-0005-0000-0000-000080080000}"/>
    <cellStyle name="Normal 2 2 2 2 2" xfId="2099" xr:uid="{00000000-0005-0000-0000-000081080000}"/>
    <cellStyle name="Normal 2 2 2 2 2 2" xfId="2100" xr:uid="{00000000-0005-0000-0000-000082080000}"/>
    <cellStyle name="Normal 2 2 2 2 3" xfId="2098" xr:uid="{00000000-0005-0000-0000-000083080000}"/>
    <cellStyle name="Normal 2 2 2 3" xfId="25" xr:uid="{5CFA4A57-719D-4455-A263-ABCF3F301EAC}"/>
    <cellStyle name="Normal 2 2 2 3 2" xfId="2101" xr:uid="{00000000-0005-0000-0000-000085080000}"/>
    <cellStyle name="Normal 2 2 2 3 2 2" xfId="2420" xr:uid="{00000000-0005-0000-0000-000086080000}"/>
    <cellStyle name="Normal 2 2 2 3 2 3" xfId="2637" xr:uid="{00000000-0005-0000-0000-000087080000}"/>
    <cellStyle name="Normal 2 2 2 3 3" xfId="2421" xr:uid="{00000000-0005-0000-0000-000088080000}"/>
    <cellStyle name="Normal 2 2 2 3 4" xfId="285" xr:uid="{00000000-0005-0000-0000-000084080000}"/>
    <cellStyle name="Normal 2 2 2 4" xfId="284" xr:uid="{00000000-0005-0000-0000-000089080000}"/>
    <cellStyle name="Normal 2 2 2 4 2" xfId="2102" xr:uid="{00000000-0005-0000-0000-00008A080000}"/>
    <cellStyle name="Normal 2 2 2 4 2 2" xfId="2638" xr:uid="{00000000-0005-0000-0000-00008B080000}"/>
    <cellStyle name="Normal 2 2 2 5" xfId="356" xr:uid="{00000000-0005-0000-0000-00008C080000}"/>
    <cellStyle name="Normal 2 2 2 6" xfId="12079" xr:uid="{00000000-0005-0000-0000-0000570A0000}"/>
    <cellStyle name="Normal 2 2 3" xfId="286" xr:uid="{00000000-0005-0000-0000-00008D080000}"/>
    <cellStyle name="Normal 2 2 3 2" xfId="2740" xr:uid="{00000000-0005-0000-0000-00008E080000}"/>
    <cellStyle name="Normal 2 2 3 3" xfId="12080" xr:uid="{00000000-0005-0000-0000-00005A0A0000}"/>
    <cellStyle name="Normal 2 2 4" xfId="287" xr:uid="{00000000-0005-0000-0000-00008F080000}"/>
    <cellStyle name="Normal 2 2 4 2" xfId="12081" xr:uid="{00000000-0005-0000-0000-00005C0A0000}"/>
    <cellStyle name="Normal 2 2 5" xfId="288" xr:uid="{00000000-0005-0000-0000-000090080000}"/>
    <cellStyle name="Normal 2 2 5 2" xfId="2104" xr:uid="{00000000-0005-0000-0000-000091080000}"/>
    <cellStyle name="Normal 2 2 5 3" xfId="2105" xr:uid="{00000000-0005-0000-0000-000092080000}"/>
    <cellStyle name="Normal 2 2 5 3 2" xfId="2639" xr:uid="{00000000-0005-0000-0000-000093080000}"/>
    <cellStyle name="Normal 2 2 5 3 2 2" xfId="2839" xr:uid="{00000000-0005-0000-0000-000093080000}"/>
    <cellStyle name="Normal 2 2 5 3 3" xfId="2800" xr:uid="{00000000-0005-0000-0000-000092080000}"/>
    <cellStyle name="Normal 2 2 5 4" xfId="2103" xr:uid="{00000000-0005-0000-0000-000094080000}"/>
    <cellStyle name="Normal 2 2 5 4 2" xfId="2640" xr:uid="{00000000-0005-0000-0000-000095080000}"/>
    <cellStyle name="Normal 2 2 6" xfId="9" xr:uid="{BB572B18-9593-4874-AD94-8DBAEBB96005}"/>
    <cellStyle name="Normal 2 2 6 2" xfId="41" xr:uid="{32EBBB81-8480-4E63-A944-38F9E14403B4}"/>
    <cellStyle name="Normal 2 2 6 2 2" xfId="12290" xr:uid="{4719CECA-1222-458B-BC15-9E7AA8DFD1B0}"/>
    <cellStyle name="Normal 2 2 6 3" xfId="2106" xr:uid="{00000000-0005-0000-0000-000098080000}"/>
    <cellStyle name="Normal 2 2 6 4" xfId="12082" xr:uid="{00000000-0005-0000-0000-0000680A0000}"/>
    <cellStyle name="Normal 2 2 7" xfId="50" xr:uid="{357DBB01-F89E-43AC-BA76-593EAC6B8640}"/>
    <cellStyle name="Normal 2 2 8" xfId="2107" xr:uid="{00000000-0005-0000-0000-00009A080000}"/>
    <cellStyle name="Normal 2 2 8 10" xfId="3549" xr:uid="{00000000-0005-0000-0000-000090160000}"/>
    <cellStyle name="Normal 2 2 8 10 2" xfId="4516" xr:uid="{00000000-0005-0000-0000-000091160000}"/>
    <cellStyle name="Normal 2 2 8 10 2 2" xfId="6191" xr:uid="{00000000-0005-0000-0000-000092160000}"/>
    <cellStyle name="Normal 2 2 8 10 2 2 2" xfId="9541" xr:uid="{00000000-0005-0000-0000-000093160000}"/>
    <cellStyle name="Normal 2 2 8 10 2 3" xfId="11216" xr:uid="{00000000-0005-0000-0000-000094160000}"/>
    <cellStyle name="Normal 2 2 8 10 2 4" xfId="7866" xr:uid="{00000000-0005-0000-0000-000095160000}"/>
    <cellStyle name="Normal 2 2 8 10 3" xfId="5224" xr:uid="{00000000-0005-0000-0000-000096160000}"/>
    <cellStyle name="Normal 2 2 8 10 3 2" xfId="8574" xr:uid="{00000000-0005-0000-0000-000097160000}"/>
    <cellStyle name="Normal 2 2 8 10 4" xfId="10249" xr:uid="{00000000-0005-0000-0000-000098160000}"/>
    <cellStyle name="Normal 2 2 8 10 5" xfId="6899" xr:uid="{00000000-0005-0000-0000-000099160000}"/>
    <cellStyle name="Normal 2 2 8 11" xfId="3785" xr:uid="{00000000-0005-0000-0000-00009A160000}"/>
    <cellStyle name="Normal 2 2 8 11 2" xfId="4044" xr:uid="{00000000-0005-0000-0000-00009B160000}"/>
    <cellStyle name="Normal 2 2 8 11 2 2" xfId="5719" xr:uid="{00000000-0005-0000-0000-00009C160000}"/>
    <cellStyle name="Normal 2 2 8 11 2 2 2" xfId="9069" xr:uid="{00000000-0005-0000-0000-00009D160000}"/>
    <cellStyle name="Normal 2 2 8 11 2 3" xfId="10744" xr:uid="{00000000-0005-0000-0000-00009E160000}"/>
    <cellStyle name="Normal 2 2 8 11 2 4" xfId="7394" xr:uid="{00000000-0005-0000-0000-00009F160000}"/>
    <cellStyle name="Normal 2 2 8 11 3" xfId="5460" xr:uid="{00000000-0005-0000-0000-0000A0160000}"/>
    <cellStyle name="Normal 2 2 8 11 3 2" xfId="8810" xr:uid="{00000000-0005-0000-0000-0000A1160000}"/>
    <cellStyle name="Normal 2 2 8 11 4" xfId="10485" xr:uid="{00000000-0005-0000-0000-0000A2160000}"/>
    <cellStyle name="Normal 2 2 8 11 5" xfId="7135" xr:uid="{00000000-0005-0000-0000-0000A3160000}"/>
    <cellStyle name="Normal 2 2 8 12" xfId="4021" xr:uid="{00000000-0005-0000-0000-0000A4160000}"/>
    <cellStyle name="Normal 2 2 8 12 2" xfId="5696" xr:uid="{00000000-0005-0000-0000-0000A5160000}"/>
    <cellStyle name="Normal 2 2 8 12 2 2" xfId="9046" xr:uid="{00000000-0005-0000-0000-0000A6160000}"/>
    <cellStyle name="Normal 2 2 8 12 3" xfId="10721" xr:uid="{00000000-0005-0000-0000-0000A7160000}"/>
    <cellStyle name="Normal 2 2 8 12 4" xfId="7371" xr:uid="{00000000-0005-0000-0000-0000A8160000}"/>
    <cellStyle name="Normal 2 2 8 13" xfId="4752" xr:uid="{00000000-0005-0000-0000-0000A9160000}"/>
    <cellStyle name="Normal 2 2 8 13 2" xfId="8102" xr:uid="{00000000-0005-0000-0000-0000AA160000}"/>
    <cellStyle name="Normal 2 2 8 14" xfId="9777" xr:uid="{00000000-0005-0000-0000-0000AB160000}"/>
    <cellStyle name="Normal 2 2 8 15" xfId="6427" xr:uid="{00000000-0005-0000-0000-0000AC160000}"/>
    <cellStyle name="Normal 2 2 8 16" xfId="12234" xr:uid="{00000000-0005-0000-0000-00008F160000}"/>
    <cellStyle name="Normal 2 2 8 2" xfId="2108" xr:uid="{00000000-0005-0000-0000-00009B080000}"/>
    <cellStyle name="Normal 2 2 8 2 2" xfId="2109" xr:uid="{00000000-0005-0000-0000-00009C080000}"/>
    <cellStyle name="Normal 2 2 8 2 2 10" xfId="4022" xr:uid="{00000000-0005-0000-0000-0000AF160000}"/>
    <cellStyle name="Normal 2 2 8 2 2 10 2" xfId="5697" xr:uid="{00000000-0005-0000-0000-0000B0160000}"/>
    <cellStyle name="Normal 2 2 8 2 2 10 2 2" xfId="9047" xr:uid="{00000000-0005-0000-0000-0000B1160000}"/>
    <cellStyle name="Normal 2 2 8 2 2 10 3" xfId="10722" xr:uid="{00000000-0005-0000-0000-0000B2160000}"/>
    <cellStyle name="Normal 2 2 8 2 2 10 4" xfId="7372" xr:uid="{00000000-0005-0000-0000-0000B3160000}"/>
    <cellStyle name="Normal 2 2 8 2 2 11" xfId="4753" xr:uid="{00000000-0005-0000-0000-0000B4160000}"/>
    <cellStyle name="Normal 2 2 8 2 2 11 2" xfId="8103" xr:uid="{00000000-0005-0000-0000-0000B5160000}"/>
    <cellStyle name="Normal 2 2 8 2 2 12" xfId="9778" xr:uid="{00000000-0005-0000-0000-0000B6160000}"/>
    <cellStyle name="Normal 2 2 8 2 2 13" xfId="6428" xr:uid="{00000000-0005-0000-0000-0000B7160000}"/>
    <cellStyle name="Normal 2 2 8 2 2 14" xfId="12235" xr:uid="{00000000-0005-0000-0000-0000AE160000}"/>
    <cellStyle name="Normal 2 2 8 2 2 2" xfId="3103" xr:uid="{00000000-0005-0000-0000-0000B8160000}"/>
    <cellStyle name="Normal 2 2 8 2 2 2 2" xfId="3220" xr:uid="{00000000-0005-0000-0000-0000B9160000}"/>
    <cellStyle name="Normal 2 2 8 2 2 2 2 2" xfId="3456" xr:uid="{00000000-0005-0000-0000-0000BA160000}"/>
    <cellStyle name="Normal 2 2 8 2 2 2 2 2 2" xfId="4422" xr:uid="{00000000-0005-0000-0000-0000BB160000}"/>
    <cellStyle name="Normal 2 2 8 2 2 2 2 2 2 2" xfId="6097" xr:uid="{00000000-0005-0000-0000-0000BC160000}"/>
    <cellStyle name="Normal 2 2 8 2 2 2 2 2 2 2 2" xfId="9447" xr:uid="{00000000-0005-0000-0000-0000BD160000}"/>
    <cellStyle name="Normal 2 2 8 2 2 2 2 2 2 3" xfId="11122" xr:uid="{00000000-0005-0000-0000-0000BE160000}"/>
    <cellStyle name="Normal 2 2 8 2 2 2 2 2 2 4" xfId="7772" xr:uid="{00000000-0005-0000-0000-0000BF160000}"/>
    <cellStyle name="Normal 2 2 8 2 2 2 2 2 3" xfId="5130" xr:uid="{00000000-0005-0000-0000-0000C0160000}"/>
    <cellStyle name="Normal 2 2 8 2 2 2 2 2 3 2" xfId="8480" xr:uid="{00000000-0005-0000-0000-0000C1160000}"/>
    <cellStyle name="Normal 2 2 8 2 2 2 2 2 4" xfId="10155" xr:uid="{00000000-0005-0000-0000-0000C2160000}"/>
    <cellStyle name="Normal 2 2 8 2 2 2 2 2 5" xfId="6805" xr:uid="{00000000-0005-0000-0000-0000C3160000}"/>
    <cellStyle name="Normal 2 2 8 2 2 2 2 3" xfId="3691" xr:uid="{00000000-0005-0000-0000-0000C4160000}"/>
    <cellStyle name="Normal 2 2 8 2 2 2 2 3 2" xfId="4658" xr:uid="{00000000-0005-0000-0000-0000C5160000}"/>
    <cellStyle name="Normal 2 2 8 2 2 2 2 3 2 2" xfId="6333" xr:uid="{00000000-0005-0000-0000-0000C6160000}"/>
    <cellStyle name="Normal 2 2 8 2 2 2 2 3 2 2 2" xfId="9683" xr:uid="{00000000-0005-0000-0000-0000C7160000}"/>
    <cellStyle name="Normal 2 2 8 2 2 2 2 3 2 3" xfId="11358" xr:uid="{00000000-0005-0000-0000-0000C8160000}"/>
    <cellStyle name="Normal 2 2 8 2 2 2 2 3 2 4" xfId="8008" xr:uid="{00000000-0005-0000-0000-0000C9160000}"/>
    <cellStyle name="Normal 2 2 8 2 2 2 2 3 3" xfId="5366" xr:uid="{00000000-0005-0000-0000-0000CA160000}"/>
    <cellStyle name="Normal 2 2 8 2 2 2 2 3 3 2" xfId="8716" xr:uid="{00000000-0005-0000-0000-0000CB160000}"/>
    <cellStyle name="Normal 2 2 8 2 2 2 2 3 4" xfId="10391" xr:uid="{00000000-0005-0000-0000-0000CC160000}"/>
    <cellStyle name="Normal 2 2 8 2 2 2 2 3 5" xfId="7041" xr:uid="{00000000-0005-0000-0000-0000CD160000}"/>
    <cellStyle name="Normal 2 2 8 2 2 2 2 4" xfId="3927" xr:uid="{00000000-0005-0000-0000-0000CE160000}"/>
    <cellStyle name="Normal 2 2 8 2 2 2 2 4 2" xfId="5602" xr:uid="{00000000-0005-0000-0000-0000CF160000}"/>
    <cellStyle name="Normal 2 2 8 2 2 2 2 4 2 2" xfId="8952" xr:uid="{00000000-0005-0000-0000-0000D0160000}"/>
    <cellStyle name="Normal 2 2 8 2 2 2 2 4 3" xfId="10627" xr:uid="{00000000-0005-0000-0000-0000D1160000}"/>
    <cellStyle name="Normal 2 2 8 2 2 2 2 4 4" xfId="7277" xr:uid="{00000000-0005-0000-0000-0000D2160000}"/>
    <cellStyle name="Normal 2 2 8 2 2 2 2 5" xfId="4186" xr:uid="{00000000-0005-0000-0000-0000D3160000}"/>
    <cellStyle name="Normal 2 2 8 2 2 2 2 5 2" xfId="5861" xr:uid="{00000000-0005-0000-0000-0000D4160000}"/>
    <cellStyle name="Normal 2 2 8 2 2 2 2 5 2 2" xfId="9211" xr:uid="{00000000-0005-0000-0000-0000D5160000}"/>
    <cellStyle name="Normal 2 2 8 2 2 2 2 5 3" xfId="10886" xr:uid="{00000000-0005-0000-0000-0000D6160000}"/>
    <cellStyle name="Normal 2 2 8 2 2 2 2 5 4" xfId="7536" xr:uid="{00000000-0005-0000-0000-0000D7160000}"/>
    <cellStyle name="Normal 2 2 8 2 2 2 2 6" xfId="4894" xr:uid="{00000000-0005-0000-0000-0000D8160000}"/>
    <cellStyle name="Normal 2 2 8 2 2 2 2 6 2" xfId="8244" xr:uid="{00000000-0005-0000-0000-0000D9160000}"/>
    <cellStyle name="Normal 2 2 8 2 2 2 2 7" xfId="9919" xr:uid="{00000000-0005-0000-0000-0000DA160000}"/>
    <cellStyle name="Normal 2 2 8 2 2 2 2 8" xfId="6569" xr:uid="{00000000-0005-0000-0000-0000DB160000}"/>
    <cellStyle name="Normal 2 2 8 2 2 2 3" xfId="3338" xr:uid="{00000000-0005-0000-0000-0000DC160000}"/>
    <cellStyle name="Normal 2 2 8 2 2 2 3 2" xfId="4304" xr:uid="{00000000-0005-0000-0000-0000DD160000}"/>
    <cellStyle name="Normal 2 2 8 2 2 2 3 2 2" xfId="5979" xr:uid="{00000000-0005-0000-0000-0000DE160000}"/>
    <cellStyle name="Normal 2 2 8 2 2 2 3 2 2 2" xfId="9329" xr:uid="{00000000-0005-0000-0000-0000DF160000}"/>
    <cellStyle name="Normal 2 2 8 2 2 2 3 2 3" xfId="11004" xr:uid="{00000000-0005-0000-0000-0000E0160000}"/>
    <cellStyle name="Normal 2 2 8 2 2 2 3 2 4" xfId="7654" xr:uid="{00000000-0005-0000-0000-0000E1160000}"/>
    <cellStyle name="Normal 2 2 8 2 2 2 3 3" xfId="5012" xr:uid="{00000000-0005-0000-0000-0000E2160000}"/>
    <cellStyle name="Normal 2 2 8 2 2 2 3 3 2" xfId="8362" xr:uid="{00000000-0005-0000-0000-0000E3160000}"/>
    <cellStyle name="Normal 2 2 8 2 2 2 3 4" xfId="10037" xr:uid="{00000000-0005-0000-0000-0000E4160000}"/>
    <cellStyle name="Normal 2 2 8 2 2 2 3 5" xfId="6687" xr:uid="{00000000-0005-0000-0000-0000E5160000}"/>
    <cellStyle name="Normal 2 2 8 2 2 2 4" xfId="3573" xr:uid="{00000000-0005-0000-0000-0000E6160000}"/>
    <cellStyle name="Normal 2 2 8 2 2 2 4 2" xfId="4540" xr:uid="{00000000-0005-0000-0000-0000E7160000}"/>
    <cellStyle name="Normal 2 2 8 2 2 2 4 2 2" xfId="6215" xr:uid="{00000000-0005-0000-0000-0000E8160000}"/>
    <cellStyle name="Normal 2 2 8 2 2 2 4 2 2 2" xfId="9565" xr:uid="{00000000-0005-0000-0000-0000E9160000}"/>
    <cellStyle name="Normal 2 2 8 2 2 2 4 2 3" xfId="11240" xr:uid="{00000000-0005-0000-0000-0000EA160000}"/>
    <cellStyle name="Normal 2 2 8 2 2 2 4 2 4" xfId="7890" xr:uid="{00000000-0005-0000-0000-0000EB160000}"/>
    <cellStyle name="Normal 2 2 8 2 2 2 4 3" xfId="5248" xr:uid="{00000000-0005-0000-0000-0000EC160000}"/>
    <cellStyle name="Normal 2 2 8 2 2 2 4 3 2" xfId="8598" xr:uid="{00000000-0005-0000-0000-0000ED160000}"/>
    <cellStyle name="Normal 2 2 8 2 2 2 4 4" xfId="10273" xr:uid="{00000000-0005-0000-0000-0000EE160000}"/>
    <cellStyle name="Normal 2 2 8 2 2 2 4 5" xfId="6923" xr:uid="{00000000-0005-0000-0000-0000EF160000}"/>
    <cellStyle name="Normal 2 2 8 2 2 2 5" xfId="3809" xr:uid="{00000000-0005-0000-0000-0000F0160000}"/>
    <cellStyle name="Normal 2 2 8 2 2 2 5 2" xfId="5484" xr:uid="{00000000-0005-0000-0000-0000F1160000}"/>
    <cellStyle name="Normal 2 2 8 2 2 2 5 2 2" xfId="8834" xr:uid="{00000000-0005-0000-0000-0000F2160000}"/>
    <cellStyle name="Normal 2 2 8 2 2 2 5 3" xfId="10509" xr:uid="{00000000-0005-0000-0000-0000F3160000}"/>
    <cellStyle name="Normal 2 2 8 2 2 2 5 4" xfId="7159" xr:uid="{00000000-0005-0000-0000-0000F4160000}"/>
    <cellStyle name="Normal 2 2 8 2 2 2 6" xfId="4068" xr:uid="{00000000-0005-0000-0000-0000F5160000}"/>
    <cellStyle name="Normal 2 2 8 2 2 2 6 2" xfId="5743" xr:uid="{00000000-0005-0000-0000-0000F6160000}"/>
    <cellStyle name="Normal 2 2 8 2 2 2 6 2 2" xfId="9093" xr:uid="{00000000-0005-0000-0000-0000F7160000}"/>
    <cellStyle name="Normal 2 2 8 2 2 2 6 3" xfId="10768" xr:uid="{00000000-0005-0000-0000-0000F8160000}"/>
    <cellStyle name="Normal 2 2 8 2 2 2 6 4" xfId="7418" xr:uid="{00000000-0005-0000-0000-0000F9160000}"/>
    <cellStyle name="Normal 2 2 8 2 2 2 7" xfId="4776" xr:uid="{00000000-0005-0000-0000-0000FA160000}"/>
    <cellStyle name="Normal 2 2 8 2 2 2 7 2" xfId="8126" xr:uid="{00000000-0005-0000-0000-0000FB160000}"/>
    <cellStyle name="Normal 2 2 8 2 2 2 8" xfId="9801" xr:uid="{00000000-0005-0000-0000-0000FC160000}"/>
    <cellStyle name="Normal 2 2 8 2 2 2 9" xfId="6451" xr:uid="{00000000-0005-0000-0000-0000FD160000}"/>
    <cellStyle name="Normal 2 2 8 2 2 3" xfId="3126" xr:uid="{00000000-0005-0000-0000-0000FE160000}"/>
    <cellStyle name="Normal 2 2 8 2 2 3 2" xfId="3243" xr:uid="{00000000-0005-0000-0000-0000FF160000}"/>
    <cellStyle name="Normal 2 2 8 2 2 3 2 2" xfId="3479" xr:uid="{00000000-0005-0000-0000-000000170000}"/>
    <cellStyle name="Normal 2 2 8 2 2 3 2 2 2" xfId="4445" xr:uid="{00000000-0005-0000-0000-000001170000}"/>
    <cellStyle name="Normal 2 2 8 2 2 3 2 2 2 2" xfId="6120" xr:uid="{00000000-0005-0000-0000-000002170000}"/>
    <cellStyle name="Normal 2 2 8 2 2 3 2 2 2 2 2" xfId="9470" xr:uid="{00000000-0005-0000-0000-000003170000}"/>
    <cellStyle name="Normal 2 2 8 2 2 3 2 2 2 3" xfId="11145" xr:uid="{00000000-0005-0000-0000-000004170000}"/>
    <cellStyle name="Normal 2 2 8 2 2 3 2 2 2 4" xfId="7795" xr:uid="{00000000-0005-0000-0000-000005170000}"/>
    <cellStyle name="Normal 2 2 8 2 2 3 2 2 3" xfId="5153" xr:uid="{00000000-0005-0000-0000-000006170000}"/>
    <cellStyle name="Normal 2 2 8 2 2 3 2 2 3 2" xfId="8503" xr:uid="{00000000-0005-0000-0000-000007170000}"/>
    <cellStyle name="Normal 2 2 8 2 2 3 2 2 4" xfId="10178" xr:uid="{00000000-0005-0000-0000-000008170000}"/>
    <cellStyle name="Normal 2 2 8 2 2 3 2 2 5" xfId="6828" xr:uid="{00000000-0005-0000-0000-000009170000}"/>
    <cellStyle name="Normal 2 2 8 2 2 3 2 3" xfId="3714" xr:uid="{00000000-0005-0000-0000-00000A170000}"/>
    <cellStyle name="Normal 2 2 8 2 2 3 2 3 2" xfId="4681" xr:uid="{00000000-0005-0000-0000-00000B170000}"/>
    <cellStyle name="Normal 2 2 8 2 2 3 2 3 2 2" xfId="6356" xr:uid="{00000000-0005-0000-0000-00000C170000}"/>
    <cellStyle name="Normal 2 2 8 2 2 3 2 3 2 2 2" xfId="9706" xr:uid="{00000000-0005-0000-0000-00000D170000}"/>
    <cellStyle name="Normal 2 2 8 2 2 3 2 3 2 3" xfId="11381" xr:uid="{00000000-0005-0000-0000-00000E170000}"/>
    <cellStyle name="Normal 2 2 8 2 2 3 2 3 2 4" xfId="8031" xr:uid="{00000000-0005-0000-0000-00000F170000}"/>
    <cellStyle name="Normal 2 2 8 2 2 3 2 3 3" xfId="5389" xr:uid="{00000000-0005-0000-0000-000010170000}"/>
    <cellStyle name="Normal 2 2 8 2 2 3 2 3 3 2" xfId="8739" xr:uid="{00000000-0005-0000-0000-000011170000}"/>
    <cellStyle name="Normal 2 2 8 2 2 3 2 3 4" xfId="10414" xr:uid="{00000000-0005-0000-0000-000012170000}"/>
    <cellStyle name="Normal 2 2 8 2 2 3 2 3 5" xfId="7064" xr:uid="{00000000-0005-0000-0000-000013170000}"/>
    <cellStyle name="Normal 2 2 8 2 2 3 2 4" xfId="3950" xr:uid="{00000000-0005-0000-0000-000014170000}"/>
    <cellStyle name="Normal 2 2 8 2 2 3 2 4 2" xfId="5625" xr:uid="{00000000-0005-0000-0000-000015170000}"/>
    <cellStyle name="Normal 2 2 8 2 2 3 2 4 2 2" xfId="8975" xr:uid="{00000000-0005-0000-0000-000016170000}"/>
    <cellStyle name="Normal 2 2 8 2 2 3 2 4 3" xfId="10650" xr:uid="{00000000-0005-0000-0000-000017170000}"/>
    <cellStyle name="Normal 2 2 8 2 2 3 2 4 4" xfId="7300" xr:uid="{00000000-0005-0000-0000-000018170000}"/>
    <cellStyle name="Normal 2 2 8 2 2 3 2 5" xfId="4209" xr:uid="{00000000-0005-0000-0000-000019170000}"/>
    <cellStyle name="Normal 2 2 8 2 2 3 2 5 2" xfId="5884" xr:uid="{00000000-0005-0000-0000-00001A170000}"/>
    <cellStyle name="Normal 2 2 8 2 2 3 2 5 2 2" xfId="9234" xr:uid="{00000000-0005-0000-0000-00001B170000}"/>
    <cellStyle name="Normal 2 2 8 2 2 3 2 5 3" xfId="10909" xr:uid="{00000000-0005-0000-0000-00001C170000}"/>
    <cellStyle name="Normal 2 2 8 2 2 3 2 5 4" xfId="7559" xr:uid="{00000000-0005-0000-0000-00001D170000}"/>
    <cellStyle name="Normal 2 2 8 2 2 3 2 6" xfId="4917" xr:uid="{00000000-0005-0000-0000-00001E170000}"/>
    <cellStyle name="Normal 2 2 8 2 2 3 2 6 2" xfId="8267" xr:uid="{00000000-0005-0000-0000-00001F170000}"/>
    <cellStyle name="Normal 2 2 8 2 2 3 2 7" xfId="9942" xr:uid="{00000000-0005-0000-0000-000020170000}"/>
    <cellStyle name="Normal 2 2 8 2 2 3 2 8" xfId="6592" xr:uid="{00000000-0005-0000-0000-000021170000}"/>
    <cellStyle name="Normal 2 2 8 2 2 3 3" xfId="3361" xr:uid="{00000000-0005-0000-0000-000022170000}"/>
    <cellStyle name="Normal 2 2 8 2 2 3 3 2" xfId="4327" xr:uid="{00000000-0005-0000-0000-000023170000}"/>
    <cellStyle name="Normal 2 2 8 2 2 3 3 2 2" xfId="6002" xr:uid="{00000000-0005-0000-0000-000024170000}"/>
    <cellStyle name="Normal 2 2 8 2 2 3 3 2 2 2" xfId="9352" xr:uid="{00000000-0005-0000-0000-000025170000}"/>
    <cellStyle name="Normal 2 2 8 2 2 3 3 2 3" xfId="11027" xr:uid="{00000000-0005-0000-0000-000026170000}"/>
    <cellStyle name="Normal 2 2 8 2 2 3 3 2 4" xfId="7677" xr:uid="{00000000-0005-0000-0000-000027170000}"/>
    <cellStyle name="Normal 2 2 8 2 2 3 3 3" xfId="5035" xr:uid="{00000000-0005-0000-0000-000028170000}"/>
    <cellStyle name="Normal 2 2 8 2 2 3 3 3 2" xfId="8385" xr:uid="{00000000-0005-0000-0000-000029170000}"/>
    <cellStyle name="Normal 2 2 8 2 2 3 3 4" xfId="10060" xr:uid="{00000000-0005-0000-0000-00002A170000}"/>
    <cellStyle name="Normal 2 2 8 2 2 3 3 5" xfId="6710" xr:uid="{00000000-0005-0000-0000-00002B170000}"/>
    <cellStyle name="Normal 2 2 8 2 2 3 4" xfId="3596" xr:uid="{00000000-0005-0000-0000-00002C170000}"/>
    <cellStyle name="Normal 2 2 8 2 2 3 4 2" xfId="4563" xr:uid="{00000000-0005-0000-0000-00002D170000}"/>
    <cellStyle name="Normal 2 2 8 2 2 3 4 2 2" xfId="6238" xr:uid="{00000000-0005-0000-0000-00002E170000}"/>
    <cellStyle name="Normal 2 2 8 2 2 3 4 2 2 2" xfId="9588" xr:uid="{00000000-0005-0000-0000-00002F170000}"/>
    <cellStyle name="Normal 2 2 8 2 2 3 4 2 3" xfId="11263" xr:uid="{00000000-0005-0000-0000-000030170000}"/>
    <cellStyle name="Normal 2 2 8 2 2 3 4 2 4" xfId="7913" xr:uid="{00000000-0005-0000-0000-000031170000}"/>
    <cellStyle name="Normal 2 2 8 2 2 3 4 3" xfId="5271" xr:uid="{00000000-0005-0000-0000-000032170000}"/>
    <cellStyle name="Normal 2 2 8 2 2 3 4 3 2" xfId="8621" xr:uid="{00000000-0005-0000-0000-000033170000}"/>
    <cellStyle name="Normal 2 2 8 2 2 3 4 4" xfId="10296" xr:uid="{00000000-0005-0000-0000-000034170000}"/>
    <cellStyle name="Normal 2 2 8 2 2 3 4 5" xfId="6946" xr:uid="{00000000-0005-0000-0000-000035170000}"/>
    <cellStyle name="Normal 2 2 8 2 2 3 5" xfId="3832" xr:uid="{00000000-0005-0000-0000-000036170000}"/>
    <cellStyle name="Normal 2 2 8 2 2 3 5 2" xfId="5507" xr:uid="{00000000-0005-0000-0000-000037170000}"/>
    <cellStyle name="Normal 2 2 8 2 2 3 5 2 2" xfId="8857" xr:uid="{00000000-0005-0000-0000-000038170000}"/>
    <cellStyle name="Normal 2 2 8 2 2 3 5 3" xfId="10532" xr:uid="{00000000-0005-0000-0000-000039170000}"/>
    <cellStyle name="Normal 2 2 8 2 2 3 5 4" xfId="7182" xr:uid="{00000000-0005-0000-0000-00003A170000}"/>
    <cellStyle name="Normal 2 2 8 2 2 3 6" xfId="4091" xr:uid="{00000000-0005-0000-0000-00003B170000}"/>
    <cellStyle name="Normal 2 2 8 2 2 3 6 2" xfId="5766" xr:uid="{00000000-0005-0000-0000-00003C170000}"/>
    <cellStyle name="Normal 2 2 8 2 2 3 6 2 2" xfId="9116" xr:uid="{00000000-0005-0000-0000-00003D170000}"/>
    <cellStyle name="Normal 2 2 8 2 2 3 6 3" xfId="10791" xr:uid="{00000000-0005-0000-0000-00003E170000}"/>
    <cellStyle name="Normal 2 2 8 2 2 3 6 4" xfId="7441" xr:uid="{00000000-0005-0000-0000-00003F170000}"/>
    <cellStyle name="Normal 2 2 8 2 2 3 7" xfId="4799" xr:uid="{00000000-0005-0000-0000-000040170000}"/>
    <cellStyle name="Normal 2 2 8 2 2 3 7 2" xfId="8149" xr:uid="{00000000-0005-0000-0000-000041170000}"/>
    <cellStyle name="Normal 2 2 8 2 2 3 8" xfId="9824" xr:uid="{00000000-0005-0000-0000-000042170000}"/>
    <cellStyle name="Normal 2 2 8 2 2 3 9" xfId="6474" xr:uid="{00000000-0005-0000-0000-000043170000}"/>
    <cellStyle name="Normal 2 2 8 2 2 4" xfId="3149" xr:uid="{00000000-0005-0000-0000-000044170000}"/>
    <cellStyle name="Normal 2 2 8 2 2 4 2" xfId="3267" xr:uid="{00000000-0005-0000-0000-000045170000}"/>
    <cellStyle name="Normal 2 2 8 2 2 4 2 2" xfId="3503" xr:uid="{00000000-0005-0000-0000-000046170000}"/>
    <cellStyle name="Normal 2 2 8 2 2 4 2 2 2" xfId="4469" xr:uid="{00000000-0005-0000-0000-000047170000}"/>
    <cellStyle name="Normal 2 2 8 2 2 4 2 2 2 2" xfId="6144" xr:uid="{00000000-0005-0000-0000-000048170000}"/>
    <cellStyle name="Normal 2 2 8 2 2 4 2 2 2 2 2" xfId="9494" xr:uid="{00000000-0005-0000-0000-000049170000}"/>
    <cellStyle name="Normal 2 2 8 2 2 4 2 2 2 3" xfId="11169" xr:uid="{00000000-0005-0000-0000-00004A170000}"/>
    <cellStyle name="Normal 2 2 8 2 2 4 2 2 2 4" xfId="7819" xr:uid="{00000000-0005-0000-0000-00004B170000}"/>
    <cellStyle name="Normal 2 2 8 2 2 4 2 2 3" xfId="5177" xr:uid="{00000000-0005-0000-0000-00004C170000}"/>
    <cellStyle name="Normal 2 2 8 2 2 4 2 2 3 2" xfId="8527" xr:uid="{00000000-0005-0000-0000-00004D170000}"/>
    <cellStyle name="Normal 2 2 8 2 2 4 2 2 4" xfId="10202" xr:uid="{00000000-0005-0000-0000-00004E170000}"/>
    <cellStyle name="Normal 2 2 8 2 2 4 2 2 5" xfId="6852" xr:uid="{00000000-0005-0000-0000-00004F170000}"/>
    <cellStyle name="Normal 2 2 8 2 2 4 2 3" xfId="3738" xr:uid="{00000000-0005-0000-0000-000050170000}"/>
    <cellStyle name="Normal 2 2 8 2 2 4 2 3 2" xfId="4705" xr:uid="{00000000-0005-0000-0000-000051170000}"/>
    <cellStyle name="Normal 2 2 8 2 2 4 2 3 2 2" xfId="6380" xr:uid="{00000000-0005-0000-0000-000052170000}"/>
    <cellStyle name="Normal 2 2 8 2 2 4 2 3 2 2 2" xfId="9730" xr:uid="{00000000-0005-0000-0000-000053170000}"/>
    <cellStyle name="Normal 2 2 8 2 2 4 2 3 2 3" xfId="11405" xr:uid="{00000000-0005-0000-0000-000054170000}"/>
    <cellStyle name="Normal 2 2 8 2 2 4 2 3 2 4" xfId="8055" xr:uid="{00000000-0005-0000-0000-000055170000}"/>
    <cellStyle name="Normal 2 2 8 2 2 4 2 3 3" xfId="5413" xr:uid="{00000000-0005-0000-0000-000056170000}"/>
    <cellStyle name="Normal 2 2 8 2 2 4 2 3 3 2" xfId="8763" xr:uid="{00000000-0005-0000-0000-000057170000}"/>
    <cellStyle name="Normal 2 2 8 2 2 4 2 3 4" xfId="10438" xr:uid="{00000000-0005-0000-0000-000058170000}"/>
    <cellStyle name="Normal 2 2 8 2 2 4 2 3 5" xfId="7088" xr:uid="{00000000-0005-0000-0000-000059170000}"/>
    <cellStyle name="Normal 2 2 8 2 2 4 2 4" xfId="3974" xr:uid="{00000000-0005-0000-0000-00005A170000}"/>
    <cellStyle name="Normal 2 2 8 2 2 4 2 4 2" xfId="5649" xr:uid="{00000000-0005-0000-0000-00005B170000}"/>
    <cellStyle name="Normal 2 2 8 2 2 4 2 4 2 2" xfId="8999" xr:uid="{00000000-0005-0000-0000-00005C170000}"/>
    <cellStyle name="Normal 2 2 8 2 2 4 2 4 3" xfId="10674" xr:uid="{00000000-0005-0000-0000-00005D170000}"/>
    <cellStyle name="Normal 2 2 8 2 2 4 2 4 4" xfId="7324" xr:uid="{00000000-0005-0000-0000-00005E170000}"/>
    <cellStyle name="Normal 2 2 8 2 2 4 2 5" xfId="4233" xr:uid="{00000000-0005-0000-0000-00005F170000}"/>
    <cellStyle name="Normal 2 2 8 2 2 4 2 5 2" xfId="5908" xr:uid="{00000000-0005-0000-0000-000060170000}"/>
    <cellStyle name="Normal 2 2 8 2 2 4 2 5 2 2" xfId="9258" xr:uid="{00000000-0005-0000-0000-000061170000}"/>
    <cellStyle name="Normal 2 2 8 2 2 4 2 5 3" xfId="10933" xr:uid="{00000000-0005-0000-0000-000062170000}"/>
    <cellStyle name="Normal 2 2 8 2 2 4 2 5 4" xfId="7583" xr:uid="{00000000-0005-0000-0000-000063170000}"/>
    <cellStyle name="Normal 2 2 8 2 2 4 2 6" xfId="4941" xr:uid="{00000000-0005-0000-0000-000064170000}"/>
    <cellStyle name="Normal 2 2 8 2 2 4 2 6 2" xfId="8291" xr:uid="{00000000-0005-0000-0000-000065170000}"/>
    <cellStyle name="Normal 2 2 8 2 2 4 2 7" xfId="9966" xr:uid="{00000000-0005-0000-0000-000066170000}"/>
    <cellStyle name="Normal 2 2 8 2 2 4 2 8" xfId="6616" xr:uid="{00000000-0005-0000-0000-000067170000}"/>
    <cellStyle name="Normal 2 2 8 2 2 4 3" xfId="3385" xr:uid="{00000000-0005-0000-0000-000068170000}"/>
    <cellStyle name="Normal 2 2 8 2 2 4 3 2" xfId="4351" xr:uid="{00000000-0005-0000-0000-000069170000}"/>
    <cellStyle name="Normal 2 2 8 2 2 4 3 2 2" xfId="6026" xr:uid="{00000000-0005-0000-0000-00006A170000}"/>
    <cellStyle name="Normal 2 2 8 2 2 4 3 2 2 2" xfId="9376" xr:uid="{00000000-0005-0000-0000-00006B170000}"/>
    <cellStyle name="Normal 2 2 8 2 2 4 3 2 3" xfId="11051" xr:uid="{00000000-0005-0000-0000-00006C170000}"/>
    <cellStyle name="Normal 2 2 8 2 2 4 3 2 4" xfId="7701" xr:uid="{00000000-0005-0000-0000-00006D170000}"/>
    <cellStyle name="Normal 2 2 8 2 2 4 3 3" xfId="5059" xr:uid="{00000000-0005-0000-0000-00006E170000}"/>
    <cellStyle name="Normal 2 2 8 2 2 4 3 3 2" xfId="8409" xr:uid="{00000000-0005-0000-0000-00006F170000}"/>
    <cellStyle name="Normal 2 2 8 2 2 4 3 4" xfId="10084" xr:uid="{00000000-0005-0000-0000-000070170000}"/>
    <cellStyle name="Normal 2 2 8 2 2 4 3 5" xfId="6734" xr:uid="{00000000-0005-0000-0000-000071170000}"/>
    <cellStyle name="Normal 2 2 8 2 2 4 4" xfId="3620" xr:uid="{00000000-0005-0000-0000-000072170000}"/>
    <cellStyle name="Normal 2 2 8 2 2 4 4 2" xfId="4587" xr:uid="{00000000-0005-0000-0000-000073170000}"/>
    <cellStyle name="Normal 2 2 8 2 2 4 4 2 2" xfId="6262" xr:uid="{00000000-0005-0000-0000-000074170000}"/>
    <cellStyle name="Normal 2 2 8 2 2 4 4 2 2 2" xfId="9612" xr:uid="{00000000-0005-0000-0000-000075170000}"/>
    <cellStyle name="Normal 2 2 8 2 2 4 4 2 3" xfId="11287" xr:uid="{00000000-0005-0000-0000-000076170000}"/>
    <cellStyle name="Normal 2 2 8 2 2 4 4 2 4" xfId="7937" xr:uid="{00000000-0005-0000-0000-000077170000}"/>
    <cellStyle name="Normal 2 2 8 2 2 4 4 3" xfId="5295" xr:uid="{00000000-0005-0000-0000-000078170000}"/>
    <cellStyle name="Normal 2 2 8 2 2 4 4 3 2" xfId="8645" xr:uid="{00000000-0005-0000-0000-000079170000}"/>
    <cellStyle name="Normal 2 2 8 2 2 4 4 4" xfId="10320" xr:uid="{00000000-0005-0000-0000-00007A170000}"/>
    <cellStyle name="Normal 2 2 8 2 2 4 4 5" xfId="6970" xr:uid="{00000000-0005-0000-0000-00007B170000}"/>
    <cellStyle name="Normal 2 2 8 2 2 4 5" xfId="3856" xr:uid="{00000000-0005-0000-0000-00007C170000}"/>
    <cellStyle name="Normal 2 2 8 2 2 4 5 2" xfId="5531" xr:uid="{00000000-0005-0000-0000-00007D170000}"/>
    <cellStyle name="Normal 2 2 8 2 2 4 5 2 2" xfId="8881" xr:uid="{00000000-0005-0000-0000-00007E170000}"/>
    <cellStyle name="Normal 2 2 8 2 2 4 5 3" xfId="10556" xr:uid="{00000000-0005-0000-0000-00007F170000}"/>
    <cellStyle name="Normal 2 2 8 2 2 4 5 4" xfId="7206" xr:uid="{00000000-0005-0000-0000-000080170000}"/>
    <cellStyle name="Normal 2 2 8 2 2 4 6" xfId="4115" xr:uid="{00000000-0005-0000-0000-000081170000}"/>
    <cellStyle name="Normal 2 2 8 2 2 4 6 2" xfId="5790" xr:uid="{00000000-0005-0000-0000-000082170000}"/>
    <cellStyle name="Normal 2 2 8 2 2 4 6 2 2" xfId="9140" xr:uid="{00000000-0005-0000-0000-000083170000}"/>
    <cellStyle name="Normal 2 2 8 2 2 4 6 3" xfId="10815" xr:uid="{00000000-0005-0000-0000-000084170000}"/>
    <cellStyle name="Normal 2 2 8 2 2 4 6 4" xfId="7465" xr:uid="{00000000-0005-0000-0000-000085170000}"/>
    <cellStyle name="Normal 2 2 8 2 2 4 7" xfId="4823" xr:uid="{00000000-0005-0000-0000-000086170000}"/>
    <cellStyle name="Normal 2 2 8 2 2 4 7 2" xfId="8173" xr:uid="{00000000-0005-0000-0000-000087170000}"/>
    <cellStyle name="Normal 2 2 8 2 2 4 8" xfId="9848" xr:uid="{00000000-0005-0000-0000-000088170000}"/>
    <cellStyle name="Normal 2 2 8 2 2 4 9" xfId="6498" xr:uid="{00000000-0005-0000-0000-000089170000}"/>
    <cellStyle name="Normal 2 2 8 2 2 5" xfId="3173" xr:uid="{00000000-0005-0000-0000-00008A170000}"/>
    <cellStyle name="Normal 2 2 8 2 2 5 2" xfId="3291" xr:uid="{00000000-0005-0000-0000-00008B170000}"/>
    <cellStyle name="Normal 2 2 8 2 2 5 2 2" xfId="3527" xr:uid="{00000000-0005-0000-0000-00008C170000}"/>
    <cellStyle name="Normal 2 2 8 2 2 5 2 2 2" xfId="4493" xr:uid="{00000000-0005-0000-0000-00008D170000}"/>
    <cellStyle name="Normal 2 2 8 2 2 5 2 2 2 2" xfId="6168" xr:uid="{00000000-0005-0000-0000-00008E170000}"/>
    <cellStyle name="Normal 2 2 8 2 2 5 2 2 2 2 2" xfId="9518" xr:uid="{00000000-0005-0000-0000-00008F170000}"/>
    <cellStyle name="Normal 2 2 8 2 2 5 2 2 2 3" xfId="11193" xr:uid="{00000000-0005-0000-0000-000090170000}"/>
    <cellStyle name="Normal 2 2 8 2 2 5 2 2 2 4" xfId="7843" xr:uid="{00000000-0005-0000-0000-000091170000}"/>
    <cellStyle name="Normal 2 2 8 2 2 5 2 2 3" xfId="5201" xr:uid="{00000000-0005-0000-0000-000092170000}"/>
    <cellStyle name="Normal 2 2 8 2 2 5 2 2 3 2" xfId="8551" xr:uid="{00000000-0005-0000-0000-000093170000}"/>
    <cellStyle name="Normal 2 2 8 2 2 5 2 2 4" xfId="10226" xr:uid="{00000000-0005-0000-0000-000094170000}"/>
    <cellStyle name="Normal 2 2 8 2 2 5 2 2 5" xfId="6876" xr:uid="{00000000-0005-0000-0000-000095170000}"/>
    <cellStyle name="Normal 2 2 8 2 2 5 2 3" xfId="3762" xr:uid="{00000000-0005-0000-0000-000096170000}"/>
    <cellStyle name="Normal 2 2 8 2 2 5 2 3 2" xfId="4729" xr:uid="{00000000-0005-0000-0000-000097170000}"/>
    <cellStyle name="Normal 2 2 8 2 2 5 2 3 2 2" xfId="6404" xr:uid="{00000000-0005-0000-0000-000098170000}"/>
    <cellStyle name="Normal 2 2 8 2 2 5 2 3 2 2 2" xfId="9754" xr:uid="{00000000-0005-0000-0000-000099170000}"/>
    <cellStyle name="Normal 2 2 8 2 2 5 2 3 2 3" xfId="11429" xr:uid="{00000000-0005-0000-0000-00009A170000}"/>
    <cellStyle name="Normal 2 2 8 2 2 5 2 3 2 4" xfId="8079" xr:uid="{00000000-0005-0000-0000-00009B170000}"/>
    <cellStyle name="Normal 2 2 8 2 2 5 2 3 3" xfId="5437" xr:uid="{00000000-0005-0000-0000-00009C170000}"/>
    <cellStyle name="Normal 2 2 8 2 2 5 2 3 3 2" xfId="8787" xr:uid="{00000000-0005-0000-0000-00009D170000}"/>
    <cellStyle name="Normal 2 2 8 2 2 5 2 3 4" xfId="10462" xr:uid="{00000000-0005-0000-0000-00009E170000}"/>
    <cellStyle name="Normal 2 2 8 2 2 5 2 3 5" xfId="7112" xr:uid="{00000000-0005-0000-0000-00009F170000}"/>
    <cellStyle name="Normal 2 2 8 2 2 5 2 4" xfId="3998" xr:uid="{00000000-0005-0000-0000-0000A0170000}"/>
    <cellStyle name="Normal 2 2 8 2 2 5 2 4 2" xfId="5673" xr:uid="{00000000-0005-0000-0000-0000A1170000}"/>
    <cellStyle name="Normal 2 2 8 2 2 5 2 4 2 2" xfId="9023" xr:uid="{00000000-0005-0000-0000-0000A2170000}"/>
    <cellStyle name="Normal 2 2 8 2 2 5 2 4 3" xfId="10698" xr:uid="{00000000-0005-0000-0000-0000A3170000}"/>
    <cellStyle name="Normal 2 2 8 2 2 5 2 4 4" xfId="7348" xr:uid="{00000000-0005-0000-0000-0000A4170000}"/>
    <cellStyle name="Normal 2 2 8 2 2 5 2 5" xfId="4257" xr:uid="{00000000-0005-0000-0000-0000A5170000}"/>
    <cellStyle name="Normal 2 2 8 2 2 5 2 5 2" xfId="5932" xr:uid="{00000000-0005-0000-0000-0000A6170000}"/>
    <cellStyle name="Normal 2 2 8 2 2 5 2 5 2 2" xfId="9282" xr:uid="{00000000-0005-0000-0000-0000A7170000}"/>
    <cellStyle name="Normal 2 2 8 2 2 5 2 5 3" xfId="10957" xr:uid="{00000000-0005-0000-0000-0000A8170000}"/>
    <cellStyle name="Normal 2 2 8 2 2 5 2 5 4" xfId="7607" xr:uid="{00000000-0005-0000-0000-0000A9170000}"/>
    <cellStyle name="Normal 2 2 8 2 2 5 2 6" xfId="4965" xr:uid="{00000000-0005-0000-0000-0000AA170000}"/>
    <cellStyle name="Normal 2 2 8 2 2 5 2 6 2" xfId="8315" xr:uid="{00000000-0005-0000-0000-0000AB170000}"/>
    <cellStyle name="Normal 2 2 8 2 2 5 2 7" xfId="9990" xr:uid="{00000000-0005-0000-0000-0000AC170000}"/>
    <cellStyle name="Normal 2 2 8 2 2 5 2 8" xfId="6640" xr:uid="{00000000-0005-0000-0000-0000AD170000}"/>
    <cellStyle name="Normal 2 2 8 2 2 5 3" xfId="3409" xr:uid="{00000000-0005-0000-0000-0000AE170000}"/>
    <cellStyle name="Normal 2 2 8 2 2 5 3 2" xfId="4375" xr:uid="{00000000-0005-0000-0000-0000AF170000}"/>
    <cellStyle name="Normal 2 2 8 2 2 5 3 2 2" xfId="6050" xr:uid="{00000000-0005-0000-0000-0000B0170000}"/>
    <cellStyle name="Normal 2 2 8 2 2 5 3 2 2 2" xfId="9400" xr:uid="{00000000-0005-0000-0000-0000B1170000}"/>
    <cellStyle name="Normal 2 2 8 2 2 5 3 2 3" xfId="11075" xr:uid="{00000000-0005-0000-0000-0000B2170000}"/>
    <cellStyle name="Normal 2 2 8 2 2 5 3 2 4" xfId="7725" xr:uid="{00000000-0005-0000-0000-0000B3170000}"/>
    <cellStyle name="Normal 2 2 8 2 2 5 3 3" xfId="5083" xr:uid="{00000000-0005-0000-0000-0000B4170000}"/>
    <cellStyle name="Normal 2 2 8 2 2 5 3 3 2" xfId="8433" xr:uid="{00000000-0005-0000-0000-0000B5170000}"/>
    <cellStyle name="Normal 2 2 8 2 2 5 3 4" xfId="10108" xr:uid="{00000000-0005-0000-0000-0000B6170000}"/>
    <cellStyle name="Normal 2 2 8 2 2 5 3 5" xfId="6758" xr:uid="{00000000-0005-0000-0000-0000B7170000}"/>
    <cellStyle name="Normal 2 2 8 2 2 5 4" xfId="3644" xr:uid="{00000000-0005-0000-0000-0000B8170000}"/>
    <cellStyle name="Normal 2 2 8 2 2 5 4 2" xfId="4611" xr:uid="{00000000-0005-0000-0000-0000B9170000}"/>
    <cellStyle name="Normal 2 2 8 2 2 5 4 2 2" xfId="6286" xr:uid="{00000000-0005-0000-0000-0000BA170000}"/>
    <cellStyle name="Normal 2 2 8 2 2 5 4 2 2 2" xfId="9636" xr:uid="{00000000-0005-0000-0000-0000BB170000}"/>
    <cellStyle name="Normal 2 2 8 2 2 5 4 2 3" xfId="11311" xr:uid="{00000000-0005-0000-0000-0000BC170000}"/>
    <cellStyle name="Normal 2 2 8 2 2 5 4 2 4" xfId="7961" xr:uid="{00000000-0005-0000-0000-0000BD170000}"/>
    <cellStyle name="Normal 2 2 8 2 2 5 4 3" xfId="5319" xr:uid="{00000000-0005-0000-0000-0000BE170000}"/>
    <cellStyle name="Normal 2 2 8 2 2 5 4 3 2" xfId="8669" xr:uid="{00000000-0005-0000-0000-0000BF170000}"/>
    <cellStyle name="Normal 2 2 8 2 2 5 4 4" xfId="10344" xr:uid="{00000000-0005-0000-0000-0000C0170000}"/>
    <cellStyle name="Normal 2 2 8 2 2 5 4 5" xfId="6994" xr:uid="{00000000-0005-0000-0000-0000C1170000}"/>
    <cellStyle name="Normal 2 2 8 2 2 5 5" xfId="3880" xr:uid="{00000000-0005-0000-0000-0000C2170000}"/>
    <cellStyle name="Normal 2 2 8 2 2 5 5 2" xfId="5555" xr:uid="{00000000-0005-0000-0000-0000C3170000}"/>
    <cellStyle name="Normal 2 2 8 2 2 5 5 2 2" xfId="8905" xr:uid="{00000000-0005-0000-0000-0000C4170000}"/>
    <cellStyle name="Normal 2 2 8 2 2 5 5 3" xfId="10580" xr:uid="{00000000-0005-0000-0000-0000C5170000}"/>
    <cellStyle name="Normal 2 2 8 2 2 5 5 4" xfId="7230" xr:uid="{00000000-0005-0000-0000-0000C6170000}"/>
    <cellStyle name="Normal 2 2 8 2 2 5 6" xfId="4139" xr:uid="{00000000-0005-0000-0000-0000C7170000}"/>
    <cellStyle name="Normal 2 2 8 2 2 5 6 2" xfId="5814" xr:uid="{00000000-0005-0000-0000-0000C8170000}"/>
    <cellStyle name="Normal 2 2 8 2 2 5 6 2 2" xfId="9164" xr:uid="{00000000-0005-0000-0000-0000C9170000}"/>
    <cellStyle name="Normal 2 2 8 2 2 5 6 3" xfId="10839" xr:uid="{00000000-0005-0000-0000-0000CA170000}"/>
    <cellStyle name="Normal 2 2 8 2 2 5 6 4" xfId="7489" xr:uid="{00000000-0005-0000-0000-0000CB170000}"/>
    <cellStyle name="Normal 2 2 8 2 2 5 7" xfId="4847" xr:uid="{00000000-0005-0000-0000-0000CC170000}"/>
    <cellStyle name="Normal 2 2 8 2 2 5 7 2" xfId="8197" xr:uid="{00000000-0005-0000-0000-0000CD170000}"/>
    <cellStyle name="Normal 2 2 8 2 2 5 8" xfId="9872" xr:uid="{00000000-0005-0000-0000-0000CE170000}"/>
    <cellStyle name="Normal 2 2 8 2 2 5 9" xfId="6522" xr:uid="{00000000-0005-0000-0000-0000CF170000}"/>
    <cellStyle name="Normal 2 2 8 2 2 6" xfId="3197" xr:uid="{00000000-0005-0000-0000-0000D0170000}"/>
    <cellStyle name="Normal 2 2 8 2 2 6 2" xfId="3433" xr:uid="{00000000-0005-0000-0000-0000D1170000}"/>
    <cellStyle name="Normal 2 2 8 2 2 6 2 2" xfId="4399" xr:uid="{00000000-0005-0000-0000-0000D2170000}"/>
    <cellStyle name="Normal 2 2 8 2 2 6 2 2 2" xfId="6074" xr:uid="{00000000-0005-0000-0000-0000D3170000}"/>
    <cellStyle name="Normal 2 2 8 2 2 6 2 2 2 2" xfId="9424" xr:uid="{00000000-0005-0000-0000-0000D4170000}"/>
    <cellStyle name="Normal 2 2 8 2 2 6 2 2 3" xfId="11099" xr:uid="{00000000-0005-0000-0000-0000D5170000}"/>
    <cellStyle name="Normal 2 2 8 2 2 6 2 2 4" xfId="7749" xr:uid="{00000000-0005-0000-0000-0000D6170000}"/>
    <cellStyle name="Normal 2 2 8 2 2 6 2 3" xfId="5107" xr:uid="{00000000-0005-0000-0000-0000D7170000}"/>
    <cellStyle name="Normal 2 2 8 2 2 6 2 3 2" xfId="8457" xr:uid="{00000000-0005-0000-0000-0000D8170000}"/>
    <cellStyle name="Normal 2 2 8 2 2 6 2 4" xfId="10132" xr:uid="{00000000-0005-0000-0000-0000D9170000}"/>
    <cellStyle name="Normal 2 2 8 2 2 6 2 5" xfId="6782" xr:uid="{00000000-0005-0000-0000-0000DA170000}"/>
    <cellStyle name="Normal 2 2 8 2 2 6 3" xfId="3668" xr:uid="{00000000-0005-0000-0000-0000DB170000}"/>
    <cellStyle name="Normal 2 2 8 2 2 6 3 2" xfId="4635" xr:uid="{00000000-0005-0000-0000-0000DC170000}"/>
    <cellStyle name="Normal 2 2 8 2 2 6 3 2 2" xfId="6310" xr:uid="{00000000-0005-0000-0000-0000DD170000}"/>
    <cellStyle name="Normal 2 2 8 2 2 6 3 2 2 2" xfId="9660" xr:uid="{00000000-0005-0000-0000-0000DE170000}"/>
    <cellStyle name="Normal 2 2 8 2 2 6 3 2 3" xfId="11335" xr:uid="{00000000-0005-0000-0000-0000DF170000}"/>
    <cellStyle name="Normal 2 2 8 2 2 6 3 2 4" xfId="7985" xr:uid="{00000000-0005-0000-0000-0000E0170000}"/>
    <cellStyle name="Normal 2 2 8 2 2 6 3 3" xfId="5343" xr:uid="{00000000-0005-0000-0000-0000E1170000}"/>
    <cellStyle name="Normal 2 2 8 2 2 6 3 3 2" xfId="8693" xr:uid="{00000000-0005-0000-0000-0000E2170000}"/>
    <cellStyle name="Normal 2 2 8 2 2 6 3 4" xfId="10368" xr:uid="{00000000-0005-0000-0000-0000E3170000}"/>
    <cellStyle name="Normal 2 2 8 2 2 6 3 5" xfId="7018" xr:uid="{00000000-0005-0000-0000-0000E4170000}"/>
    <cellStyle name="Normal 2 2 8 2 2 6 4" xfId="3904" xr:uid="{00000000-0005-0000-0000-0000E5170000}"/>
    <cellStyle name="Normal 2 2 8 2 2 6 4 2" xfId="5579" xr:uid="{00000000-0005-0000-0000-0000E6170000}"/>
    <cellStyle name="Normal 2 2 8 2 2 6 4 2 2" xfId="8929" xr:uid="{00000000-0005-0000-0000-0000E7170000}"/>
    <cellStyle name="Normal 2 2 8 2 2 6 4 3" xfId="10604" xr:uid="{00000000-0005-0000-0000-0000E8170000}"/>
    <cellStyle name="Normal 2 2 8 2 2 6 4 4" xfId="7254" xr:uid="{00000000-0005-0000-0000-0000E9170000}"/>
    <cellStyle name="Normal 2 2 8 2 2 6 5" xfId="4163" xr:uid="{00000000-0005-0000-0000-0000EA170000}"/>
    <cellStyle name="Normal 2 2 8 2 2 6 5 2" xfId="5838" xr:uid="{00000000-0005-0000-0000-0000EB170000}"/>
    <cellStyle name="Normal 2 2 8 2 2 6 5 2 2" xfId="9188" xr:uid="{00000000-0005-0000-0000-0000EC170000}"/>
    <cellStyle name="Normal 2 2 8 2 2 6 5 3" xfId="10863" xr:uid="{00000000-0005-0000-0000-0000ED170000}"/>
    <cellStyle name="Normal 2 2 8 2 2 6 5 4" xfId="7513" xr:uid="{00000000-0005-0000-0000-0000EE170000}"/>
    <cellStyle name="Normal 2 2 8 2 2 6 6" xfId="4871" xr:uid="{00000000-0005-0000-0000-0000EF170000}"/>
    <cellStyle name="Normal 2 2 8 2 2 6 6 2" xfId="8221" xr:uid="{00000000-0005-0000-0000-0000F0170000}"/>
    <cellStyle name="Normal 2 2 8 2 2 6 7" xfId="9896" xr:uid="{00000000-0005-0000-0000-0000F1170000}"/>
    <cellStyle name="Normal 2 2 8 2 2 6 8" xfId="6546" xr:uid="{00000000-0005-0000-0000-0000F2170000}"/>
    <cellStyle name="Normal 2 2 8 2 2 7" xfId="3315" xr:uid="{00000000-0005-0000-0000-0000F3170000}"/>
    <cellStyle name="Normal 2 2 8 2 2 7 2" xfId="4281" xr:uid="{00000000-0005-0000-0000-0000F4170000}"/>
    <cellStyle name="Normal 2 2 8 2 2 7 2 2" xfId="5956" xr:uid="{00000000-0005-0000-0000-0000F5170000}"/>
    <cellStyle name="Normal 2 2 8 2 2 7 2 2 2" xfId="9306" xr:uid="{00000000-0005-0000-0000-0000F6170000}"/>
    <cellStyle name="Normal 2 2 8 2 2 7 2 3" xfId="10981" xr:uid="{00000000-0005-0000-0000-0000F7170000}"/>
    <cellStyle name="Normal 2 2 8 2 2 7 2 4" xfId="7631" xr:uid="{00000000-0005-0000-0000-0000F8170000}"/>
    <cellStyle name="Normal 2 2 8 2 2 7 3" xfId="4989" xr:uid="{00000000-0005-0000-0000-0000F9170000}"/>
    <cellStyle name="Normal 2 2 8 2 2 7 3 2" xfId="8339" xr:uid="{00000000-0005-0000-0000-0000FA170000}"/>
    <cellStyle name="Normal 2 2 8 2 2 7 4" xfId="10014" xr:uid="{00000000-0005-0000-0000-0000FB170000}"/>
    <cellStyle name="Normal 2 2 8 2 2 7 5" xfId="6664" xr:uid="{00000000-0005-0000-0000-0000FC170000}"/>
    <cellStyle name="Normal 2 2 8 2 2 8" xfId="3550" xr:uid="{00000000-0005-0000-0000-0000FD170000}"/>
    <cellStyle name="Normal 2 2 8 2 2 8 2" xfId="4517" xr:uid="{00000000-0005-0000-0000-0000FE170000}"/>
    <cellStyle name="Normal 2 2 8 2 2 8 2 2" xfId="6192" xr:uid="{00000000-0005-0000-0000-0000FF170000}"/>
    <cellStyle name="Normal 2 2 8 2 2 8 2 2 2" xfId="9542" xr:uid="{00000000-0005-0000-0000-000000180000}"/>
    <cellStyle name="Normal 2 2 8 2 2 8 2 3" xfId="11217" xr:uid="{00000000-0005-0000-0000-000001180000}"/>
    <cellStyle name="Normal 2 2 8 2 2 8 2 4" xfId="7867" xr:uid="{00000000-0005-0000-0000-000002180000}"/>
    <cellStyle name="Normal 2 2 8 2 2 8 3" xfId="5225" xr:uid="{00000000-0005-0000-0000-000003180000}"/>
    <cellStyle name="Normal 2 2 8 2 2 8 3 2" xfId="8575" xr:uid="{00000000-0005-0000-0000-000004180000}"/>
    <cellStyle name="Normal 2 2 8 2 2 8 4" xfId="10250" xr:uid="{00000000-0005-0000-0000-000005180000}"/>
    <cellStyle name="Normal 2 2 8 2 2 8 5" xfId="6900" xr:uid="{00000000-0005-0000-0000-000006180000}"/>
    <cellStyle name="Normal 2 2 8 2 2 9" xfId="3786" xr:uid="{00000000-0005-0000-0000-000007180000}"/>
    <cellStyle name="Normal 2 2 8 2 2 9 2" xfId="4045" xr:uid="{00000000-0005-0000-0000-000008180000}"/>
    <cellStyle name="Normal 2 2 8 2 2 9 2 2" xfId="5720" xr:uid="{00000000-0005-0000-0000-000009180000}"/>
    <cellStyle name="Normal 2 2 8 2 2 9 2 2 2" xfId="9070" xr:uid="{00000000-0005-0000-0000-00000A180000}"/>
    <cellStyle name="Normal 2 2 8 2 2 9 2 3" xfId="10745" xr:uid="{00000000-0005-0000-0000-00000B180000}"/>
    <cellStyle name="Normal 2 2 8 2 2 9 2 4" xfId="7395" xr:uid="{00000000-0005-0000-0000-00000C180000}"/>
    <cellStyle name="Normal 2 2 8 2 2 9 3" xfId="5461" xr:uid="{00000000-0005-0000-0000-00000D180000}"/>
    <cellStyle name="Normal 2 2 8 2 2 9 3 2" xfId="8811" xr:uid="{00000000-0005-0000-0000-00000E180000}"/>
    <cellStyle name="Normal 2 2 8 2 2 9 4" xfId="10486" xr:uid="{00000000-0005-0000-0000-00000F180000}"/>
    <cellStyle name="Normal 2 2 8 2 2 9 5" xfId="7136" xr:uid="{00000000-0005-0000-0000-000010180000}"/>
    <cellStyle name="Normal 2 2 8 3" xfId="2110" xr:uid="{00000000-0005-0000-0000-00009D080000}"/>
    <cellStyle name="Normal 2 2 8 4" xfId="3102" xr:uid="{00000000-0005-0000-0000-000012180000}"/>
    <cellStyle name="Normal 2 2 8 4 2" xfId="3219" xr:uid="{00000000-0005-0000-0000-000013180000}"/>
    <cellStyle name="Normal 2 2 8 4 2 2" xfId="3455" xr:uid="{00000000-0005-0000-0000-000014180000}"/>
    <cellStyle name="Normal 2 2 8 4 2 2 2" xfId="4421" xr:uid="{00000000-0005-0000-0000-000015180000}"/>
    <cellStyle name="Normal 2 2 8 4 2 2 2 2" xfId="6096" xr:uid="{00000000-0005-0000-0000-000016180000}"/>
    <cellStyle name="Normal 2 2 8 4 2 2 2 2 2" xfId="9446" xr:uid="{00000000-0005-0000-0000-000017180000}"/>
    <cellStyle name="Normal 2 2 8 4 2 2 2 3" xfId="11121" xr:uid="{00000000-0005-0000-0000-000018180000}"/>
    <cellStyle name="Normal 2 2 8 4 2 2 2 4" xfId="7771" xr:uid="{00000000-0005-0000-0000-000019180000}"/>
    <cellStyle name="Normal 2 2 8 4 2 2 3" xfId="5129" xr:uid="{00000000-0005-0000-0000-00001A180000}"/>
    <cellStyle name="Normal 2 2 8 4 2 2 3 2" xfId="8479" xr:uid="{00000000-0005-0000-0000-00001B180000}"/>
    <cellStyle name="Normal 2 2 8 4 2 2 4" xfId="10154" xr:uid="{00000000-0005-0000-0000-00001C180000}"/>
    <cellStyle name="Normal 2 2 8 4 2 2 5" xfId="6804" xr:uid="{00000000-0005-0000-0000-00001D180000}"/>
    <cellStyle name="Normal 2 2 8 4 2 3" xfId="3690" xr:uid="{00000000-0005-0000-0000-00001E180000}"/>
    <cellStyle name="Normal 2 2 8 4 2 3 2" xfId="4657" xr:uid="{00000000-0005-0000-0000-00001F180000}"/>
    <cellStyle name="Normal 2 2 8 4 2 3 2 2" xfId="6332" xr:uid="{00000000-0005-0000-0000-000020180000}"/>
    <cellStyle name="Normal 2 2 8 4 2 3 2 2 2" xfId="9682" xr:uid="{00000000-0005-0000-0000-000021180000}"/>
    <cellStyle name="Normal 2 2 8 4 2 3 2 3" xfId="11357" xr:uid="{00000000-0005-0000-0000-000022180000}"/>
    <cellStyle name="Normal 2 2 8 4 2 3 2 4" xfId="8007" xr:uid="{00000000-0005-0000-0000-000023180000}"/>
    <cellStyle name="Normal 2 2 8 4 2 3 3" xfId="5365" xr:uid="{00000000-0005-0000-0000-000024180000}"/>
    <cellStyle name="Normal 2 2 8 4 2 3 3 2" xfId="8715" xr:uid="{00000000-0005-0000-0000-000025180000}"/>
    <cellStyle name="Normal 2 2 8 4 2 3 4" xfId="10390" xr:uid="{00000000-0005-0000-0000-000026180000}"/>
    <cellStyle name="Normal 2 2 8 4 2 3 5" xfId="7040" xr:uid="{00000000-0005-0000-0000-000027180000}"/>
    <cellStyle name="Normal 2 2 8 4 2 4" xfId="3926" xr:uid="{00000000-0005-0000-0000-000028180000}"/>
    <cellStyle name="Normal 2 2 8 4 2 4 2" xfId="5601" xr:uid="{00000000-0005-0000-0000-000029180000}"/>
    <cellStyle name="Normal 2 2 8 4 2 4 2 2" xfId="8951" xr:uid="{00000000-0005-0000-0000-00002A180000}"/>
    <cellStyle name="Normal 2 2 8 4 2 4 3" xfId="10626" xr:uid="{00000000-0005-0000-0000-00002B180000}"/>
    <cellStyle name="Normal 2 2 8 4 2 4 4" xfId="7276" xr:uid="{00000000-0005-0000-0000-00002C180000}"/>
    <cellStyle name="Normal 2 2 8 4 2 5" xfId="4185" xr:uid="{00000000-0005-0000-0000-00002D180000}"/>
    <cellStyle name="Normal 2 2 8 4 2 5 2" xfId="5860" xr:uid="{00000000-0005-0000-0000-00002E180000}"/>
    <cellStyle name="Normal 2 2 8 4 2 5 2 2" xfId="9210" xr:uid="{00000000-0005-0000-0000-00002F180000}"/>
    <cellStyle name="Normal 2 2 8 4 2 5 3" xfId="10885" xr:uid="{00000000-0005-0000-0000-000030180000}"/>
    <cellStyle name="Normal 2 2 8 4 2 5 4" xfId="7535" xr:uid="{00000000-0005-0000-0000-000031180000}"/>
    <cellStyle name="Normal 2 2 8 4 2 6" xfId="4893" xr:uid="{00000000-0005-0000-0000-000032180000}"/>
    <cellStyle name="Normal 2 2 8 4 2 6 2" xfId="8243" xr:uid="{00000000-0005-0000-0000-000033180000}"/>
    <cellStyle name="Normal 2 2 8 4 2 7" xfId="9918" xr:uid="{00000000-0005-0000-0000-000034180000}"/>
    <cellStyle name="Normal 2 2 8 4 2 8" xfId="6568" xr:uid="{00000000-0005-0000-0000-000035180000}"/>
    <cellStyle name="Normal 2 2 8 4 3" xfId="3337" xr:uid="{00000000-0005-0000-0000-000036180000}"/>
    <cellStyle name="Normal 2 2 8 4 3 2" xfId="4303" xr:uid="{00000000-0005-0000-0000-000037180000}"/>
    <cellStyle name="Normal 2 2 8 4 3 2 2" xfId="5978" xr:uid="{00000000-0005-0000-0000-000038180000}"/>
    <cellStyle name="Normal 2 2 8 4 3 2 2 2" xfId="9328" xr:uid="{00000000-0005-0000-0000-000039180000}"/>
    <cellStyle name="Normal 2 2 8 4 3 2 3" xfId="11003" xr:uid="{00000000-0005-0000-0000-00003A180000}"/>
    <cellStyle name="Normal 2 2 8 4 3 2 4" xfId="7653" xr:uid="{00000000-0005-0000-0000-00003B180000}"/>
    <cellStyle name="Normal 2 2 8 4 3 3" xfId="5011" xr:uid="{00000000-0005-0000-0000-00003C180000}"/>
    <cellStyle name="Normal 2 2 8 4 3 3 2" xfId="8361" xr:uid="{00000000-0005-0000-0000-00003D180000}"/>
    <cellStyle name="Normal 2 2 8 4 3 4" xfId="10036" xr:uid="{00000000-0005-0000-0000-00003E180000}"/>
    <cellStyle name="Normal 2 2 8 4 3 5" xfId="6686" xr:uid="{00000000-0005-0000-0000-00003F180000}"/>
    <cellStyle name="Normal 2 2 8 4 4" xfId="3572" xr:uid="{00000000-0005-0000-0000-000040180000}"/>
    <cellStyle name="Normal 2 2 8 4 4 2" xfId="4539" xr:uid="{00000000-0005-0000-0000-000041180000}"/>
    <cellStyle name="Normal 2 2 8 4 4 2 2" xfId="6214" xr:uid="{00000000-0005-0000-0000-000042180000}"/>
    <cellStyle name="Normal 2 2 8 4 4 2 2 2" xfId="9564" xr:uid="{00000000-0005-0000-0000-000043180000}"/>
    <cellStyle name="Normal 2 2 8 4 4 2 3" xfId="11239" xr:uid="{00000000-0005-0000-0000-000044180000}"/>
    <cellStyle name="Normal 2 2 8 4 4 2 4" xfId="7889" xr:uid="{00000000-0005-0000-0000-000045180000}"/>
    <cellStyle name="Normal 2 2 8 4 4 3" xfId="5247" xr:uid="{00000000-0005-0000-0000-000046180000}"/>
    <cellStyle name="Normal 2 2 8 4 4 3 2" xfId="8597" xr:uid="{00000000-0005-0000-0000-000047180000}"/>
    <cellStyle name="Normal 2 2 8 4 4 4" xfId="10272" xr:uid="{00000000-0005-0000-0000-000048180000}"/>
    <cellStyle name="Normal 2 2 8 4 4 5" xfId="6922" xr:uid="{00000000-0005-0000-0000-000049180000}"/>
    <cellStyle name="Normal 2 2 8 4 5" xfId="3808" xr:uid="{00000000-0005-0000-0000-00004A180000}"/>
    <cellStyle name="Normal 2 2 8 4 5 2" xfId="5483" xr:uid="{00000000-0005-0000-0000-00004B180000}"/>
    <cellStyle name="Normal 2 2 8 4 5 2 2" xfId="8833" xr:uid="{00000000-0005-0000-0000-00004C180000}"/>
    <cellStyle name="Normal 2 2 8 4 5 3" xfId="10508" xr:uid="{00000000-0005-0000-0000-00004D180000}"/>
    <cellStyle name="Normal 2 2 8 4 5 4" xfId="7158" xr:uid="{00000000-0005-0000-0000-00004E180000}"/>
    <cellStyle name="Normal 2 2 8 4 6" xfId="4067" xr:uid="{00000000-0005-0000-0000-00004F180000}"/>
    <cellStyle name="Normal 2 2 8 4 6 2" xfId="5742" xr:uid="{00000000-0005-0000-0000-000050180000}"/>
    <cellStyle name="Normal 2 2 8 4 6 2 2" xfId="9092" xr:uid="{00000000-0005-0000-0000-000051180000}"/>
    <cellStyle name="Normal 2 2 8 4 6 3" xfId="10767" xr:uid="{00000000-0005-0000-0000-000052180000}"/>
    <cellStyle name="Normal 2 2 8 4 6 4" xfId="7417" xr:uid="{00000000-0005-0000-0000-000053180000}"/>
    <cellStyle name="Normal 2 2 8 4 7" xfId="4775" xr:uid="{00000000-0005-0000-0000-000054180000}"/>
    <cellStyle name="Normal 2 2 8 4 7 2" xfId="8125" xr:uid="{00000000-0005-0000-0000-000055180000}"/>
    <cellStyle name="Normal 2 2 8 4 8" xfId="9800" xr:uid="{00000000-0005-0000-0000-000056180000}"/>
    <cellStyle name="Normal 2 2 8 4 9" xfId="6450" xr:uid="{00000000-0005-0000-0000-000057180000}"/>
    <cellStyle name="Normal 2 2 8 5" xfId="3125" xr:uid="{00000000-0005-0000-0000-000058180000}"/>
    <cellStyle name="Normal 2 2 8 5 2" xfId="3242" xr:uid="{00000000-0005-0000-0000-000059180000}"/>
    <cellStyle name="Normal 2 2 8 5 2 2" xfId="3478" xr:uid="{00000000-0005-0000-0000-00005A180000}"/>
    <cellStyle name="Normal 2 2 8 5 2 2 2" xfId="4444" xr:uid="{00000000-0005-0000-0000-00005B180000}"/>
    <cellStyle name="Normal 2 2 8 5 2 2 2 2" xfId="6119" xr:uid="{00000000-0005-0000-0000-00005C180000}"/>
    <cellStyle name="Normal 2 2 8 5 2 2 2 2 2" xfId="9469" xr:uid="{00000000-0005-0000-0000-00005D180000}"/>
    <cellStyle name="Normal 2 2 8 5 2 2 2 3" xfId="11144" xr:uid="{00000000-0005-0000-0000-00005E180000}"/>
    <cellStyle name="Normal 2 2 8 5 2 2 2 4" xfId="7794" xr:uid="{00000000-0005-0000-0000-00005F180000}"/>
    <cellStyle name="Normal 2 2 8 5 2 2 3" xfId="5152" xr:uid="{00000000-0005-0000-0000-000060180000}"/>
    <cellStyle name="Normal 2 2 8 5 2 2 3 2" xfId="8502" xr:uid="{00000000-0005-0000-0000-000061180000}"/>
    <cellStyle name="Normal 2 2 8 5 2 2 4" xfId="10177" xr:uid="{00000000-0005-0000-0000-000062180000}"/>
    <cellStyle name="Normal 2 2 8 5 2 2 5" xfId="6827" xr:uid="{00000000-0005-0000-0000-000063180000}"/>
    <cellStyle name="Normal 2 2 8 5 2 3" xfId="3713" xr:uid="{00000000-0005-0000-0000-000064180000}"/>
    <cellStyle name="Normal 2 2 8 5 2 3 2" xfId="4680" xr:uid="{00000000-0005-0000-0000-000065180000}"/>
    <cellStyle name="Normal 2 2 8 5 2 3 2 2" xfId="6355" xr:uid="{00000000-0005-0000-0000-000066180000}"/>
    <cellStyle name="Normal 2 2 8 5 2 3 2 2 2" xfId="9705" xr:uid="{00000000-0005-0000-0000-000067180000}"/>
    <cellStyle name="Normal 2 2 8 5 2 3 2 3" xfId="11380" xr:uid="{00000000-0005-0000-0000-000068180000}"/>
    <cellStyle name="Normal 2 2 8 5 2 3 2 4" xfId="8030" xr:uid="{00000000-0005-0000-0000-000069180000}"/>
    <cellStyle name="Normal 2 2 8 5 2 3 3" xfId="5388" xr:uid="{00000000-0005-0000-0000-00006A180000}"/>
    <cellStyle name="Normal 2 2 8 5 2 3 3 2" xfId="8738" xr:uid="{00000000-0005-0000-0000-00006B180000}"/>
    <cellStyle name="Normal 2 2 8 5 2 3 4" xfId="10413" xr:uid="{00000000-0005-0000-0000-00006C180000}"/>
    <cellStyle name="Normal 2 2 8 5 2 3 5" xfId="7063" xr:uid="{00000000-0005-0000-0000-00006D180000}"/>
    <cellStyle name="Normal 2 2 8 5 2 4" xfId="3949" xr:uid="{00000000-0005-0000-0000-00006E180000}"/>
    <cellStyle name="Normal 2 2 8 5 2 4 2" xfId="5624" xr:uid="{00000000-0005-0000-0000-00006F180000}"/>
    <cellStyle name="Normal 2 2 8 5 2 4 2 2" xfId="8974" xr:uid="{00000000-0005-0000-0000-000070180000}"/>
    <cellStyle name="Normal 2 2 8 5 2 4 3" xfId="10649" xr:uid="{00000000-0005-0000-0000-000071180000}"/>
    <cellStyle name="Normal 2 2 8 5 2 4 4" xfId="7299" xr:uid="{00000000-0005-0000-0000-000072180000}"/>
    <cellStyle name="Normal 2 2 8 5 2 5" xfId="4208" xr:uid="{00000000-0005-0000-0000-000073180000}"/>
    <cellStyle name="Normal 2 2 8 5 2 5 2" xfId="5883" xr:uid="{00000000-0005-0000-0000-000074180000}"/>
    <cellStyle name="Normal 2 2 8 5 2 5 2 2" xfId="9233" xr:uid="{00000000-0005-0000-0000-000075180000}"/>
    <cellStyle name="Normal 2 2 8 5 2 5 3" xfId="10908" xr:uid="{00000000-0005-0000-0000-000076180000}"/>
    <cellStyle name="Normal 2 2 8 5 2 5 4" xfId="7558" xr:uid="{00000000-0005-0000-0000-000077180000}"/>
    <cellStyle name="Normal 2 2 8 5 2 6" xfId="4916" xr:uid="{00000000-0005-0000-0000-000078180000}"/>
    <cellStyle name="Normal 2 2 8 5 2 6 2" xfId="8266" xr:uid="{00000000-0005-0000-0000-000079180000}"/>
    <cellStyle name="Normal 2 2 8 5 2 7" xfId="9941" xr:uid="{00000000-0005-0000-0000-00007A180000}"/>
    <cellStyle name="Normal 2 2 8 5 2 8" xfId="6591" xr:uid="{00000000-0005-0000-0000-00007B180000}"/>
    <cellStyle name="Normal 2 2 8 5 3" xfId="3360" xr:uid="{00000000-0005-0000-0000-00007C180000}"/>
    <cellStyle name="Normal 2 2 8 5 3 2" xfId="4326" xr:uid="{00000000-0005-0000-0000-00007D180000}"/>
    <cellStyle name="Normal 2 2 8 5 3 2 2" xfId="6001" xr:uid="{00000000-0005-0000-0000-00007E180000}"/>
    <cellStyle name="Normal 2 2 8 5 3 2 2 2" xfId="9351" xr:uid="{00000000-0005-0000-0000-00007F180000}"/>
    <cellStyle name="Normal 2 2 8 5 3 2 3" xfId="11026" xr:uid="{00000000-0005-0000-0000-000080180000}"/>
    <cellStyle name="Normal 2 2 8 5 3 2 4" xfId="7676" xr:uid="{00000000-0005-0000-0000-000081180000}"/>
    <cellStyle name="Normal 2 2 8 5 3 3" xfId="5034" xr:uid="{00000000-0005-0000-0000-000082180000}"/>
    <cellStyle name="Normal 2 2 8 5 3 3 2" xfId="8384" xr:uid="{00000000-0005-0000-0000-000083180000}"/>
    <cellStyle name="Normal 2 2 8 5 3 4" xfId="10059" xr:uid="{00000000-0005-0000-0000-000084180000}"/>
    <cellStyle name="Normal 2 2 8 5 3 5" xfId="6709" xr:uid="{00000000-0005-0000-0000-000085180000}"/>
    <cellStyle name="Normal 2 2 8 5 4" xfId="3595" xr:uid="{00000000-0005-0000-0000-000086180000}"/>
    <cellStyle name="Normal 2 2 8 5 4 2" xfId="4562" xr:uid="{00000000-0005-0000-0000-000087180000}"/>
    <cellStyle name="Normal 2 2 8 5 4 2 2" xfId="6237" xr:uid="{00000000-0005-0000-0000-000088180000}"/>
    <cellStyle name="Normal 2 2 8 5 4 2 2 2" xfId="9587" xr:uid="{00000000-0005-0000-0000-000089180000}"/>
    <cellStyle name="Normal 2 2 8 5 4 2 3" xfId="11262" xr:uid="{00000000-0005-0000-0000-00008A180000}"/>
    <cellStyle name="Normal 2 2 8 5 4 2 4" xfId="7912" xr:uid="{00000000-0005-0000-0000-00008B180000}"/>
    <cellStyle name="Normal 2 2 8 5 4 3" xfId="5270" xr:uid="{00000000-0005-0000-0000-00008C180000}"/>
    <cellStyle name="Normal 2 2 8 5 4 3 2" xfId="8620" xr:uid="{00000000-0005-0000-0000-00008D180000}"/>
    <cellStyle name="Normal 2 2 8 5 4 4" xfId="10295" xr:uid="{00000000-0005-0000-0000-00008E180000}"/>
    <cellStyle name="Normal 2 2 8 5 4 5" xfId="6945" xr:uid="{00000000-0005-0000-0000-00008F180000}"/>
    <cellStyle name="Normal 2 2 8 5 5" xfId="3831" xr:uid="{00000000-0005-0000-0000-000090180000}"/>
    <cellStyle name="Normal 2 2 8 5 5 2" xfId="5506" xr:uid="{00000000-0005-0000-0000-000091180000}"/>
    <cellStyle name="Normal 2 2 8 5 5 2 2" xfId="8856" xr:uid="{00000000-0005-0000-0000-000092180000}"/>
    <cellStyle name="Normal 2 2 8 5 5 3" xfId="10531" xr:uid="{00000000-0005-0000-0000-000093180000}"/>
    <cellStyle name="Normal 2 2 8 5 5 4" xfId="7181" xr:uid="{00000000-0005-0000-0000-000094180000}"/>
    <cellStyle name="Normal 2 2 8 5 6" xfId="4090" xr:uid="{00000000-0005-0000-0000-000095180000}"/>
    <cellStyle name="Normal 2 2 8 5 6 2" xfId="5765" xr:uid="{00000000-0005-0000-0000-000096180000}"/>
    <cellStyle name="Normal 2 2 8 5 6 2 2" xfId="9115" xr:uid="{00000000-0005-0000-0000-000097180000}"/>
    <cellStyle name="Normal 2 2 8 5 6 3" xfId="10790" xr:uid="{00000000-0005-0000-0000-000098180000}"/>
    <cellStyle name="Normal 2 2 8 5 6 4" xfId="7440" xr:uid="{00000000-0005-0000-0000-000099180000}"/>
    <cellStyle name="Normal 2 2 8 5 7" xfId="4798" xr:uid="{00000000-0005-0000-0000-00009A180000}"/>
    <cellStyle name="Normal 2 2 8 5 7 2" xfId="8148" xr:uid="{00000000-0005-0000-0000-00009B180000}"/>
    <cellStyle name="Normal 2 2 8 5 8" xfId="9823" xr:uid="{00000000-0005-0000-0000-00009C180000}"/>
    <cellStyle name="Normal 2 2 8 5 9" xfId="6473" xr:uid="{00000000-0005-0000-0000-00009D180000}"/>
    <cellStyle name="Normal 2 2 8 6" xfId="3148" xr:uid="{00000000-0005-0000-0000-00009E180000}"/>
    <cellStyle name="Normal 2 2 8 6 2" xfId="3266" xr:uid="{00000000-0005-0000-0000-00009F180000}"/>
    <cellStyle name="Normal 2 2 8 6 2 2" xfId="3502" xr:uid="{00000000-0005-0000-0000-0000A0180000}"/>
    <cellStyle name="Normal 2 2 8 6 2 2 2" xfId="4468" xr:uid="{00000000-0005-0000-0000-0000A1180000}"/>
    <cellStyle name="Normal 2 2 8 6 2 2 2 2" xfId="6143" xr:uid="{00000000-0005-0000-0000-0000A2180000}"/>
    <cellStyle name="Normal 2 2 8 6 2 2 2 2 2" xfId="9493" xr:uid="{00000000-0005-0000-0000-0000A3180000}"/>
    <cellStyle name="Normal 2 2 8 6 2 2 2 3" xfId="11168" xr:uid="{00000000-0005-0000-0000-0000A4180000}"/>
    <cellStyle name="Normal 2 2 8 6 2 2 2 4" xfId="7818" xr:uid="{00000000-0005-0000-0000-0000A5180000}"/>
    <cellStyle name="Normal 2 2 8 6 2 2 3" xfId="5176" xr:uid="{00000000-0005-0000-0000-0000A6180000}"/>
    <cellStyle name="Normal 2 2 8 6 2 2 3 2" xfId="8526" xr:uid="{00000000-0005-0000-0000-0000A7180000}"/>
    <cellStyle name="Normal 2 2 8 6 2 2 4" xfId="10201" xr:uid="{00000000-0005-0000-0000-0000A8180000}"/>
    <cellStyle name="Normal 2 2 8 6 2 2 5" xfId="6851" xr:uid="{00000000-0005-0000-0000-0000A9180000}"/>
    <cellStyle name="Normal 2 2 8 6 2 3" xfId="3737" xr:uid="{00000000-0005-0000-0000-0000AA180000}"/>
    <cellStyle name="Normal 2 2 8 6 2 3 2" xfId="4704" xr:uid="{00000000-0005-0000-0000-0000AB180000}"/>
    <cellStyle name="Normal 2 2 8 6 2 3 2 2" xfId="6379" xr:uid="{00000000-0005-0000-0000-0000AC180000}"/>
    <cellStyle name="Normal 2 2 8 6 2 3 2 2 2" xfId="9729" xr:uid="{00000000-0005-0000-0000-0000AD180000}"/>
    <cellStyle name="Normal 2 2 8 6 2 3 2 3" xfId="11404" xr:uid="{00000000-0005-0000-0000-0000AE180000}"/>
    <cellStyle name="Normal 2 2 8 6 2 3 2 4" xfId="8054" xr:uid="{00000000-0005-0000-0000-0000AF180000}"/>
    <cellStyle name="Normal 2 2 8 6 2 3 3" xfId="5412" xr:uid="{00000000-0005-0000-0000-0000B0180000}"/>
    <cellStyle name="Normal 2 2 8 6 2 3 3 2" xfId="8762" xr:uid="{00000000-0005-0000-0000-0000B1180000}"/>
    <cellStyle name="Normal 2 2 8 6 2 3 4" xfId="10437" xr:uid="{00000000-0005-0000-0000-0000B2180000}"/>
    <cellStyle name="Normal 2 2 8 6 2 3 5" xfId="7087" xr:uid="{00000000-0005-0000-0000-0000B3180000}"/>
    <cellStyle name="Normal 2 2 8 6 2 4" xfId="3973" xr:uid="{00000000-0005-0000-0000-0000B4180000}"/>
    <cellStyle name="Normal 2 2 8 6 2 4 2" xfId="5648" xr:uid="{00000000-0005-0000-0000-0000B5180000}"/>
    <cellStyle name="Normal 2 2 8 6 2 4 2 2" xfId="8998" xr:uid="{00000000-0005-0000-0000-0000B6180000}"/>
    <cellStyle name="Normal 2 2 8 6 2 4 3" xfId="10673" xr:uid="{00000000-0005-0000-0000-0000B7180000}"/>
    <cellStyle name="Normal 2 2 8 6 2 4 4" xfId="7323" xr:uid="{00000000-0005-0000-0000-0000B8180000}"/>
    <cellStyle name="Normal 2 2 8 6 2 5" xfId="4232" xr:uid="{00000000-0005-0000-0000-0000B9180000}"/>
    <cellStyle name="Normal 2 2 8 6 2 5 2" xfId="5907" xr:uid="{00000000-0005-0000-0000-0000BA180000}"/>
    <cellStyle name="Normal 2 2 8 6 2 5 2 2" xfId="9257" xr:uid="{00000000-0005-0000-0000-0000BB180000}"/>
    <cellStyle name="Normal 2 2 8 6 2 5 3" xfId="10932" xr:uid="{00000000-0005-0000-0000-0000BC180000}"/>
    <cellStyle name="Normal 2 2 8 6 2 5 4" xfId="7582" xr:uid="{00000000-0005-0000-0000-0000BD180000}"/>
    <cellStyle name="Normal 2 2 8 6 2 6" xfId="4940" xr:uid="{00000000-0005-0000-0000-0000BE180000}"/>
    <cellStyle name="Normal 2 2 8 6 2 6 2" xfId="8290" xr:uid="{00000000-0005-0000-0000-0000BF180000}"/>
    <cellStyle name="Normal 2 2 8 6 2 7" xfId="9965" xr:uid="{00000000-0005-0000-0000-0000C0180000}"/>
    <cellStyle name="Normal 2 2 8 6 2 8" xfId="6615" xr:uid="{00000000-0005-0000-0000-0000C1180000}"/>
    <cellStyle name="Normal 2 2 8 6 3" xfId="3384" xr:uid="{00000000-0005-0000-0000-0000C2180000}"/>
    <cellStyle name="Normal 2 2 8 6 3 2" xfId="4350" xr:uid="{00000000-0005-0000-0000-0000C3180000}"/>
    <cellStyle name="Normal 2 2 8 6 3 2 2" xfId="6025" xr:uid="{00000000-0005-0000-0000-0000C4180000}"/>
    <cellStyle name="Normal 2 2 8 6 3 2 2 2" xfId="9375" xr:uid="{00000000-0005-0000-0000-0000C5180000}"/>
    <cellStyle name="Normal 2 2 8 6 3 2 3" xfId="11050" xr:uid="{00000000-0005-0000-0000-0000C6180000}"/>
    <cellStyle name="Normal 2 2 8 6 3 2 4" xfId="7700" xr:uid="{00000000-0005-0000-0000-0000C7180000}"/>
    <cellStyle name="Normal 2 2 8 6 3 3" xfId="5058" xr:uid="{00000000-0005-0000-0000-0000C8180000}"/>
    <cellStyle name="Normal 2 2 8 6 3 3 2" xfId="8408" xr:uid="{00000000-0005-0000-0000-0000C9180000}"/>
    <cellStyle name="Normal 2 2 8 6 3 4" xfId="10083" xr:uid="{00000000-0005-0000-0000-0000CA180000}"/>
    <cellStyle name="Normal 2 2 8 6 3 5" xfId="6733" xr:uid="{00000000-0005-0000-0000-0000CB180000}"/>
    <cellStyle name="Normal 2 2 8 6 4" xfId="3619" xr:uid="{00000000-0005-0000-0000-0000CC180000}"/>
    <cellStyle name="Normal 2 2 8 6 4 2" xfId="4586" xr:uid="{00000000-0005-0000-0000-0000CD180000}"/>
    <cellStyle name="Normal 2 2 8 6 4 2 2" xfId="6261" xr:uid="{00000000-0005-0000-0000-0000CE180000}"/>
    <cellStyle name="Normal 2 2 8 6 4 2 2 2" xfId="9611" xr:uid="{00000000-0005-0000-0000-0000CF180000}"/>
    <cellStyle name="Normal 2 2 8 6 4 2 3" xfId="11286" xr:uid="{00000000-0005-0000-0000-0000D0180000}"/>
    <cellStyle name="Normal 2 2 8 6 4 2 4" xfId="7936" xr:uid="{00000000-0005-0000-0000-0000D1180000}"/>
    <cellStyle name="Normal 2 2 8 6 4 3" xfId="5294" xr:uid="{00000000-0005-0000-0000-0000D2180000}"/>
    <cellStyle name="Normal 2 2 8 6 4 3 2" xfId="8644" xr:uid="{00000000-0005-0000-0000-0000D3180000}"/>
    <cellStyle name="Normal 2 2 8 6 4 4" xfId="10319" xr:uid="{00000000-0005-0000-0000-0000D4180000}"/>
    <cellStyle name="Normal 2 2 8 6 4 5" xfId="6969" xr:uid="{00000000-0005-0000-0000-0000D5180000}"/>
    <cellStyle name="Normal 2 2 8 6 5" xfId="3855" xr:uid="{00000000-0005-0000-0000-0000D6180000}"/>
    <cellStyle name="Normal 2 2 8 6 5 2" xfId="5530" xr:uid="{00000000-0005-0000-0000-0000D7180000}"/>
    <cellStyle name="Normal 2 2 8 6 5 2 2" xfId="8880" xr:uid="{00000000-0005-0000-0000-0000D8180000}"/>
    <cellStyle name="Normal 2 2 8 6 5 3" xfId="10555" xr:uid="{00000000-0005-0000-0000-0000D9180000}"/>
    <cellStyle name="Normal 2 2 8 6 5 4" xfId="7205" xr:uid="{00000000-0005-0000-0000-0000DA180000}"/>
    <cellStyle name="Normal 2 2 8 6 6" xfId="4114" xr:uid="{00000000-0005-0000-0000-0000DB180000}"/>
    <cellStyle name="Normal 2 2 8 6 6 2" xfId="5789" xr:uid="{00000000-0005-0000-0000-0000DC180000}"/>
    <cellStyle name="Normal 2 2 8 6 6 2 2" xfId="9139" xr:uid="{00000000-0005-0000-0000-0000DD180000}"/>
    <cellStyle name="Normal 2 2 8 6 6 3" xfId="10814" xr:uid="{00000000-0005-0000-0000-0000DE180000}"/>
    <cellStyle name="Normal 2 2 8 6 6 4" xfId="7464" xr:uid="{00000000-0005-0000-0000-0000DF180000}"/>
    <cellStyle name="Normal 2 2 8 6 7" xfId="4822" xr:uid="{00000000-0005-0000-0000-0000E0180000}"/>
    <cellStyle name="Normal 2 2 8 6 7 2" xfId="8172" xr:uid="{00000000-0005-0000-0000-0000E1180000}"/>
    <cellStyle name="Normal 2 2 8 6 8" xfId="9847" xr:uid="{00000000-0005-0000-0000-0000E2180000}"/>
    <cellStyle name="Normal 2 2 8 6 9" xfId="6497" xr:uid="{00000000-0005-0000-0000-0000E3180000}"/>
    <cellStyle name="Normal 2 2 8 7" xfId="3172" xr:uid="{00000000-0005-0000-0000-0000E4180000}"/>
    <cellStyle name="Normal 2 2 8 7 2" xfId="3290" xr:uid="{00000000-0005-0000-0000-0000E5180000}"/>
    <cellStyle name="Normal 2 2 8 7 2 2" xfId="3526" xr:uid="{00000000-0005-0000-0000-0000E6180000}"/>
    <cellStyle name="Normal 2 2 8 7 2 2 2" xfId="4492" xr:uid="{00000000-0005-0000-0000-0000E7180000}"/>
    <cellStyle name="Normal 2 2 8 7 2 2 2 2" xfId="6167" xr:uid="{00000000-0005-0000-0000-0000E8180000}"/>
    <cellStyle name="Normal 2 2 8 7 2 2 2 2 2" xfId="9517" xr:uid="{00000000-0005-0000-0000-0000E9180000}"/>
    <cellStyle name="Normal 2 2 8 7 2 2 2 3" xfId="11192" xr:uid="{00000000-0005-0000-0000-0000EA180000}"/>
    <cellStyle name="Normal 2 2 8 7 2 2 2 4" xfId="7842" xr:uid="{00000000-0005-0000-0000-0000EB180000}"/>
    <cellStyle name="Normal 2 2 8 7 2 2 3" xfId="5200" xr:uid="{00000000-0005-0000-0000-0000EC180000}"/>
    <cellStyle name="Normal 2 2 8 7 2 2 3 2" xfId="8550" xr:uid="{00000000-0005-0000-0000-0000ED180000}"/>
    <cellStyle name="Normal 2 2 8 7 2 2 4" xfId="10225" xr:uid="{00000000-0005-0000-0000-0000EE180000}"/>
    <cellStyle name="Normal 2 2 8 7 2 2 5" xfId="6875" xr:uid="{00000000-0005-0000-0000-0000EF180000}"/>
    <cellStyle name="Normal 2 2 8 7 2 3" xfId="3761" xr:uid="{00000000-0005-0000-0000-0000F0180000}"/>
    <cellStyle name="Normal 2 2 8 7 2 3 2" xfId="4728" xr:uid="{00000000-0005-0000-0000-0000F1180000}"/>
    <cellStyle name="Normal 2 2 8 7 2 3 2 2" xfId="6403" xr:uid="{00000000-0005-0000-0000-0000F2180000}"/>
    <cellStyle name="Normal 2 2 8 7 2 3 2 2 2" xfId="9753" xr:uid="{00000000-0005-0000-0000-0000F3180000}"/>
    <cellStyle name="Normal 2 2 8 7 2 3 2 3" xfId="11428" xr:uid="{00000000-0005-0000-0000-0000F4180000}"/>
    <cellStyle name="Normal 2 2 8 7 2 3 2 4" xfId="8078" xr:uid="{00000000-0005-0000-0000-0000F5180000}"/>
    <cellStyle name="Normal 2 2 8 7 2 3 3" xfId="5436" xr:uid="{00000000-0005-0000-0000-0000F6180000}"/>
    <cellStyle name="Normal 2 2 8 7 2 3 3 2" xfId="8786" xr:uid="{00000000-0005-0000-0000-0000F7180000}"/>
    <cellStyle name="Normal 2 2 8 7 2 3 4" xfId="10461" xr:uid="{00000000-0005-0000-0000-0000F8180000}"/>
    <cellStyle name="Normal 2 2 8 7 2 3 5" xfId="7111" xr:uid="{00000000-0005-0000-0000-0000F9180000}"/>
    <cellStyle name="Normal 2 2 8 7 2 4" xfId="3997" xr:uid="{00000000-0005-0000-0000-0000FA180000}"/>
    <cellStyle name="Normal 2 2 8 7 2 4 2" xfId="5672" xr:uid="{00000000-0005-0000-0000-0000FB180000}"/>
    <cellStyle name="Normal 2 2 8 7 2 4 2 2" xfId="9022" xr:uid="{00000000-0005-0000-0000-0000FC180000}"/>
    <cellStyle name="Normal 2 2 8 7 2 4 3" xfId="10697" xr:uid="{00000000-0005-0000-0000-0000FD180000}"/>
    <cellStyle name="Normal 2 2 8 7 2 4 4" xfId="7347" xr:uid="{00000000-0005-0000-0000-0000FE180000}"/>
    <cellStyle name="Normal 2 2 8 7 2 5" xfId="4256" xr:uid="{00000000-0005-0000-0000-0000FF180000}"/>
    <cellStyle name="Normal 2 2 8 7 2 5 2" xfId="5931" xr:uid="{00000000-0005-0000-0000-000000190000}"/>
    <cellStyle name="Normal 2 2 8 7 2 5 2 2" xfId="9281" xr:uid="{00000000-0005-0000-0000-000001190000}"/>
    <cellStyle name="Normal 2 2 8 7 2 5 3" xfId="10956" xr:uid="{00000000-0005-0000-0000-000002190000}"/>
    <cellStyle name="Normal 2 2 8 7 2 5 4" xfId="7606" xr:uid="{00000000-0005-0000-0000-000003190000}"/>
    <cellStyle name="Normal 2 2 8 7 2 6" xfId="4964" xr:uid="{00000000-0005-0000-0000-000004190000}"/>
    <cellStyle name="Normal 2 2 8 7 2 6 2" xfId="8314" xr:uid="{00000000-0005-0000-0000-000005190000}"/>
    <cellStyle name="Normal 2 2 8 7 2 7" xfId="9989" xr:uid="{00000000-0005-0000-0000-000006190000}"/>
    <cellStyle name="Normal 2 2 8 7 2 8" xfId="6639" xr:uid="{00000000-0005-0000-0000-000007190000}"/>
    <cellStyle name="Normal 2 2 8 7 3" xfId="3408" xr:uid="{00000000-0005-0000-0000-000008190000}"/>
    <cellStyle name="Normal 2 2 8 7 3 2" xfId="4374" xr:uid="{00000000-0005-0000-0000-000009190000}"/>
    <cellStyle name="Normal 2 2 8 7 3 2 2" xfId="6049" xr:uid="{00000000-0005-0000-0000-00000A190000}"/>
    <cellStyle name="Normal 2 2 8 7 3 2 2 2" xfId="9399" xr:uid="{00000000-0005-0000-0000-00000B190000}"/>
    <cellStyle name="Normal 2 2 8 7 3 2 3" xfId="11074" xr:uid="{00000000-0005-0000-0000-00000C190000}"/>
    <cellStyle name="Normal 2 2 8 7 3 2 4" xfId="7724" xr:uid="{00000000-0005-0000-0000-00000D190000}"/>
    <cellStyle name="Normal 2 2 8 7 3 3" xfId="5082" xr:uid="{00000000-0005-0000-0000-00000E190000}"/>
    <cellStyle name="Normal 2 2 8 7 3 3 2" xfId="8432" xr:uid="{00000000-0005-0000-0000-00000F190000}"/>
    <cellStyle name="Normal 2 2 8 7 3 4" xfId="10107" xr:uid="{00000000-0005-0000-0000-000010190000}"/>
    <cellStyle name="Normal 2 2 8 7 3 5" xfId="6757" xr:uid="{00000000-0005-0000-0000-000011190000}"/>
    <cellStyle name="Normal 2 2 8 7 4" xfId="3643" xr:uid="{00000000-0005-0000-0000-000012190000}"/>
    <cellStyle name="Normal 2 2 8 7 4 2" xfId="4610" xr:uid="{00000000-0005-0000-0000-000013190000}"/>
    <cellStyle name="Normal 2 2 8 7 4 2 2" xfId="6285" xr:uid="{00000000-0005-0000-0000-000014190000}"/>
    <cellStyle name="Normal 2 2 8 7 4 2 2 2" xfId="9635" xr:uid="{00000000-0005-0000-0000-000015190000}"/>
    <cellStyle name="Normal 2 2 8 7 4 2 3" xfId="11310" xr:uid="{00000000-0005-0000-0000-000016190000}"/>
    <cellStyle name="Normal 2 2 8 7 4 2 4" xfId="7960" xr:uid="{00000000-0005-0000-0000-000017190000}"/>
    <cellStyle name="Normal 2 2 8 7 4 3" xfId="5318" xr:uid="{00000000-0005-0000-0000-000018190000}"/>
    <cellStyle name="Normal 2 2 8 7 4 3 2" xfId="8668" xr:uid="{00000000-0005-0000-0000-000019190000}"/>
    <cellStyle name="Normal 2 2 8 7 4 4" xfId="10343" xr:uid="{00000000-0005-0000-0000-00001A190000}"/>
    <cellStyle name="Normal 2 2 8 7 4 5" xfId="6993" xr:uid="{00000000-0005-0000-0000-00001B190000}"/>
    <cellStyle name="Normal 2 2 8 7 5" xfId="3879" xr:uid="{00000000-0005-0000-0000-00001C190000}"/>
    <cellStyle name="Normal 2 2 8 7 5 2" xfId="5554" xr:uid="{00000000-0005-0000-0000-00001D190000}"/>
    <cellStyle name="Normal 2 2 8 7 5 2 2" xfId="8904" xr:uid="{00000000-0005-0000-0000-00001E190000}"/>
    <cellStyle name="Normal 2 2 8 7 5 3" xfId="10579" xr:uid="{00000000-0005-0000-0000-00001F190000}"/>
    <cellStyle name="Normal 2 2 8 7 5 4" xfId="7229" xr:uid="{00000000-0005-0000-0000-000020190000}"/>
    <cellStyle name="Normal 2 2 8 7 6" xfId="4138" xr:uid="{00000000-0005-0000-0000-000021190000}"/>
    <cellStyle name="Normal 2 2 8 7 6 2" xfId="5813" xr:uid="{00000000-0005-0000-0000-000022190000}"/>
    <cellStyle name="Normal 2 2 8 7 6 2 2" xfId="9163" xr:uid="{00000000-0005-0000-0000-000023190000}"/>
    <cellStyle name="Normal 2 2 8 7 6 3" xfId="10838" xr:uid="{00000000-0005-0000-0000-000024190000}"/>
    <cellStyle name="Normal 2 2 8 7 6 4" xfId="7488" xr:uid="{00000000-0005-0000-0000-000025190000}"/>
    <cellStyle name="Normal 2 2 8 7 7" xfId="4846" xr:uid="{00000000-0005-0000-0000-000026190000}"/>
    <cellStyle name="Normal 2 2 8 7 7 2" xfId="8196" xr:uid="{00000000-0005-0000-0000-000027190000}"/>
    <cellStyle name="Normal 2 2 8 7 8" xfId="9871" xr:uid="{00000000-0005-0000-0000-000028190000}"/>
    <cellStyle name="Normal 2 2 8 7 9" xfId="6521" xr:uid="{00000000-0005-0000-0000-000029190000}"/>
    <cellStyle name="Normal 2 2 8 8" xfId="3196" xr:uid="{00000000-0005-0000-0000-00002A190000}"/>
    <cellStyle name="Normal 2 2 8 8 2" xfId="3432" xr:uid="{00000000-0005-0000-0000-00002B190000}"/>
    <cellStyle name="Normal 2 2 8 8 2 2" xfId="4398" xr:uid="{00000000-0005-0000-0000-00002C190000}"/>
    <cellStyle name="Normal 2 2 8 8 2 2 2" xfId="6073" xr:uid="{00000000-0005-0000-0000-00002D190000}"/>
    <cellStyle name="Normal 2 2 8 8 2 2 2 2" xfId="9423" xr:uid="{00000000-0005-0000-0000-00002E190000}"/>
    <cellStyle name="Normal 2 2 8 8 2 2 3" xfId="11098" xr:uid="{00000000-0005-0000-0000-00002F190000}"/>
    <cellStyle name="Normal 2 2 8 8 2 2 4" xfId="7748" xr:uid="{00000000-0005-0000-0000-000030190000}"/>
    <cellStyle name="Normal 2 2 8 8 2 3" xfId="5106" xr:uid="{00000000-0005-0000-0000-000031190000}"/>
    <cellStyle name="Normal 2 2 8 8 2 3 2" xfId="8456" xr:uid="{00000000-0005-0000-0000-000032190000}"/>
    <cellStyle name="Normal 2 2 8 8 2 4" xfId="10131" xr:uid="{00000000-0005-0000-0000-000033190000}"/>
    <cellStyle name="Normal 2 2 8 8 2 5" xfId="6781" xr:uid="{00000000-0005-0000-0000-000034190000}"/>
    <cellStyle name="Normal 2 2 8 8 3" xfId="3667" xr:uid="{00000000-0005-0000-0000-000035190000}"/>
    <cellStyle name="Normal 2 2 8 8 3 2" xfId="4634" xr:uid="{00000000-0005-0000-0000-000036190000}"/>
    <cellStyle name="Normal 2 2 8 8 3 2 2" xfId="6309" xr:uid="{00000000-0005-0000-0000-000037190000}"/>
    <cellStyle name="Normal 2 2 8 8 3 2 2 2" xfId="9659" xr:uid="{00000000-0005-0000-0000-000038190000}"/>
    <cellStyle name="Normal 2 2 8 8 3 2 3" xfId="11334" xr:uid="{00000000-0005-0000-0000-000039190000}"/>
    <cellStyle name="Normal 2 2 8 8 3 2 4" xfId="7984" xr:uid="{00000000-0005-0000-0000-00003A190000}"/>
    <cellStyle name="Normal 2 2 8 8 3 3" xfId="5342" xr:uid="{00000000-0005-0000-0000-00003B190000}"/>
    <cellStyle name="Normal 2 2 8 8 3 3 2" xfId="8692" xr:uid="{00000000-0005-0000-0000-00003C190000}"/>
    <cellStyle name="Normal 2 2 8 8 3 4" xfId="10367" xr:uid="{00000000-0005-0000-0000-00003D190000}"/>
    <cellStyle name="Normal 2 2 8 8 3 5" xfId="7017" xr:uid="{00000000-0005-0000-0000-00003E190000}"/>
    <cellStyle name="Normal 2 2 8 8 4" xfId="3903" xr:uid="{00000000-0005-0000-0000-00003F190000}"/>
    <cellStyle name="Normal 2 2 8 8 4 2" xfId="5578" xr:uid="{00000000-0005-0000-0000-000040190000}"/>
    <cellStyle name="Normal 2 2 8 8 4 2 2" xfId="8928" xr:uid="{00000000-0005-0000-0000-000041190000}"/>
    <cellStyle name="Normal 2 2 8 8 4 3" xfId="10603" xr:uid="{00000000-0005-0000-0000-000042190000}"/>
    <cellStyle name="Normal 2 2 8 8 4 4" xfId="7253" xr:uid="{00000000-0005-0000-0000-000043190000}"/>
    <cellStyle name="Normal 2 2 8 8 5" xfId="4162" xr:uid="{00000000-0005-0000-0000-000044190000}"/>
    <cellStyle name="Normal 2 2 8 8 5 2" xfId="5837" xr:uid="{00000000-0005-0000-0000-000045190000}"/>
    <cellStyle name="Normal 2 2 8 8 5 2 2" xfId="9187" xr:uid="{00000000-0005-0000-0000-000046190000}"/>
    <cellStyle name="Normal 2 2 8 8 5 3" xfId="10862" xr:uid="{00000000-0005-0000-0000-000047190000}"/>
    <cellStyle name="Normal 2 2 8 8 5 4" xfId="7512" xr:uid="{00000000-0005-0000-0000-000048190000}"/>
    <cellStyle name="Normal 2 2 8 8 6" xfId="4870" xr:uid="{00000000-0005-0000-0000-000049190000}"/>
    <cellStyle name="Normal 2 2 8 8 6 2" xfId="8220" xr:uid="{00000000-0005-0000-0000-00004A190000}"/>
    <cellStyle name="Normal 2 2 8 8 7" xfId="9895" xr:uid="{00000000-0005-0000-0000-00004B190000}"/>
    <cellStyle name="Normal 2 2 8 8 8" xfId="6545" xr:uid="{00000000-0005-0000-0000-00004C190000}"/>
    <cellStyle name="Normal 2 2 8 9" xfId="3314" xr:uid="{00000000-0005-0000-0000-00004D190000}"/>
    <cellStyle name="Normal 2 2 8 9 2" xfId="4280" xr:uid="{00000000-0005-0000-0000-00004E190000}"/>
    <cellStyle name="Normal 2 2 8 9 2 2" xfId="5955" xr:uid="{00000000-0005-0000-0000-00004F190000}"/>
    <cellStyle name="Normal 2 2 8 9 2 2 2" xfId="9305" xr:uid="{00000000-0005-0000-0000-000050190000}"/>
    <cellStyle name="Normal 2 2 8 9 2 3" xfId="10980" xr:uid="{00000000-0005-0000-0000-000051190000}"/>
    <cellStyle name="Normal 2 2 8 9 2 4" xfId="7630" xr:uid="{00000000-0005-0000-0000-000052190000}"/>
    <cellStyle name="Normal 2 2 8 9 3" xfId="4988" xr:uid="{00000000-0005-0000-0000-000053190000}"/>
    <cellStyle name="Normal 2 2 8 9 3 2" xfId="8338" xr:uid="{00000000-0005-0000-0000-000054190000}"/>
    <cellStyle name="Normal 2 2 8 9 4" xfId="10013" xr:uid="{00000000-0005-0000-0000-000055190000}"/>
    <cellStyle name="Normal 2 2 8 9 5" xfId="6663" xr:uid="{00000000-0005-0000-0000-000056190000}"/>
    <cellStyle name="Normal 2 2 9" xfId="2111" xr:uid="{00000000-0005-0000-0000-00009E080000}"/>
    <cellStyle name="Normal 2 20" xfId="3115" xr:uid="{00000000-0005-0000-0000-000058190000}"/>
    <cellStyle name="Normal 2 20 2" xfId="3232" xr:uid="{00000000-0005-0000-0000-000059190000}"/>
    <cellStyle name="Normal 2 20 2 2" xfId="3468" xr:uid="{00000000-0005-0000-0000-00005A190000}"/>
    <cellStyle name="Normal 2 20 2 2 2" xfId="4434" xr:uid="{00000000-0005-0000-0000-00005B190000}"/>
    <cellStyle name="Normal 2 20 2 2 2 2" xfId="6109" xr:uid="{00000000-0005-0000-0000-00005C190000}"/>
    <cellStyle name="Normal 2 20 2 2 2 2 2" xfId="9459" xr:uid="{00000000-0005-0000-0000-00005D190000}"/>
    <cellStyle name="Normal 2 20 2 2 2 3" xfId="11134" xr:uid="{00000000-0005-0000-0000-00005E190000}"/>
    <cellStyle name="Normal 2 20 2 2 2 4" xfId="7784" xr:uid="{00000000-0005-0000-0000-00005F190000}"/>
    <cellStyle name="Normal 2 20 2 2 3" xfId="5142" xr:uid="{00000000-0005-0000-0000-000060190000}"/>
    <cellStyle name="Normal 2 20 2 2 3 2" xfId="8492" xr:uid="{00000000-0005-0000-0000-000061190000}"/>
    <cellStyle name="Normal 2 20 2 2 4" xfId="10167" xr:uid="{00000000-0005-0000-0000-000062190000}"/>
    <cellStyle name="Normal 2 20 2 2 5" xfId="6817" xr:uid="{00000000-0005-0000-0000-000063190000}"/>
    <cellStyle name="Normal 2 20 2 3" xfId="3703" xr:uid="{00000000-0005-0000-0000-000064190000}"/>
    <cellStyle name="Normal 2 20 2 3 2" xfId="4670" xr:uid="{00000000-0005-0000-0000-000065190000}"/>
    <cellStyle name="Normal 2 20 2 3 2 2" xfId="6345" xr:uid="{00000000-0005-0000-0000-000066190000}"/>
    <cellStyle name="Normal 2 20 2 3 2 2 2" xfId="9695" xr:uid="{00000000-0005-0000-0000-000067190000}"/>
    <cellStyle name="Normal 2 20 2 3 2 3" xfId="11370" xr:uid="{00000000-0005-0000-0000-000068190000}"/>
    <cellStyle name="Normal 2 20 2 3 2 4" xfId="8020" xr:uid="{00000000-0005-0000-0000-000069190000}"/>
    <cellStyle name="Normal 2 20 2 3 3" xfId="5378" xr:uid="{00000000-0005-0000-0000-00006A190000}"/>
    <cellStyle name="Normal 2 20 2 3 3 2" xfId="8728" xr:uid="{00000000-0005-0000-0000-00006B190000}"/>
    <cellStyle name="Normal 2 20 2 3 4" xfId="10403" xr:uid="{00000000-0005-0000-0000-00006C190000}"/>
    <cellStyle name="Normal 2 20 2 3 5" xfId="7053" xr:uid="{00000000-0005-0000-0000-00006D190000}"/>
    <cellStyle name="Normal 2 20 2 4" xfId="3939" xr:uid="{00000000-0005-0000-0000-00006E190000}"/>
    <cellStyle name="Normal 2 20 2 4 2" xfId="5614" xr:uid="{00000000-0005-0000-0000-00006F190000}"/>
    <cellStyle name="Normal 2 20 2 4 2 2" xfId="8964" xr:uid="{00000000-0005-0000-0000-000070190000}"/>
    <cellStyle name="Normal 2 20 2 4 3" xfId="10639" xr:uid="{00000000-0005-0000-0000-000071190000}"/>
    <cellStyle name="Normal 2 20 2 4 4" xfId="7289" xr:uid="{00000000-0005-0000-0000-000072190000}"/>
    <cellStyle name="Normal 2 20 2 5" xfId="4198" xr:uid="{00000000-0005-0000-0000-000073190000}"/>
    <cellStyle name="Normal 2 20 2 5 2" xfId="5873" xr:uid="{00000000-0005-0000-0000-000074190000}"/>
    <cellStyle name="Normal 2 20 2 5 2 2" xfId="9223" xr:uid="{00000000-0005-0000-0000-000075190000}"/>
    <cellStyle name="Normal 2 20 2 5 3" xfId="10898" xr:uid="{00000000-0005-0000-0000-000076190000}"/>
    <cellStyle name="Normal 2 20 2 5 4" xfId="7548" xr:uid="{00000000-0005-0000-0000-000077190000}"/>
    <cellStyle name="Normal 2 20 2 6" xfId="4906" xr:uid="{00000000-0005-0000-0000-000078190000}"/>
    <cellStyle name="Normal 2 20 2 6 2" xfId="8256" xr:uid="{00000000-0005-0000-0000-000079190000}"/>
    <cellStyle name="Normal 2 20 2 7" xfId="9931" xr:uid="{00000000-0005-0000-0000-00007A190000}"/>
    <cellStyle name="Normal 2 20 2 8" xfId="6581" xr:uid="{00000000-0005-0000-0000-00007B190000}"/>
    <cellStyle name="Normal 2 20 3" xfId="3350" xr:uid="{00000000-0005-0000-0000-00007C190000}"/>
    <cellStyle name="Normal 2 20 3 2" xfId="4316" xr:uid="{00000000-0005-0000-0000-00007D190000}"/>
    <cellStyle name="Normal 2 20 3 2 2" xfId="5991" xr:uid="{00000000-0005-0000-0000-00007E190000}"/>
    <cellStyle name="Normal 2 20 3 2 2 2" xfId="9341" xr:uid="{00000000-0005-0000-0000-00007F190000}"/>
    <cellStyle name="Normal 2 20 3 2 3" xfId="11016" xr:uid="{00000000-0005-0000-0000-000080190000}"/>
    <cellStyle name="Normal 2 20 3 2 4" xfId="7666" xr:uid="{00000000-0005-0000-0000-000081190000}"/>
    <cellStyle name="Normal 2 20 3 3" xfId="5024" xr:uid="{00000000-0005-0000-0000-000082190000}"/>
    <cellStyle name="Normal 2 20 3 3 2" xfId="8374" xr:uid="{00000000-0005-0000-0000-000083190000}"/>
    <cellStyle name="Normal 2 20 3 4" xfId="10049" xr:uid="{00000000-0005-0000-0000-000084190000}"/>
    <cellStyle name="Normal 2 20 3 5" xfId="6699" xr:uid="{00000000-0005-0000-0000-000085190000}"/>
    <cellStyle name="Normal 2 20 4" xfId="3585" xr:uid="{00000000-0005-0000-0000-000086190000}"/>
    <cellStyle name="Normal 2 20 4 2" xfId="4552" xr:uid="{00000000-0005-0000-0000-000087190000}"/>
    <cellStyle name="Normal 2 20 4 2 2" xfId="6227" xr:uid="{00000000-0005-0000-0000-000088190000}"/>
    <cellStyle name="Normal 2 20 4 2 2 2" xfId="9577" xr:uid="{00000000-0005-0000-0000-000089190000}"/>
    <cellStyle name="Normal 2 20 4 2 3" xfId="11252" xr:uid="{00000000-0005-0000-0000-00008A190000}"/>
    <cellStyle name="Normal 2 20 4 2 4" xfId="7902" xr:uid="{00000000-0005-0000-0000-00008B190000}"/>
    <cellStyle name="Normal 2 20 4 3" xfId="5260" xr:uid="{00000000-0005-0000-0000-00008C190000}"/>
    <cellStyle name="Normal 2 20 4 3 2" xfId="8610" xr:uid="{00000000-0005-0000-0000-00008D190000}"/>
    <cellStyle name="Normal 2 20 4 4" xfId="10285" xr:uid="{00000000-0005-0000-0000-00008E190000}"/>
    <cellStyle name="Normal 2 20 4 5" xfId="6935" xr:uid="{00000000-0005-0000-0000-00008F190000}"/>
    <cellStyle name="Normal 2 20 5" xfId="3821" xr:uid="{00000000-0005-0000-0000-000090190000}"/>
    <cellStyle name="Normal 2 20 5 2" xfId="5496" xr:uid="{00000000-0005-0000-0000-000091190000}"/>
    <cellStyle name="Normal 2 20 5 2 2" xfId="8846" xr:uid="{00000000-0005-0000-0000-000092190000}"/>
    <cellStyle name="Normal 2 20 5 3" xfId="10521" xr:uid="{00000000-0005-0000-0000-000093190000}"/>
    <cellStyle name="Normal 2 20 5 4" xfId="7171" xr:uid="{00000000-0005-0000-0000-000094190000}"/>
    <cellStyle name="Normal 2 20 6" xfId="4080" xr:uid="{00000000-0005-0000-0000-000095190000}"/>
    <cellStyle name="Normal 2 20 6 2" xfId="5755" xr:uid="{00000000-0005-0000-0000-000096190000}"/>
    <cellStyle name="Normal 2 20 6 2 2" xfId="9105" xr:uid="{00000000-0005-0000-0000-000097190000}"/>
    <cellStyle name="Normal 2 20 6 3" xfId="10780" xr:uid="{00000000-0005-0000-0000-000098190000}"/>
    <cellStyle name="Normal 2 20 6 4" xfId="7430" xr:uid="{00000000-0005-0000-0000-000099190000}"/>
    <cellStyle name="Normal 2 20 7" xfId="4788" xr:uid="{00000000-0005-0000-0000-00009A190000}"/>
    <cellStyle name="Normal 2 20 7 2" xfId="8138" xr:uid="{00000000-0005-0000-0000-00009B190000}"/>
    <cellStyle name="Normal 2 20 8" xfId="9813" xr:uid="{00000000-0005-0000-0000-00009C190000}"/>
    <cellStyle name="Normal 2 20 9" xfId="6463" xr:uid="{00000000-0005-0000-0000-00009D190000}"/>
    <cellStyle name="Normal 2 21" xfId="3138" xr:uid="{00000000-0005-0000-0000-00009E190000}"/>
    <cellStyle name="Normal 2 21 2" xfId="3256" xr:uid="{00000000-0005-0000-0000-00009F190000}"/>
    <cellStyle name="Normal 2 21 2 2" xfId="3492" xr:uid="{00000000-0005-0000-0000-0000A0190000}"/>
    <cellStyle name="Normal 2 21 2 2 2" xfId="4458" xr:uid="{00000000-0005-0000-0000-0000A1190000}"/>
    <cellStyle name="Normal 2 21 2 2 2 2" xfId="6133" xr:uid="{00000000-0005-0000-0000-0000A2190000}"/>
    <cellStyle name="Normal 2 21 2 2 2 2 2" xfId="9483" xr:uid="{00000000-0005-0000-0000-0000A3190000}"/>
    <cellStyle name="Normal 2 21 2 2 2 3" xfId="11158" xr:uid="{00000000-0005-0000-0000-0000A4190000}"/>
    <cellStyle name="Normal 2 21 2 2 2 4" xfId="7808" xr:uid="{00000000-0005-0000-0000-0000A5190000}"/>
    <cellStyle name="Normal 2 21 2 2 3" xfId="5166" xr:uid="{00000000-0005-0000-0000-0000A6190000}"/>
    <cellStyle name="Normal 2 21 2 2 3 2" xfId="8516" xr:uid="{00000000-0005-0000-0000-0000A7190000}"/>
    <cellStyle name="Normal 2 21 2 2 4" xfId="10191" xr:uid="{00000000-0005-0000-0000-0000A8190000}"/>
    <cellStyle name="Normal 2 21 2 2 5" xfId="6841" xr:uid="{00000000-0005-0000-0000-0000A9190000}"/>
    <cellStyle name="Normal 2 21 2 3" xfId="3727" xr:uid="{00000000-0005-0000-0000-0000AA190000}"/>
    <cellStyle name="Normal 2 21 2 3 2" xfId="4694" xr:uid="{00000000-0005-0000-0000-0000AB190000}"/>
    <cellStyle name="Normal 2 21 2 3 2 2" xfId="6369" xr:uid="{00000000-0005-0000-0000-0000AC190000}"/>
    <cellStyle name="Normal 2 21 2 3 2 2 2" xfId="9719" xr:uid="{00000000-0005-0000-0000-0000AD190000}"/>
    <cellStyle name="Normal 2 21 2 3 2 3" xfId="11394" xr:uid="{00000000-0005-0000-0000-0000AE190000}"/>
    <cellStyle name="Normal 2 21 2 3 2 4" xfId="8044" xr:uid="{00000000-0005-0000-0000-0000AF190000}"/>
    <cellStyle name="Normal 2 21 2 3 3" xfId="5402" xr:uid="{00000000-0005-0000-0000-0000B0190000}"/>
    <cellStyle name="Normal 2 21 2 3 3 2" xfId="8752" xr:uid="{00000000-0005-0000-0000-0000B1190000}"/>
    <cellStyle name="Normal 2 21 2 3 4" xfId="10427" xr:uid="{00000000-0005-0000-0000-0000B2190000}"/>
    <cellStyle name="Normal 2 21 2 3 5" xfId="7077" xr:uid="{00000000-0005-0000-0000-0000B3190000}"/>
    <cellStyle name="Normal 2 21 2 4" xfId="3963" xr:uid="{00000000-0005-0000-0000-0000B4190000}"/>
    <cellStyle name="Normal 2 21 2 4 2" xfId="5638" xr:uid="{00000000-0005-0000-0000-0000B5190000}"/>
    <cellStyle name="Normal 2 21 2 4 2 2" xfId="8988" xr:uid="{00000000-0005-0000-0000-0000B6190000}"/>
    <cellStyle name="Normal 2 21 2 4 3" xfId="10663" xr:uid="{00000000-0005-0000-0000-0000B7190000}"/>
    <cellStyle name="Normal 2 21 2 4 4" xfId="7313" xr:uid="{00000000-0005-0000-0000-0000B8190000}"/>
    <cellStyle name="Normal 2 21 2 5" xfId="4222" xr:uid="{00000000-0005-0000-0000-0000B9190000}"/>
    <cellStyle name="Normal 2 21 2 5 2" xfId="5897" xr:uid="{00000000-0005-0000-0000-0000BA190000}"/>
    <cellStyle name="Normal 2 21 2 5 2 2" xfId="9247" xr:uid="{00000000-0005-0000-0000-0000BB190000}"/>
    <cellStyle name="Normal 2 21 2 5 3" xfId="10922" xr:uid="{00000000-0005-0000-0000-0000BC190000}"/>
    <cellStyle name="Normal 2 21 2 5 4" xfId="7572" xr:uid="{00000000-0005-0000-0000-0000BD190000}"/>
    <cellStyle name="Normal 2 21 2 6" xfId="4930" xr:uid="{00000000-0005-0000-0000-0000BE190000}"/>
    <cellStyle name="Normal 2 21 2 6 2" xfId="8280" xr:uid="{00000000-0005-0000-0000-0000BF190000}"/>
    <cellStyle name="Normal 2 21 2 7" xfId="9955" xr:uid="{00000000-0005-0000-0000-0000C0190000}"/>
    <cellStyle name="Normal 2 21 2 8" xfId="6605" xr:uid="{00000000-0005-0000-0000-0000C1190000}"/>
    <cellStyle name="Normal 2 21 3" xfId="3374" xr:uid="{00000000-0005-0000-0000-0000C2190000}"/>
    <cellStyle name="Normal 2 21 3 2" xfId="4340" xr:uid="{00000000-0005-0000-0000-0000C3190000}"/>
    <cellStyle name="Normal 2 21 3 2 2" xfId="6015" xr:uid="{00000000-0005-0000-0000-0000C4190000}"/>
    <cellStyle name="Normal 2 21 3 2 2 2" xfId="9365" xr:uid="{00000000-0005-0000-0000-0000C5190000}"/>
    <cellStyle name="Normal 2 21 3 2 3" xfId="11040" xr:uid="{00000000-0005-0000-0000-0000C6190000}"/>
    <cellStyle name="Normal 2 21 3 2 4" xfId="7690" xr:uid="{00000000-0005-0000-0000-0000C7190000}"/>
    <cellStyle name="Normal 2 21 3 3" xfId="5048" xr:uid="{00000000-0005-0000-0000-0000C8190000}"/>
    <cellStyle name="Normal 2 21 3 3 2" xfId="8398" xr:uid="{00000000-0005-0000-0000-0000C9190000}"/>
    <cellStyle name="Normal 2 21 3 4" xfId="10073" xr:uid="{00000000-0005-0000-0000-0000CA190000}"/>
    <cellStyle name="Normal 2 21 3 5" xfId="6723" xr:uid="{00000000-0005-0000-0000-0000CB190000}"/>
    <cellStyle name="Normal 2 21 4" xfId="3609" xr:uid="{00000000-0005-0000-0000-0000CC190000}"/>
    <cellStyle name="Normal 2 21 4 2" xfId="4576" xr:uid="{00000000-0005-0000-0000-0000CD190000}"/>
    <cellStyle name="Normal 2 21 4 2 2" xfId="6251" xr:uid="{00000000-0005-0000-0000-0000CE190000}"/>
    <cellStyle name="Normal 2 21 4 2 2 2" xfId="9601" xr:uid="{00000000-0005-0000-0000-0000CF190000}"/>
    <cellStyle name="Normal 2 21 4 2 3" xfId="11276" xr:uid="{00000000-0005-0000-0000-0000D0190000}"/>
    <cellStyle name="Normal 2 21 4 2 4" xfId="7926" xr:uid="{00000000-0005-0000-0000-0000D1190000}"/>
    <cellStyle name="Normal 2 21 4 3" xfId="5284" xr:uid="{00000000-0005-0000-0000-0000D2190000}"/>
    <cellStyle name="Normal 2 21 4 3 2" xfId="8634" xr:uid="{00000000-0005-0000-0000-0000D3190000}"/>
    <cellStyle name="Normal 2 21 4 4" xfId="10309" xr:uid="{00000000-0005-0000-0000-0000D4190000}"/>
    <cellStyle name="Normal 2 21 4 5" xfId="6959" xr:uid="{00000000-0005-0000-0000-0000D5190000}"/>
    <cellStyle name="Normal 2 21 5" xfId="3845" xr:uid="{00000000-0005-0000-0000-0000D6190000}"/>
    <cellStyle name="Normal 2 21 5 2" xfId="5520" xr:uid="{00000000-0005-0000-0000-0000D7190000}"/>
    <cellStyle name="Normal 2 21 5 2 2" xfId="8870" xr:uid="{00000000-0005-0000-0000-0000D8190000}"/>
    <cellStyle name="Normal 2 21 5 3" xfId="10545" xr:uid="{00000000-0005-0000-0000-0000D9190000}"/>
    <cellStyle name="Normal 2 21 5 4" xfId="7195" xr:uid="{00000000-0005-0000-0000-0000DA190000}"/>
    <cellStyle name="Normal 2 21 6" xfId="4104" xr:uid="{00000000-0005-0000-0000-0000DB190000}"/>
    <cellStyle name="Normal 2 21 6 2" xfId="5779" xr:uid="{00000000-0005-0000-0000-0000DC190000}"/>
    <cellStyle name="Normal 2 21 6 2 2" xfId="9129" xr:uid="{00000000-0005-0000-0000-0000DD190000}"/>
    <cellStyle name="Normal 2 21 6 3" xfId="10804" xr:uid="{00000000-0005-0000-0000-0000DE190000}"/>
    <cellStyle name="Normal 2 21 6 4" xfId="7454" xr:uid="{00000000-0005-0000-0000-0000DF190000}"/>
    <cellStyle name="Normal 2 21 7" xfId="4812" xr:uid="{00000000-0005-0000-0000-0000E0190000}"/>
    <cellStyle name="Normal 2 21 7 2" xfId="8162" xr:uid="{00000000-0005-0000-0000-0000E1190000}"/>
    <cellStyle name="Normal 2 21 8" xfId="9837" xr:uid="{00000000-0005-0000-0000-0000E2190000}"/>
    <cellStyle name="Normal 2 21 9" xfId="6487" xr:uid="{00000000-0005-0000-0000-0000E3190000}"/>
    <cellStyle name="Normal 2 22" xfId="3162" xr:uid="{00000000-0005-0000-0000-0000E4190000}"/>
    <cellStyle name="Normal 2 22 2" xfId="3280" xr:uid="{00000000-0005-0000-0000-0000E5190000}"/>
    <cellStyle name="Normal 2 22 2 2" xfId="3516" xr:uid="{00000000-0005-0000-0000-0000E6190000}"/>
    <cellStyle name="Normal 2 22 2 2 2" xfId="4482" xr:uid="{00000000-0005-0000-0000-0000E7190000}"/>
    <cellStyle name="Normal 2 22 2 2 2 2" xfId="6157" xr:uid="{00000000-0005-0000-0000-0000E8190000}"/>
    <cellStyle name="Normal 2 22 2 2 2 2 2" xfId="9507" xr:uid="{00000000-0005-0000-0000-0000E9190000}"/>
    <cellStyle name="Normal 2 22 2 2 2 3" xfId="11182" xr:uid="{00000000-0005-0000-0000-0000EA190000}"/>
    <cellStyle name="Normal 2 22 2 2 2 4" xfId="7832" xr:uid="{00000000-0005-0000-0000-0000EB190000}"/>
    <cellStyle name="Normal 2 22 2 2 3" xfId="5190" xr:uid="{00000000-0005-0000-0000-0000EC190000}"/>
    <cellStyle name="Normal 2 22 2 2 3 2" xfId="8540" xr:uid="{00000000-0005-0000-0000-0000ED190000}"/>
    <cellStyle name="Normal 2 22 2 2 4" xfId="10215" xr:uid="{00000000-0005-0000-0000-0000EE190000}"/>
    <cellStyle name="Normal 2 22 2 2 5" xfId="6865" xr:uid="{00000000-0005-0000-0000-0000EF190000}"/>
    <cellStyle name="Normal 2 22 2 3" xfId="3751" xr:uid="{00000000-0005-0000-0000-0000F0190000}"/>
    <cellStyle name="Normal 2 22 2 3 2" xfId="4718" xr:uid="{00000000-0005-0000-0000-0000F1190000}"/>
    <cellStyle name="Normal 2 22 2 3 2 2" xfId="6393" xr:uid="{00000000-0005-0000-0000-0000F2190000}"/>
    <cellStyle name="Normal 2 22 2 3 2 2 2" xfId="9743" xr:uid="{00000000-0005-0000-0000-0000F3190000}"/>
    <cellStyle name="Normal 2 22 2 3 2 3" xfId="11418" xr:uid="{00000000-0005-0000-0000-0000F4190000}"/>
    <cellStyle name="Normal 2 22 2 3 2 4" xfId="8068" xr:uid="{00000000-0005-0000-0000-0000F5190000}"/>
    <cellStyle name="Normal 2 22 2 3 3" xfId="5426" xr:uid="{00000000-0005-0000-0000-0000F6190000}"/>
    <cellStyle name="Normal 2 22 2 3 3 2" xfId="8776" xr:uid="{00000000-0005-0000-0000-0000F7190000}"/>
    <cellStyle name="Normal 2 22 2 3 4" xfId="10451" xr:uid="{00000000-0005-0000-0000-0000F8190000}"/>
    <cellStyle name="Normal 2 22 2 3 5" xfId="7101" xr:uid="{00000000-0005-0000-0000-0000F9190000}"/>
    <cellStyle name="Normal 2 22 2 4" xfId="3987" xr:uid="{00000000-0005-0000-0000-0000FA190000}"/>
    <cellStyle name="Normal 2 22 2 4 2" xfId="5662" xr:uid="{00000000-0005-0000-0000-0000FB190000}"/>
    <cellStyle name="Normal 2 22 2 4 2 2" xfId="9012" xr:uid="{00000000-0005-0000-0000-0000FC190000}"/>
    <cellStyle name="Normal 2 22 2 4 3" xfId="10687" xr:uid="{00000000-0005-0000-0000-0000FD190000}"/>
    <cellStyle name="Normal 2 22 2 4 4" xfId="7337" xr:uid="{00000000-0005-0000-0000-0000FE190000}"/>
    <cellStyle name="Normal 2 22 2 5" xfId="4246" xr:uid="{00000000-0005-0000-0000-0000FF190000}"/>
    <cellStyle name="Normal 2 22 2 5 2" xfId="5921" xr:uid="{00000000-0005-0000-0000-0000001A0000}"/>
    <cellStyle name="Normal 2 22 2 5 2 2" xfId="9271" xr:uid="{00000000-0005-0000-0000-0000011A0000}"/>
    <cellStyle name="Normal 2 22 2 5 3" xfId="10946" xr:uid="{00000000-0005-0000-0000-0000021A0000}"/>
    <cellStyle name="Normal 2 22 2 5 4" xfId="7596" xr:uid="{00000000-0005-0000-0000-0000031A0000}"/>
    <cellStyle name="Normal 2 22 2 6" xfId="4954" xr:uid="{00000000-0005-0000-0000-0000041A0000}"/>
    <cellStyle name="Normal 2 22 2 6 2" xfId="8304" xr:uid="{00000000-0005-0000-0000-0000051A0000}"/>
    <cellStyle name="Normal 2 22 2 7" xfId="9979" xr:uid="{00000000-0005-0000-0000-0000061A0000}"/>
    <cellStyle name="Normal 2 22 2 8" xfId="6629" xr:uid="{00000000-0005-0000-0000-0000071A0000}"/>
    <cellStyle name="Normal 2 22 3" xfId="3398" xr:uid="{00000000-0005-0000-0000-0000081A0000}"/>
    <cellStyle name="Normal 2 22 3 2" xfId="4364" xr:uid="{00000000-0005-0000-0000-0000091A0000}"/>
    <cellStyle name="Normal 2 22 3 2 2" xfId="6039" xr:uid="{00000000-0005-0000-0000-00000A1A0000}"/>
    <cellStyle name="Normal 2 22 3 2 2 2" xfId="9389" xr:uid="{00000000-0005-0000-0000-00000B1A0000}"/>
    <cellStyle name="Normal 2 22 3 2 3" xfId="11064" xr:uid="{00000000-0005-0000-0000-00000C1A0000}"/>
    <cellStyle name="Normal 2 22 3 2 4" xfId="7714" xr:uid="{00000000-0005-0000-0000-00000D1A0000}"/>
    <cellStyle name="Normal 2 22 3 3" xfId="5072" xr:uid="{00000000-0005-0000-0000-00000E1A0000}"/>
    <cellStyle name="Normal 2 22 3 3 2" xfId="8422" xr:uid="{00000000-0005-0000-0000-00000F1A0000}"/>
    <cellStyle name="Normal 2 22 3 4" xfId="10097" xr:uid="{00000000-0005-0000-0000-0000101A0000}"/>
    <cellStyle name="Normal 2 22 3 5" xfId="6747" xr:uid="{00000000-0005-0000-0000-0000111A0000}"/>
    <cellStyle name="Normal 2 22 4" xfId="3633" xr:uid="{00000000-0005-0000-0000-0000121A0000}"/>
    <cellStyle name="Normal 2 22 4 2" xfId="4600" xr:uid="{00000000-0005-0000-0000-0000131A0000}"/>
    <cellStyle name="Normal 2 22 4 2 2" xfId="6275" xr:uid="{00000000-0005-0000-0000-0000141A0000}"/>
    <cellStyle name="Normal 2 22 4 2 2 2" xfId="9625" xr:uid="{00000000-0005-0000-0000-0000151A0000}"/>
    <cellStyle name="Normal 2 22 4 2 3" xfId="11300" xr:uid="{00000000-0005-0000-0000-0000161A0000}"/>
    <cellStyle name="Normal 2 22 4 2 4" xfId="7950" xr:uid="{00000000-0005-0000-0000-0000171A0000}"/>
    <cellStyle name="Normal 2 22 4 3" xfId="5308" xr:uid="{00000000-0005-0000-0000-0000181A0000}"/>
    <cellStyle name="Normal 2 22 4 3 2" xfId="8658" xr:uid="{00000000-0005-0000-0000-0000191A0000}"/>
    <cellStyle name="Normal 2 22 4 4" xfId="10333" xr:uid="{00000000-0005-0000-0000-00001A1A0000}"/>
    <cellStyle name="Normal 2 22 4 5" xfId="6983" xr:uid="{00000000-0005-0000-0000-00001B1A0000}"/>
    <cellStyle name="Normal 2 22 5" xfId="3869" xr:uid="{00000000-0005-0000-0000-00001C1A0000}"/>
    <cellStyle name="Normal 2 22 5 2" xfId="5544" xr:uid="{00000000-0005-0000-0000-00001D1A0000}"/>
    <cellStyle name="Normal 2 22 5 2 2" xfId="8894" xr:uid="{00000000-0005-0000-0000-00001E1A0000}"/>
    <cellStyle name="Normal 2 22 5 3" xfId="10569" xr:uid="{00000000-0005-0000-0000-00001F1A0000}"/>
    <cellStyle name="Normal 2 22 5 4" xfId="7219" xr:uid="{00000000-0005-0000-0000-0000201A0000}"/>
    <cellStyle name="Normal 2 22 6" xfId="4128" xr:uid="{00000000-0005-0000-0000-0000211A0000}"/>
    <cellStyle name="Normal 2 22 6 2" xfId="5803" xr:uid="{00000000-0005-0000-0000-0000221A0000}"/>
    <cellStyle name="Normal 2 22 6 2 2" xfId="9153" xr:uid="{00000000-0005-0000-0000-0000231A0000}"/>
    <cellStyle name="Normal 2 22 6 3" xfId="10828" xr:uid="{00000000-0005-0000-0000-0000241A0000}"/>
    <cellStyle name="Normal 2 22 6 4" xfId="7478" xr:uid="{00000000-0005-0000-0000-0000251A0000}"/>
    <cellStyle name="Normal 2 22 7" xfId="4836" xr:uid="{00000000-0005-0000-0000-0000261A0000}"/>
    <cellStyle name="Normal 2 22 7 2" xfId="8186" xr:uid="{00000000-0005-0000-0000-0000271A0000}"/>
    <cellStyle name="Normal 2 22 8" xfId="9861" xr:uid="{00000000-0005-0000-0000-0000281A0000}"/>
    <cellStyle name="Normal 2 22 9" xfId="6511" xr:uid="{00000000-0005-0000-0000-0000291A0000}"/>
    <cellStyle name="Normal 2 23" xfId="3186" xr:uid="{00000000-0005-0000-0000-00002A1A0000}"/>
    <cellStyle name="Normal 2 23 2" xfId="3422" xr:uid="{00000000-0005-0000-0000-00002B1A0000}"/>
    <cellStyle name="Normal 2 23 2 2" xfId="4388" xr:uid="{00000000-0005-0000-0000-00002C1A0000}"/>
    <cellStyle name="Normal 2 23 2 2 2" xfId="6063" xr:uid="{00000000-0005-0000-0000-00002D1A0000}"/>
    <cellStyle name="Normal 2 23 2 2 2 2" xfId="9413" xr:uid="{00000000-0005-0000-0000-00002E1A0000}"/>
    <cellStyle name="Normal 2 23 2 2 3" xfId="11088" xr:uid="{00000000-0005-0000-0000-00002F1A0000}"/>
    <cellStyle name="Normal 2 23 2 2 4" xfId="7738" xr:uid="{00000000-0005-0000-0000-0000301A0000}"/>
    <cellStyle name="Normal 2 23 2 3" xfId="5096" xr:uid="{00000000-0005-0000-0000-0000311A0000}"/>
    <cellStyle name="Normal 2 23 2 3 2" xfId="8446" xr:uid="{00000000-0005-0000-0000-0000321A0000}"/>
    <cellStyle name="Normal 2 23 2 4" xfId="10121" xr:uid="{00000000-0005-0000-0000-0000331A0000}"/>
    <cellStyle name="Normal 2 23 2 5" xfId="6771" xr:uid="{00000000-0005-0000-0000-0000341A0000}"/>
    <cellStyle name="Normal 2 23 3" xfId="3657" xr:uid="{00000000-0005-0000-0000-0000351A0000}"/>
    <cellStyle name="Normal 2 23 3 2" xfId="4624" xr:uid="{00000000-0005-0000-0000-0000361A0000}"/>
    <cellStyle name="Normal 2 23 3 2 2" xfId="6299" xr:uid="{00000000-0005-0000-0000-0000371A0000}"/>
    <cellStyle name="Normal 2 23 3 2 2 2" xfId="9649" xr:uid="{00000000-0005-0000-0000-0000381A0000}"/>
    <cellStyle name="Normal 2 23 3 2 3" xfId="11324" xr:uid="{00000000-0005-0000-0000-0000391A0000}"/>
    <cellStyle name="Normal 2 23 3 2 4" xfId="7974" xr:uid="{00000000-0005-0000-0000-00003A1A0000}"/>
    <cellStyle name="Normal 2 23 3 3" xfId="5332" xr:uid="{00000000-0005-0000-0000-00003B1A0000}"/>
    <cellStyle name="Normal 2 23 3 3 2" xfId="8682" xr:uid="{00000000-0005-0000-0000-00003C1A0000}"/>
    <cellStyle name="Normal 2 23 3 4" xfId="10357" xr:uid="{00000000-0005-0000-0000-00003D1A0000}"/>
    <cellStyle name="Normal 2 23 3 5" xfId="7007" xr:uid="{00000000-0005-0000-0000-00003E1A0000}"/>
    <cellStyle name="Normal 2 23 4" xfId="3893" xr:uid="{00000000-0005-0000-0000-00003F1A0000}"/>
    <cellStyle name="Normal 2 23 4 2" xfId="5568" xr:uid="{00000000-0005-0000-0000-0000401A0000}"/>
    <cellStyle name="Normal 2 23 4 2 2" xfId="8918" xr:uid="{00000000-0005-0000-0000-0000411A0000}"/>
    <cellStyle name="Normal 2 23 4 3" xfId="10593" xr:uid="{00000000-0005-0000-0000-0000421A0000}"/>
    <cellStyle name="Normal 2 23 4 4" xfId="7243" xr:uid="{00000000-0005-0000-0000-0000431A0000}"/>
    <cellStyle name="Normal 2 23 5" xfId="4152" xr:uid="{00000000-0005-0000-0000-0000441A0000}"/>
    <cellStyle name="Normal 2 23 5 2" xfId="5827" xr:uid="{00000000-0005-0000-0000-0000451A0000}"/>
    <cellStyle name="Normal 2 23 5 2 2" xfId="9177" xr:uid="{00000000-0005-0000-0000-0000461A0000}"/>
    <cellStyle name="Normal 2 23 5 3" xfId="10852" xr:uid="{00000000-0005-0000-0000-0000471A0000}"/>
    <cellStyle name="Normal 2 23 5 4" xfId="7502" xr:uid="{00000000-0005-0000-0000-0000481A0000}"/>
    <cellStyle name="Normal 2 23 6" xfId="4860" xr:uid="{00000000-0005-0000-0000-0000491A0000}"/>
    <cellStyle name="Normal 2 23 6 2" xfId="8210" xr:uid="{00000000-0005-0000-0000-00004A1A0000}"/>
    <cellStyle name="Normal 2 23 7" xfId="9885" xr:uid="{00000000-0005-0000-0000-00004B1A0000}"/>
    <cellStyle name="Normal 2 23 8" xfId="6535" xr:uid="{00000000-0005-0000-0000-00004C1A0000}"/>
    <cellStyle name="Normal 2 24" xfId="3304" xr:uid="{00000000-0005-0000-0000-00004D1A0000}"/>
    <cellStyle name="Normal 2 24 2" xfId="4270" xr:uid="{00000000-0005-0000-0000-00004E1A0000}"/>
    <cellStyle name="Normal 2 24 2 2" xfId="5945" xr:uid="{00000000-0005-0000-0000-00004F1A0000}"/>
    <cellStyle name="Normal 2 24 2 2 2" xfId="9295" xr:uid="{00000000-0005-0000-0000-0000501A0000}"/>
    <cellStyle name="Normal 2 24 2 3" xfId="10970" xr:uid="{00000000-0005-0000-0000-0000511A0000}"/>
    <cellStyle name="Normal 2 24 2 4" xfId="7620" xr:uid="{00000000-0005-0000-0000-0000521A0000}"/>
    <cellStyle name="Normal 2 24 3" xfId="4978" xr:uid="{00000000-0005-0000-0000-0000531A0000}"/>
    <cellStyle name="Normal 2 24 3 2" xfId="8328" xr:uid="{00000000-0005-0000-0000-0000541A0000}"/>
    <cellStyle name="Normal 2 24 4" xfId="10003" xr:uid="{00000000-0005-0000-0000-0000551A0000}"/>
    <cellStyle name="Normal 2 24 5" xfId="6653" xr:uid="{00000000-0005-0000-0000-0000561A0000}"/>
    <cellStyle name="Normal 2 25" xfId="3540" xr:uid="{00000000-0005-0000-0000-0000571A0000}"/>
    <cellStyle name="Normal 2 25 2" xfId="4506" xr:uid="{00000000-0005-0000-0000-0000581A0000}"/>
    <cellStyle name="Normal 2 25 2 2" xfId="6181" xr:uid="{00000000-0005-0000-0000-0000591A0000}"/>
    <cellStyle name="Normal 2 25 2 2 2" xfId="9531" xr:uid="{00000000-0005-0000-0000-00005A1A0000}"/>
    <cellStyle name="Normal 2 25 2 3" xfId="11206" xr:uid="{00000000-0005-0000-0000-00005B1A0000}"/>
    <cellStyle name="Normal 2 25 2 4" xfId="7856" xr:uid="{00000000-0005-0000-0000-00005C1A0000}"/>
    <cellStyle name="Normal 2 25 3" xfId="5214" xr:uid="{00000000-0005-0000-0000-00005D1A0000}"/>
    <cellStyle name="Normal 2 25 3 2" xfId="8564" xr:uid="{00000000-0005-0000-0000-00005E1A0000}"/>
    <cellStyle name="Normal 2 25 4" xfId="10239" xr:uid="{00000000-0005-0000-0000-00005F1A0000}"/>
    <cellStyle name="Normal 2 25 5" xfId="6889" xr:uid="{00000000-0005-0000-0000-0000601A0000}"/>
    <cellStyle name="Normal 2 26" xfId="3775" xr:uid="{00000000-0005-0000-0000-0000611A0000}"/>
    <cellStyle name="Normal 2 26 2" xfId="4034" xr:uid="{00000000-0005-0000-0000-0000621A0000}"/>
    <cellStyle name="Normal 2 26 2 2" xfId="5709" xr:uid="{00000000-0005-0000-0000-0000631A0000}"/>
    <cellStyle name="Normal 2 26 2 2 2" xfId="9059" xr:uid="{00000000-0005-0000-0000-0000641A0000}"/>
    <cellStyle name="Normal 2 26 2 3" xfId="10734" xr:uid="{00000000-0005-0000-0000-0000651A0000}"/>
    <cellStyle name="Normal 2 26 2 4" xfId="7384" xr:uid="{00000000-0005-0000-0000-0000661A0000}"/>
    <cellStyle name="Normal 2 26 3" xfId="5450" xr:uid="{00000000-0005-0000-0000-0000671A0000}"/>
    <cellStyle name="Normal 2 26 3 2" xfId="8800" xr:uid="{00000000-0005-0000-0000-0000681A0000}"/>
    <cellStyle name="Normal 2 26 4" xfId="10475" xr:uid="{00000000-0005-0000-0000-0000691A0000}"/>
    <cellStyle name="Normal 2 26 5" xfId="7125" xr:uid="{00000000-0005-0000-0000-00006A1A0000}"/>
    <cellStyle name="Normal 2 27" xfId="4011" xr:uid="{00000000-0005-0000-0000-00006B1A0000}"/>
    <cellStyle name="Normal 2 27 2" xfId="5686" xr:uid="{00000000-0005-0000-0000-00006C1A0000}"/>
    <cellStyle name="Normal 2 27 2 2" xfId="9036" xr:uid="{00000000-0005-0000-0000-00006D1A0000}"/>
    <cellStyle name="Normal 2 27 3" xfId="10711" xr:uid="{00000000-0005-0000-0000-00006E1A0000}"/>
    <cellStyle name="Normal 2 27 4" xfId="7361" xr:uid="{00000000-0005-0000-0000-00006F1A0000}"/>
    <cellStyle name="Normal 2 28" xfId="4742" xr:uid="{00000000-0005-0000-0000-0000701A0000}"/>
    <cellStyle name="Normal 2 28 2" xfId="8092" xr:uid="{00000000-0005-0000-0000-0000711A0000}"/>
    <cellStyle name="Normal 2 29" xfId="9767" xr:uid="{00000000-0005-0000-0000-0000721A0000}"/>
    <cellStyle name="Normal 2 3" xfId="4" xr:uid="{5B311C69-0DA3-4B5D-824A-ED6EA35345C5}"/>
    <cellStyle name="Normal 2 3 10" xfId="2113" xr:uid="{00000000-0005-0000-0000-0000A0080000}"/>
    <cellStyle name="Normal 2 3 11" xfId="2112" xr:uid="{00000000-0005-0000-0000-0000A1080000}"/>
    <cellStyle name="Normal 2 3 11 2" xfId="2641" xr:uid="{00000000-0005-0000-0000-0000A2080000}"/>
    <cellStyle name="Normal 2 3 12" xfId="289" xr:uid="{00000000-0005-0000-0000-00009F080000}"/>
    <cellStyle name="Normal 2 3 2" xfId="290" xr:uid="{00000000-0005-0000-0000-0000A3080000}"/>
    <cellStyle name="Normal 2 3 2 2" xfId="355" xr:uid="{00000000-0005-0000-0000-0000A4080000}"/>
    <cellStyle name="Normal 2 3 2 2 2" xfId="380" xr:uid="{00000000-0005-0000-0000-0000A5080000}"/>
    <cellStyle name="Normal 2 3 2 2 2 2" xfId="2793" xr:uid="{00000000-0005-0000-0000-0000F6000000}"/>
    <cellStyle name="Normal 2 3 2 2 2 3" xfId="12083" xr:uid="{00000000-0005-0000-0000-0000780A0000}"/>
    <cellStyle name="Normal 2 3 2 2 3" xfId="2769" xr:uid="{00000000-0005-0000-0000-0000F5000000}"/>
    <cellStyle name="Normal 2 3 2 2 4" xfId="12084" xr:uid="{00000000-0005-0000-0000-00007A0A0000}"/>
    <cellStyle name="Normal 2 3 2 3" xfId="2642" xr:uid="{00000000-0005-0000-0000-0000A6080000}"/>
    <cellStyle name="Normal 2 3 2 4" xfId="12085" xr:uid="{00000000-0005-0000-0000-00007C0A0000}"/>
    <cellStyle name="Normal 2 3 3" xfId="291" xr:uid="{00000000-0005-0000-0000-0000A7080000}"/>
    <cellStyle name="Normal 2 3 3 2" xfId="344" xr:uid="{00000000-0005-0000-0000-0000A8080000}"/>
    <cellStyle name="Normal 2 3 3 2 2" xfId="376" xr:uid="{00000000-0005-0000-0000-0000A9080000}"/>
    <cellStyle name="Normal 2 3 3 2 2 2" xfId="2789" xr:uid="{00000000-0005-0000-0000-0000F9000000}"/>
    <cellStyle name="Normal 2 3 3 2 2 3" xfId="12086" xr:uid="{00000000-0005-0000-0000-0000810A0000}"/>
    <cellStyle name="Normal 2 3 3 2 3" xfId="2765" xr:uid="{00000000-0005-0000-0000-0000F8000000}"/>
    <cellStyle name="Normal 2 3 3 2 4" xfId="12087" xr:uid="{00000000-0005-0000-0000-0000830A0000}"/>
    <cellStyle name="Normal 2 3 3 3" xfId="2643" xr:uid="{00000000-0005-0000-0000-0000AA080000}"/>
    <cellStyle name="Normal 2 3 3 4" xfId="12088" xr:uid="{00000000-0005-0000-0000-0000850A0000}"/>
    <cellStyle name="Normal 2 3 4" xfId="354" xr:uid="{00000000-0005-0000-0000-0000AB080000}"/>
    <cellStyle name="Normal 2 3 4 2" xfId="379" xr:uid="{00000000-0005-0000-0000-0000AC080000}"/>
    <cellStyle name="Normal 2 3 4 2 2" xfId="2792" xr:uid="{00000000-0005-0000-0000-0000FB000000}"/>
    <cellStyle name="Normal 2 3 4 2 3" xfId="12089" xr:uid="{00000000-0005-0000-0000-0000890A0000}"/>
    <cellStyle name="Normal 2 3 4 3" xfId="2768" xr:uid="{00000000-0005-0000-0000-0000FA000000}"/>
    <cellStyle name="Normal 2 3 4 4" xfId="12090" xr:uid="{00000000-0005-0000-0000-00008B0A0000}"/>
    <cellStyle name="Normal 2 3 5" xfId="343" xr:uid="{00000000-0005-0000-0000-0000AD080000}"/>
    <cellStyle name="Normal 2 3 5 2" xfId="375" xr:uid="{00000000-0005-0000-0000-0000AE080000}"/>
    <cellStyle name="Normal 2 3 5 2 2" xfId="2788" xr:uid="{00000000-0005-0000-0000-0000FD000000}"/>
    <cellStyle name="Normal 2 3 5 2 3" xfId="12091" xr:uid="{00000000-0005-0000-0000-00008F0A0000}"/>
    <cellStyle name="Normal 2 3 5 3" xfId="2764" xr:uid="{00000000-0005-0000-0000-0000FC000000}"/>
    <cellStyle name="Normal 2 3 5 4" xfId="12092" xr:uid="{00000000-0005-0000-0000-0000910A0000}"/>
    <cellStyle name="Normal 2 3 6" xfId="353" xr:uid="{00000000-0005-0000-0000-0000AF080000}"/>
    <cellStyle name="Normal 2 3 6 2" xfId="378" xr:uid="{00000000-0005-0000-0000-0000B0080000}"/>
    <cellStyle name="Normal 2 3 6 2 2" xfId="2791" xr:uid="{00000000-0005-0000-0000-0000FF000000}"/>
    <cellStyle name="Normal 2 3 6 2 3" xfId="12093" xr:uid="{00000000-0005-0000-0000-0000950A0000}"/>
    <cellStyle name="Normal 2 3 6 3" xfId="2767" xr:uid="{00000000-0005-0000-0000-0000FE000000}"/>
    <cellStyle name="Normal 2 3 6 4" xfId="12094" xr:uid="{00000000-0005-0000-0000-0000970A0000}"/>
    <cellStyle name="Normal 2 3 7" xfId="345" xr:uid="{00000000-0005-0000-0000-0000B1080000}"/>
    <cellStyle name="Normal 2 3 7 2" xfId="377" xr:uid="{00000000-0005-0000-0000-0000B2080000}"/>
    <cellStyle name="Normal 2 3 7 2 2" xfId="2790" xr:uid="{00000000-0005-0000-0000-000001010000}"/>
    <cellStyle name="Normal 2 3 7 2 3" xfId="12095" xr:uid="{00000000-0005-0000-0000-00009B0A0000}"/>
    <cellStyle name="Normal 2 3 7 3" xfId="2766" xr:uid="{00000000-0005-0000-0000-000000010000}"/>
    <cellStyle name="Normal 2 3 7 4" xfId="12096" xr:uid="{00000000-0005-0000-0000-00009D0A0000}"/>
    <cellStyle name="Normal 2 3 8" xfId="2114" xr:uid="{00000000-0005-0000-0000-0000B3080000}"/>
    <cellStyle name="Normal 2 3 8 2" xfId="2422" xr:uid="{00000000-0005-0000-0000-0000B4080000}"/>
    <cellStyle name="Normal 2 3 8 2 2" xfId="2820" xr:uid="{00000000-0005-0000-0000-0000B4080000}"/>
    <cellStyle name="Normal 2 3 9" xfId="2115" xr:uid="{00000000-0005-0000-0000-0000B5080000}"/>
    <cellStyle name="Normal 2 3 9 2" xfId="2423" xr:uid="{00000000-0005-0000-0000-0000B6080000}"/>
    <cellStyle name="Normal 2 3 9 2 2" xfId="2644" xr:uid="{00000000-0005-0000-0000-0000B7080000}"/>
    <cellStyle name="Normal 2 3 9 2 2 2" xfId="2840" xr:uid="{00000000-0005-0000-0000-0000B7080000}"/>
    <cellStyle name="Normal 2 3 9 3" xfId="2801" xr:uid="{00000000-0005-0000-0000-0000B5080000}"/>
    <cellStyle name="Normal 2 30" xfId="6417" xr:uid="{00000000-0005-0000-0000-00007D1A0000}"/>
    <cellStyle name="Normal 2 31" xfId="12224" xr:uid="{00000000-0005-0000-0000-0000090D0000}"/>
    <cellStyle name="Normal 2 4" xfId="292" xr:uid="{00000000-0005-0000-0000-0000B8080000}"/>
    <cellStyle name="Normal 2 4 2" xfId="342" xr:uid="{00000000-0005-0000-0000-0000B9080000}"/>
    <cellStyle name="Normal 2 4 2 2" xfId="2117" xr:uid="{00000000-0005-0000-0000-0000BA080000}"/>
    <cellStyle name="Normal 2 4 2 3" xfId="2118" xr:uid="{00000000-0005-0000-0000-0000BB080000}"/>
    <cellStyle name="Normal 2 4 2 3 2" xfId="2645" xr:uid="{00000000-0005-0000-0000-0000BC080000}"/>
    <cellStyle name="Normal 2 4 2 3 2 2" xfId="2841" xr:uid="{00000000-0005-0000-0000-0000BC080000}"/>
    <cellStyle name="Normal 2 4 2 3 3" xfId="2802" xr:uid="{00000000-0005-0000-0000-0000BB080000}"/>
    <cellStyle name="Normal 2 4 3" xfId="2119" xr:uid="{00000000-0005-0000-0000-0000BD080000}"/>
    <cellStyle name="Normal 2 4 3 2" xfId="2120" xr:uid="{00000000-0005-0000-0000-0000BE080000}"/>
    <cellStyle name="Normal 2 4 3 3" xfId="2646" xr:uid="{00000000-0005-0000-0000-0000BF080000}"/>
    <cellStyle name="Normal 2 4 3 3 2" xfId="2842" xr:uid="{00000000-0005-0000-0000-0000BF080000}"/>
    <cellStyle name="Normal 2 4 3 4" xfId="2803" xr:uid="{00000000-0005-0000-0000-0000BD080000}"/>
    <cellStyle name="Normal 2 4 4" xfId="2121" xr:uid="{00000000-0005-0000-0000-0000C0080000}"/>
    <cellStyle name="Normal 2 4 5" xfId="2122" xr:uid="{00000000-0005-0000-0000-0000C1080000}"/>
    <cellStyle name="Normal 2 4 5 10" xfId="4023" xr:uid="{00000000-0005-0000-0000-0000861A0000}"/>
    <cellStyle name="Normal 2 4 5 10 2" xfId="5698" xr:uid="{00000000-0005-0000-0000-0000871A0000}"/>
    <cellStyle name="Normal 2 4 5 10 2 2" xfId="9048" xr:uid="{00000000-0005-0000-0000-0000881A0000}"/>
    <cellStyle name="Normal 2 4 5 10 3" xfId="10723" xr:uid="{00000000-0005-0000-0000-0000891A0000}"/>
    <cellStyle name="Normal 2 4 5 10 4" xfId="7373" xr:uid="{00000000-0005-0000-0000-00008A1A0000}"/>
    <cellStyle name="Normal 2 4 5 11" xfId="4754" xr:uid="{00000000-0005-0000-0000-00008B1A0000}"/>
    <cellStyle name="Normal 2 4 5 11 2" xfId="8104" xr:uid="{00000000-0005-0000-0000-00008C1A0000}"/>
    <cellStyle name="Normal 2 4 5 12" xfId="9779" xr:uid="{00000000-0005-0000-0000-00008D1A0000}"/>
    <cellStyle name="Normal 2 4 5 13" xfId="6429" xr:uid="{00000000-0005-0000-0000-00008E1A0000}"/>
    <cellStyle name="Normal 2 4 5 14" xfId="12236" xr:uid="{00000000-0005-0000-0000-0000851A0000}"/>
    <cellStyle name="Normal 2 4 5 2" xfId="3104" xr:uid="{00000000-0005-0000-0000-00008F1A0000}"/>
    <cellStyle name="Normal 2 4 5 2 2" xfId="3221" xr:uid="{00000000-0005-0000-0000-0000901A0000}"/>
    <cellStyle name="Normal 2 4 5 2 2 2" xfId="3457" xr:uid="{00000000-0005-0000-0000-0000911A0000}"/>
    <cellStyle name="Normal 2 4 5 2 2 2 2" xfId="4423" xr:uid="{00000000-0005-0000-0000-0000921A0000}"/>
    <cellStyle name="Normal 2 4 5 2 2 2 2 2" xfId="6098" xr:uid="{00000000-0005-0000-0000-0000931A0000}"/>
    <cellStyle name="Normal 2 4 5 2 2 2 2 2 2" xfId="9448" xr:uid="{00000000-0005-0000-0000-0000941A0000}"/>
    <cellStyle name="Normal 2 4 5 2 2 2 2 3" xfId="11123" xr:uid="{00000000-0005-0000-0000-0000951A0000}"/>
    <cellStyle name="Normal 2 4 5 2 2 2 2 4" xfId="7773" xr:uid="{00000000-0005-0000-0000-0000961A0000}"/>
    <cellStyle name="Normal 2 4 5 2 2 2 3" xfId="5131" xr:uid="{00000000-0005-0000-0000-0000971A0000}"/>
    <cellStyle name="Normal 2 4 5 2 2 2 3 2" xfId="8481" xr:uid="{00000000-0005-0000-0000-0000981A0000}"/>
    <cellStyle name="Normal 2 4 5 2 2 2 4" xfId="10156" xr:uid="{00000000-0005-0000-0000-0000991A0000}"/>
    <cellStyle name="Normal 2 4 5 2 2 2 5" xfId="6806" xr:uid="{00000000-0005-0000-0000-00009A1A0000}"/>
    <cellStyle name="Normal 2 4 5 2 2 3" xfId="3692" xr:uid="{00000000-0005-0000-0000-00009B1A0000}"/>
    <cellStyle name="Normal 2 4 5 2 2 3 2" xfId="4659" xr:uid="{00000000-0005-0000-0000-00009C1A0000}"/>
    <cellStyle name="Normal 2 4 5 2 2 3 2 2" xfId="6334" xr:uid="{00000000-0005-0000-0000-00009D1A0000}"/>
    <cellStyle name="Normal 2 4 5 2 2 3 2 2 2" xfId="9684" xr:uid="{00000000-0005-0000-0000-00009E1A0000}"/>
    <cellStyle name="Normal 2 4 5 2 2 3 2 3" xfId="11359" xr:uid="{00000000-0005-0000-0000-00009F1A0000}"/>
    <cellStyle name="Normal 2 4 5 2 2 3 2 4" xfId="8009" xr:uid="{00000000-0005-0000-0000-0000A01A0000}"/>
    <cellStyle name="Normal 2 4 5 2 2 3 3" xfId="5367" xr:uid="{00000000-0005-0000-0000-0000A11A0000}"/>
    <cellStyle name="Normal 2 4 5 2 2 3 3 2" xfId="8717" xr:uid="{00000000-0005-0000-0000-0000A21A0000}"/>
    <cellStyle name="Normal 2 4 5 2 2 3 4" xfId="10392" xr:uid="{00000000-0005-0000-0000-0000A31A0000}"/>
    <cellStyle name="Normal 2 4 5 2 2 3 5" xfId="7042" xr:uid="{00000000-0005-0000-0000-0000A41A0000}"/>
    <cellStyle name="Normal 2 4 5 2 2 4" xfId="3928" xr:uid="{00000000-0005-0000-0000-0000A51A0000}"/>
    <cellStyle name="Normal 2 4 5 2 2 4 2" xfId="5603" xr:uid="{00000000-0005-0000-0000-0000A61A0000}"/>
    <cellStyle name="Normal 2 4 5 2 2 4 2 2" xfId="8953" xr:uid="{00000000-0005-0000-0000-0000A71A0000}"/>
    <cellStyle name="Normal 2 4 5 2 2 4 3" xfId="10628" xr:uid="{00000000-0005-0000-0000-0000A81A0000}"/>
    <cellStyle name="Normal 2 4 5 2 2 4 4" xfId="7278" xr:uid="{00000000-0005-0000-0000-0000A91A0000}"/>
    <cellStyle name="Normal 2 4 5 2 2 5" xfId="4187" xr:uid="{00000000-0005-0000-0000-0000AA1A0000}"/>
    <cellStyle name="Normal 2 4 5 2 2 5 2" xfId="5862" xr:uid="{00000000-0005-0000-0000-0000AB1A0000}"/>
    <cellStyle name="Normal 2 4 5 2 2 5 2 2" xfId="9212" xr:uid="{00000000-0005-0000-0000-0000AC1A0000}"/>
    <cellStyle name="Normal 2 4 5 2 2 5 3" xfId="10887" xr:uid="{00000000-0005-0000-0000-0000AD1A0000}"/>
    <cellStyle name="Normal 2 4 5 2 2 5 4" xfId="7537" xr:uid="{00000000-0005-0000-0000-0000AE1A0000}"/>
    <cellStyle name="Normal 2 4 5 2 2 6" xfId="4895" xr:uid="{00000000-0005-0000-0000-0000AF1A0000}"/>
    <cellStyle name="Normal 2 4 5 2 2 6 2" xfId="8245" xr:uid="{00000000-0005-0000-0000-0000B01A0000}"/>
    <cellStyle name="Normal 2 4 5 2 2 7" xfId="9920" xr:uid="{00000000-0005-0000-0000-0000B11A0000}"/>
    <cellStyle name="Normal 2 4 5 2 2 8" xfId="6570" xr:uid="{00000000-0005-0000-0000-0000B21A0000}"/>
    <cellStyle name="Normal 2 4 5 2 3" xfId="3339" xr:uid="{00000000-0005-0000-0000-0000B31A0000}"/>
    <cellStyle name="Normal 2 4 5 2 3 2" xfId="4305" xr:uid="{00000000-0005-0000-0000-0000B41A0000}"/>
    <cellStyle name="Normal 2 4 5 2 3 2 2" xfId="5980" xr:uid="{00000000-0005-0000-0000-0000B51A0000}"/>
    <cellStyle name="Normal 2 4 5 2 3 2 2 2" xfId="9330" xr:uid="{00000000-0005-0000-0000-0000B61A0000}"/>
    <cellStyle name="Normal 2 4 5 2 3 2 3" xfId="11005" xr:uid="{00000000-0005-0000-0000-0000B71A0000}"/>
    <cellStyle name="Normal 2 4 5 2 3 2 4" xfId="7655" xr:uid="{00000000-0005-0000-0000-0000B81A0000}"/>
    <cellStyle name="Normal 2 4 5 2 3 3" xfId="5013" xr:uid="{00000000-0005-0000-0000-0000B91A0000}"/>
    <cellStyle name="Normal 2 4 5 2 3 3 2" xfId="8363" xr:uid="{00000000-0005-0000-0000-0000BA1A0000}"/>
    <cellStyle name="Normal 2 4 5 2 3 4" xfId="10038" xr:uid="{00000000-0005-0000-0000-0000BB1A0000}"/>
    <cellStyle name="Normal 2 4 5 2 3 5" xfId="6688" xr:uid="{00000000-0005-0000-0000-0000BC1A0000}"/>
    <cellStyle name="Normal 2 4 5 2 4" xfId="3574" xr:uid="{00000000-0005-0000-0000-0000BD1A0000}"/>
    <cellStyle name="Normal 2 4 5 2 4 2" xfId="4541" xr:uid="{00000000-0005-0000-0000-0000BE1A0000}"/>
    <cellStyle name="Normal 2 4 5 2 4 2 2" xfId="6216" xr:uid="{00000000-0005-0000-0000-0000BF1A0000}"/>
    <cellStyle name="Normal 2 4 5 2 4 2 2 2" xfId="9566" xr:uid="{00000000-0005-0000-0000-0000C01A0000}"/>
    <cellStyle name="Normal 2 4 5 2 4 2 3" xfId="11241" xr:uid="{00000000-0005-0000-0000-0000C11A0000}"/>
    <cellStyle name="Normal 2 4 5 2 4 2 4" xfId="7891" xr:uid="{00000000-0005-0000-0000-0000C21A0000}"/>
    <cellStyle name="Normal 2 4 5 2 4 3" xfId="5249" xr:uid="{00000000-0005-0000-0000-0000C31A0000}"/>
    <cellStyle name="Normal 2 4 5 2 4 3 2" xfId="8599" xr:uid="{00000000-0005-0000-0000-0000C41A0000}"/>
    <cellStyle name="Normal 2 4 5 2 4 4" xfId="10274" xr:uid="{00000000-0005-0000-0000-0000C51A0000}"/>
    <cellStyle name="Normal 2 4 5 2 4 5" xfId="6924" xr:uid="{00000000-0005-0000-0000-0000C61A0000}"/>
    <cellStyle name="Normal 2 4 5 2 5" xfId="3810" xr:uid="{00000000-0005-0000-0000-0000C71A0000}"/>
    <cellStyle name="Normal 2 4 5 2 5 2" xfId="5485" xr:uid="{00000000-0005-0000-0000-0000C81A0000}"/>
    <cellStyle name="Normal 2 4 5 2 5 2 2" xfId="8835" xr:uid="{00000000-0005-0000-0000-0000C91A0000}"/>
    <cellStyle name="Normal 2 4 5 2 5 3" xfId="10510" xr:uid="{00000000-0005-0000-0000-0000CA1A0000}"/>
    <cellStyle name="Normal 2 4 5 2 5 4" xfId="7160" xr:uid="{00000000-0005-0000-0000-0000CB1A0000}"/>
    <cellStyle name="Normal 2 4 5 2 6" xfId="4069" xr:uid="{00000000-0005-0000-0000-0000CC1A0000}"/>
    <cellStyle name="Normal 2 4 5 2 6 2" xfId="5744" xr:uid="{00000000-0005-0000-0000-0000CD1A0000}"/>
    <cellStyle name="Normal 2 4 5 2 6 2 2" xfId="9094" xr:uid="{00000000-0005-0000-0000-0000CE1A0000}"/>
    <cellStyle name="Normal 2 4 5 2 6 3" xfId="10769" xr:uid="{00000000-0005-0000-0000-0000CF1A0000}"/>
    <cellStyle name="Normal 2 4 5 2 6 4" xfId="7419" xr:uid="{00000000-0005-0000-0000-0000D01A0000}"/>
    <cellStyle name="Normal 2 4 5 2 7" xfId="4777" xr:uid="{00000000-0005-0000-0000-0000D11A0000}"/>
    <cellStyle name="Normal 2 4 5 2 7 2" xfId="8127" xr:uid="{00000000-0005-0000-0000-0000D21A0000}"/>
    <cellStyle name="Normal 2 4 5 2 8" xfId="9802" xr:uid="{00000000-0005-0000-0000-0000D31A0000}"/>
    <cellStyle name="Normal 2 4 5 2 9" xfId="6452" xr:uid="{00000000-0005-0000-0000-0000D41A0000}"/>
    <cellStyle name="Normal 2 4 5 3" xfId="3127" xr:uid="{00000000-0005-0000-0000-0000D51A0000}"/>
    <cellStyle name="Normal 2 4 5 3 2" xfId="3244" xr:uid="{00000000-0005-0000-0000-0000D61A0000}"/>
    <cellStyle name="Normal 2 4 5 3 2 2" xfId="3480" xr:uid="{00000000-0005-0000-0000-0000D71A0000}"/>
    <cellStyle name="Normal 2 4 5 3 2 2 2" xfId="4446" xr:uid="{00000000-0005-0000-0000-0000D81A0000}"/>
    <cellStyle name="Normal 2 4 5 3 2 2 2 2" xfId="6121" xr:uid="{00000000-0005-0000-0000-0000D91A0000}"/>
    <cellStyle name="Normal 2 4 5 3 2 2 2 2 2" xfId="9471" xr:uid="{00000000-0005-0000-0000-0000DA1A0000}"/>
    <cellStyle name="Normal 2 4 5 3 2 2 2 3" xfId="11146" xr:uid="{00000000-0005-0000-0000-0000DB1A0000}"/>
    <cellStyle name="Normal 2 4 5 3 2 2 2 4" xfId="7796" xr:uid="{00000000-0005-0000-0000-0000DC1A0000}"/>
    <cellStyle name="Normal 2 4 5 3 2 2 3" xfId="5154" xr:uid="{00000000-0005-0000-0000-0000DD1A0000}"/>
    <cellStyle name="Normal 2 4 5 3 2 2 3 2" xfId="8504" xr:uid="{00000000-0005-0000-0000-0000DE1A0000}"/>
    <cellStyle name="Normal 2 4 5 3 2 2 4" xfId="10179" xr:uid="{00000000-0005-0000-0000-0000DF1A0000}"/>
    <cellStyle name="Normal 2 4 5 3 2 2 5" xfId="6829" xr:uid="{00000000-0005-0000-0000-0000E01A0000}"/>
    <cellStyle name="Normal 2 4 5 3 2 3" xfId="3715" xr:uid="{00000000-0005-0000-0000-0000E11A0000}"/>
    <cellStyle name="Normal 2 4 5 3 2 3 2" xfId="4682" xr:uid="{00000000-0005-0000-0000-0000E21A0000}"/>
    <cellStyle name="Normal 2 4 5 3 2 3 2 2" xfId="6357" xr:uid="{00000000-0005-0000-0000-0000E31A0000}"/>
    <cellStyle name="Normal 2 4 5 3 2 3 2 2 2" xfId="9707" xr:uid="{00000000-0005-0000-0000-0000E41A0000}"/>
    <cellStyle name="Normal 2 4 5 3 2 3 2 3" xfId="11382" xr:uid="{00000000-0005-0000-0000-0000E51A0000}"/>
    <cellStyle name="Normal 2 4 5 3 2 3 2 4" xfId="8032" xr:uid="{00000000-0005-0000-0000-0000E61A0000}"/>
    <cellStyle name="Normal 2 4 5 3 2 3 3" xfId="5390" xr:uid="{00000000-0005-0000-0000-0000E71A0000}"/>
    <cellStyle name="Normal 2 4 5 3 2 3 3 2" xfId="8740" xr:uid="{00000000-0005-0000-0000-0000E81A0000}"/>
    <cellStyle name="Normal 2 4 5 3 2 3 4" xfId="10415" xr:uid="{00000000-0005-0000-0000-0000E91A0000}"/>
    <cellStyle name="Normal 2 4 5 3 2 3 5" xfId="7065" xr:uid="{00000000-0005-0000-0000-0000EA1A0000}"/>
    <cellStyle name="Normal 2 4 5 3 2 4" xfId="3951" xr:uid="{00000000-0005-0000-0000-0000EB1A0000}"/>
    <cellStyle name="Normal 2 4 5 3 2 4 2" xfId="5626" xr:uid="{00000000-0005-0000-0000-0000EC1A0000}"/>
    <cellStyle name="Normal 2 4 5 3 2 4 2 2" xfId="8976" xr:uid="{00000000-0005-0000-0000-0000ED1A0000}"/>
    <cellStyle name="Normal 2 4 5 3 2 4 3" xfId="10651" xr:uid="{00000000-0005-0000-0000-0000EE1A0000}"/>
    <cellStyle name="Normal 2 4 5 3 2 4 4" xfId="7301" xr:uid="{00000000-0005-0000-0000-0000EF1A0000}"/>
    <cellStyle name="Normal 2 4 5 3 2 5" xfId="4210" xr:uid="{00000000-0005-0000-0000-0000F01A0000}"/>
    <cellStyle name="Normal 2 4 5 3 2 5 2" xfId="5885" xr:uid="{00000000-0005-0000-0000-0000F11A0000}"/>
    <cellStyle name="Normal 2 4 5 3 2 5 2 2" xfId="9235" xr:uid="{00000000-0005-0000-0000-0000F21A0000}"/>
    <cellStyle name="Normal 2 4 5 3 2 5 3" xfId="10910" xr:uid="{00000000-0005-0000-0000-0000F31A0000}"/>
    <cellStyle name="Normal 2 4 5 3 2 5 4" xfId="7560" xr:uid="{00000000-0005-0000-0000-0000F41A0000}"/>
    <cellStyle name="Normal 2 4 5 3 2 6" xfId="4918" xr:uid="{00000000-0005-0000-0000-0000F51A0000}"/>
    <cellStyle name="Normal 2 4 5 3 2 6 2" xfId="8268" xr:uid="{00000000-0005-0000-0000-0000F61A0000}"/>
    <cellStyle name="Normal 2 4 5 3 2 7" xfId="9943" xr:uid="{00000000-0005-0000-0000-0000F71A0000}"/>
    <cellStyle name="Normal 2 4 5 3 2 8" xfId="6593" xr:uid="{00000000-0005-0000-0000-0000F81A0000}"/>
    <cellStyle name="Normal 2 4 5 3 3" xfId="3362" xr:uid="{00000000-0005-0000-0000-0000F91A0000}"/>
    <cellStyle name="Normal 2 4 5 3 3 2" xfId="4328" xr:uid="{00000000-0005-0000-0000-0000FA1A0000}"/>
    <cellStyle name="Normal 2 4 5 3 3 2 2" xfId="6003" xr:uid="{00000000-0005-0000-0000-0000FB1A0000}"/>
    <cellStyle name="Normal 2 4 5 3 3 2 2 2" xfId="9353" xr:uid="{00000000-0005-0000-0000-0000FC1A0000}"/>
    <cellStyle name="Normal 2 4 5 3 3 2 3" xfId="11028" xr:uid="{00000000-0005-0000-0000-0000FD1A0000}"/>
    <cellStyle name="Normal 2 4 5 3 3 2 4" xfId="7678" xr:uid="{00000000-0005-0000-0000-0000FE1A0000}"/>
    <cellStyle name="Normal 2 4 5 3 3 3" xfId="5036" xr:uid="{00000000-0005-0000-0000-0000FF1A0000}"/>
    <cellStyle name="Normal 2 4 5 3 3 3 2" xfId="8386" xr:uid="{00000000-0005-0000-0000-0000001B0000}"/>
    <cellStyle name="Normal 2 4 5 3 3 4" xfId="10061" xr:uid="{00000000-0005-0000-0000-0000011B0000}"/>
    <cellStyle name="Normal 2 4 5 3 3 5" xfId="6711" xr:uid="{00000000-0005-0000-0000-0000021B0000}"/>
    <cellStyle name="Normal 2 4 5 3 4" xfId="3597" xr:uid="{00000000-0005-0000-0000-0000031B0000}"/>
    <cellStyle name="Normal 2 4 5 3 4 2" xfId="4564" xr:uid="{00000000-0005-0000-0000-0000041B0000}"/>
    <cellStyle name="Normal 2 4 5 3 4 2 2" xfId="6239" xr:uid="{00000000-0005-0000-0000-0000051B0000}"/>
    <cellStyle name="Normal 2 4 5 3 4 2 2 2" xfId="9589" xr:uid="{00000000-0005-0000-0000-0000061B0000}"/>
    <cellStyle name="Normal 2 4 5 3 4 2 3" xfId="11264" xr:uid="{00000000-0005-0000-0000-0000071B0000}"/>
    <cellStyle name="Normal 2 4 5 3 4 2 4" xfId="7914" xr:uid="{00000000-0005-0000-0000-0000081B0000}"/>
    <cellStyle name="Normal 2 4 5 3 4 3" xfId="5272" xr:uid="{00000000-0005-0000-0000-0000091B0000}"/>
    <cellStyle name="Normal 2 4 5 3 4 3 2" xfId="8622" xr:uid="{00000000-0005-0000-0000-00000A1B0000}"/>
    <cellStyle name="Normal 2 4 5 3 4 4" xfId="10297" xr:uid="{00000000-0005-0000-0000-00000B1B0000}"/>
    <cellStyle name="Normal 2 4 5 3 4 5" xfId="6947" xr:uid="{00000000-0005-0000-0000-00000C1B0000}"/>
    <cellStyle name="Normal 2 4 5 3 5" xfId="3833" xr:uid="{00000000-0005-0000-0000-00000D1B0000}"/>
    <cellStyle name="Normal 2 4 5 3 5 2" xfId="5508" xr:uid="{00000000-0005-0000-0000-00000E1B0000}"/>
    <cellStyle name="Normal 2 4 5 3 5 2 2" xfId="8858" xr:uid="{00000000-0005-0000-0000-00000F1B0000}"/>
    <cellStyle name="Normal 2 4 5 3 5 3" xfId="10533" xr:uid="{00000000-0005-0000-0000-0000101B0000}"/>
    <cellStyle name="Normal 2 4 5 3 5 4" xfId="7183" xr:uid="{00000000-0005-0000-0000-0000111B0000}"/>
    <cellStyle name="Normal 2 4 5 3 6" xfId="4092" xr:uid="{00000000-0005-0000-0000-0000121B0000}"/>
    <cellStyle name="Normal 2 4 5 3 6 2" xfId="5767" xr:uid="{00000000-0005-0000-0000-0000131B0000}"/>
    <cellStyle name="Normal 2 4 5 3 6 2 2" xfId="9117" xr:uid="{00000000-0005-0000-0000-0000141B0000}"/>
    <cellStyle name="Normal 2 4 5 3 6 3" xfId="10792" xr:uid="{00000000-0005-0000-0000-0000151B0000}"/>
    <cellStyle name="Normal 2 4 5 3 6 4" xfId="7442" xr:uid="{00000000-0005-0000-0000-0000161B0000}"/>
    <cellStyle name="Normal 2 4 5 3 7" xfId="4800" xr:uid="{00000000-0005-0000-0000-0000171B0000}"/>
    <cellStyle name="Normal 2 4 5 3 7 2" xfId="8150" xr:uid="{00000000-0005-0000-0000-0000181B0000}"/>
    <cellStyle name="Normal 2 4 5 3 8" xfId="9825" xr:uid="{00000000-0005-0000-0000-0000191B0000}"/>
    <cellStyle name="Normal 2 4 5 3 9" xfId="6475" xr:uid="{00000000-0005-0000-0000-00001A1B0000}"/>
    <cellStyle name="Normal 2 4 5 4" xfId="3150" xr:uid="{00000000-0005-0000-0000-00001B1B0000}"/>
    <cellStyle name="Normal 2 4 5 4 2" xfId="3268" xr:uid="{00000000-0005-0000-0000-00001C1B0000}"/>
    <cellStyle name="Normal 2 4 5 4 2 2" xfId="3504" xr:uid="{00000000-0005-0000-0000-00001D1B0000}"/>
    <cellStyle name="Normal 2 4 5 4 2 2 2" xfId="4470" xr:uid="{00000000-0005-0000-0000-00001E1B0000}"/>
    <cellStyle name="Normal 2 4 5 4 2 2 2 2" xfId="6145" xr:uid="{00000000-0005-0000-0000-00001F1B0000}"/>
    <cellStyle name="Normal 2 4 5 4 2 2 2 2 2" xfId="9495" xr:uid="{00000000-0005-0000-0000-0000201B0000}"/>
    <cellStyle name="Normal 2 4 5 4 2 2 2 3" xfId="11170" xr:uid="{00000000-0005-0000-0000-0000211B0000}"/>
    <cellStyle name="Normal 2 4 5 4 2 2 2 4" xfId="7820" xr:uid="{00000000-0005-0000-0000-0000221B0000}"/>
    <cellStyle name="Normal 2 4 5 4 2 2 3" xfId="5178" xr:uid="{00000000-0005-0000-0000-0000231B0000}"/>
    <cellStyle name="Normal 2 4 5 4 2 2 3 2" xfId="8528" xr:uid="{00000000-0005-0000-0000-0000241B0000}"/>
    <cellStyle name="Normal 2 4 5 4 2 2 4" xfId="10203" xr:uid="{00000000-0005-0000-0000-0000251B0000}"/>
    <cellStyle name="Normal 2 4 5 4 2 2 5" xfId="6853" xr:uid="{00000000-0005-0000-0000-0000261B0000}"/>
    <cellStyle name="Normal 2 4 5 4 2 3" xfId="3739" xr:uid="{00000000-0005-0000-0000-0000271B0000}"/>
    <cellStyle name="Normal 2 4 5 4 2 3 2" xfId="4706" xr:uid="{00000000-0005-0000-0000-0000281B0000}"/>
    <cellStyle name="Normal 2 4 5 4 2 3 2 2" xfId="6381" xr:uid="{00000000-0005-0000-0000-0000291B0000}"/>
    <cellStyle name="Normal 2 4 5 4 2 3 2 2 2" xfId="9731" xr:uid="{00000000-0005-0000-0000-00002A1B0000}"/>
    <cellStyle name="Normal 2 4 5 4 2 3 2 3" xfId="11406" xr:uid="{00000000-0005-0000-0000-00002B1B0000}"/>
    <cellStyle name="Normal 2 4 5 4 2 3 2 4" xfId="8056" xr:uid="{00000000-0005-0000-0000-00002C1B0000}"/>
    <cellStyle name="Normal 2 4 5 4 2 3 3" xfId="5414" xr:uid="{00000000-0005-0000-0000-00002D1B0000}"/>
    <cellStyle name="Normal 2 4 5 4 2 3 3 2" xfId="8764" xr:uid="{00000000-0005-0000-0000-00002E1B0000}"/>
    <cellStyle name="Normal 2 4 5 4 2 3 4" xfId="10439" xr:uid="{00000000-0005-0000-0000-00002F1B0000}"/>
    <cellStyle name="Normal 2 4 5 4 2 3 5" xfId="7089" xr:uid="{00000000-0005-0000-0000-0000301B0000}"/>
    <cellStyle name="Normal 2 4 5 4 2 4" xfId="3975" xr:uid="{00000000-0005-0000-0000-0000311B0000}"/>
    <cellStyle name="Normal 2 4 5 4 2 4 2" xfId="5650" xr:uid="{00000000-0005-0000-0000-0000321B0000}"/>
    <cellStyle name="Normal 2 4 5 4 2 4 2 2" xfId="9000" xr:uid="{00000000-0005-0000-0000-0000331B0000}"/>
    <cellStyle name="Normal 2 4 5 4 2 4 3" xfId="10675" xr:uid="{00000000-0005-0000-0000-0000341B0000}"/>
    <cellStyle name="Normal 2 4 5 4 2 4 4" xfId="7325" xr:uid="{00000000-0005-0000-0000-0000351B0000}"/>
    <cellStyle name="Normal 2 4 5 4 2 5" xfId="4234" xr:uid="{00000000-0005-0000-0000-0000361B0000}"/>
    <cellStyle name="Normal 2 4 5 4 2 5 2" xfId="5909" xr:uid="{00000000-0005-0000-0000-0000371B0000}"/>
    <cellStyle name="Normal 2 4 5 4 2 5 2 2" xfId="9259" xr:uid="{00000000-0005-0000-0000-0000381B0000}"/>
    <cellStyle name="Normal 2 4 5 4 2 5 3" xfId="10934" xr:uid="{00000000-0005-0000-0000-0000391B0000}"/>
    <cellStyle name="Normal 2 4 5 4 2 5 4" xfId="7584" xr:uid="{00000000-0005-0000-0000-00003A1B0000}"/>
    <cellStyle name="Normal 2 4 5 4 2 6" xfId="4942" xr:uid="{00000000-0005-0000-0000-00003B1B0000}"/>
    <cellStyle name="Normal 2 4 5 4 2 6 2" xfId="8292" xr:uid="{00000000-0005-0000-0000-00003C1B0000}"/>
    <cellStyle name="Normal 2 4 5 4 2 7" xfId="9967" xr:uid="{00000000-0005-0000-0000-00003D1B0000}"/>
    <cellStyle name="Normal 2 4 5 4 2 8" xfId="6617" xr:uid="{00000000-0005-0000-0000-00003E1B0000}"/>
    <cellStyle name="Normal 2 4 5 4 3" xfId="3386" xr:uid="{00000000-0005-0000-0000-00003F1B0000}"/>
    <cellStyle name="Normal 2 4 5 4 3 2" xfId="4352" xr:uid="{00000000-0005-0000-0000-0000401B0000}"/>
    <cellStyle name="Normal 2 4 5 4 3 2 2" xfId="6027" xr:uid="{00000000-0005-0000-0000-0000411B0000}"/>
    <cellStyle name="Normal 2 4 5 4 3 2 2 2" xfId="9377" xr:uid="{00000000-0005-0000-0000-0000421B0000}"/>
    <cellStyle name="Normal 2 4 5 4 3 2 3" xfId="11052" xr:uid="{00000000-0005-0000-0000-0000431B0000}"/>
    <cellStyle name="Normal 2 4 5 4 3 2 4" xfId="7702" xr:uid="{00000000-0005-0000-0000-0000441B0000}"/>
    <cellStyle name="Normal 2 4 5 4 3 3" xfId="5060" xr:uid="{00000000-0005-0000-0000-0000451B0000}"/>
    <cellStyle name="Normal 2 4 5 4 3 3 2" xfId="8410" xr:uid="{00000000-0005-0000-0000-0000461B0000}"/>
    <cellStyle name="Normal 2 4 5 4 3 4" xfId="10085" xr:uid="{00000000-0005-0000-0000-0000471B0000}"/>
    <cellStyle name="Normal 2 4 5 4 3 5" xfId="6735" xr:uid="{00000000-0005-0000-0000-0000481B0000}"/>
    <cellStyle name="Normal 2 4 5 4 4" xfId="3621" xr:uid="{00000000-0005-0000-0000-0000491B0000}"/>
    <cellStyle name="Normal 2 4 5 4 4 2" xfId="4588" xr:uid="{00000000-0005-0000-0000-00004A1B0000}"/>
    <cellStyle name="Normal 2 4 5 4 4 2 2" xfId="6263" xr:uid="{00000000-0005-0000-0000-00004B1B0000}"/>
    <cellStyle name="Normal 2 4 5 4 4 2 2 2" xfId="9613" xr:uid="{00000000-0005-0000-0000-00004C1B0000}"/>
    <cellStyle name="Normal 2 4 5 4 4 2 3" xfId="11288" xr:uid="{00000000-0005-0000-0000-00004D1B0000}"/>
    <cellStyle name="Normal 2 4 5 4 4 2 4" xfId="7938" xr:uid="{00000000-0005-0000-0000-00004E1B0000}"/>
    <cellStyle name="Normal 2 4 5 4 4 3" xfId="5296" xr:uid="{00000000-0005-0000-0000-00004F1B0000}"/>
    <cellStyle name="Normal 2 4 5 4 4 3 2" xfId="8646" xr:uid="{00000000-0005-0000-0000-0000501B0000}"/>
    <cellStyle name="Normal 2 4 5 4 4 4" xfId="10321" xr:uid="{00000000-0005-0000-0000-0000511B0000}"/>
    <cellStyle name="Normal 2 4 5 4 4 5" xfId="6971" xr:uid="{00000000-0005-0000-0000-0000521B0000}"/>
    <cellStyle name="Normal 2 4 5 4 5" xfId="3857" xr:uid="{00000000-0005-0000-0000-0000531B0000}"/>
    <cellStyle name="Normal 2 4 5 4 5 2" xfId="5532" xr:uid="{00000000-0005-0000-0000-0000541B0000}"/>
    <cellStyle name="Normal 2 4 5 4 5 2 2" xfId="8882" xr:uid="{00000000-0005-0000-0000-0000551B0000}"/>
    <cellStyle name="Normal 2 4 5 4 5 3" xfId="10557" xr:uid="{00000000-0005-0000-0000-0000561B0000}"/>
    <cellStyle name="Normal 2 4 5 4 5 4" xfId="7207" xr:uid="{00000000-0005-0000-0000-0000571B0000}"/>
    <cellStyle name="Normal 2 4 5 4 6" xfId="4116" xr:uid="{00000000-0005-0000-0000-0000581B0000}"/>
    <cellStyle name="Normal 2 4 5 4 6 2" xfId="5791" xr:uid="{00000000-0005-0000-0000-0000591B0000}"/>
    <cellStyle name="Normal 2 4 5 4 6 2 2" xfId="9141" xr:uid="{00000000-0005-0000-0000-00005A1B0000}"/>
    <cellStyle name="Normal 2 4 5 4 6 3" xfId="10816" xr:uid="{00000000-0005-0000-0000-00005B1B0000}"/>
    <cellStyle name="Normal 2 4 5 4 6 4" xfId="7466" xr:uid="{00000000-0005-0000-0000-00005C1B0000}"/>
    <cellStyle name="Normal 2 4 5 4 7" xfId="4824" xr:uid="{00000000-0005-0000-0000-00005D1B0000}"/>
    <cellStyle name="Normal 2 4 5 4 7 2" xfId="8174" xr:uid="{00000000-0005-0000-0000-00005E1B0000}"/>
    <cellStyle name="Normal 2 4 5 4 8" xfId="9849" xr:uid="{00000000-0005-0000-0000-00005F1B0000}"/>
    <cellStyle name="Normal 2 4 5 4 9" xfId="6499" xr:uid="{00000000-0005-0000-0000-0000601B0000}"/>
    <cellStyle name="Normal 2 4 5 5" xfId="3174" xr:uid="{00000000-0005-0000-0000-0000611B0000}"/>
    <cellStyle name="Normal 2 4 5 5 2" xfId="3292" xr:uid="{00000000-0005-0000-0000-0000621B0000}"/>
    <cellStyle name="Normal 2 4 5 5 2 2" xfId="3528" xr:uid="{00000000-0005-0000-0000-0000631B0000}"/>
    <cellStyle name="Normal 2 4 5 5 2 2 2" xfId="4494" xr:uid="{00000000-0005-0000-0000-0000641B0000}"/>
    <cellStyle name="Normal 2 4 5 5 2 2 2 2" xfId="6169" xr:uid="{00000000-0005-0000-0000-0000651B0000}"/>
    <cellStyle name="Normal 2 4 5 5 2 2 2 2 2" xfId="9519" xr:uid="{00000000-0005-0000-0000-0000661B0000}"/>
    <cellStyle name="Normal 2 4 5 5 2 2 2 3" xfId="11194" xr:uid="{00000000-0005-0000-0000-0000671B0000}"/>
    <cellStyle name="Normal 2 4 5 5 2 2 2 4" xfId="7844" xr:uid="{00000000-0005-0000-0000-0000681B0000}"/>
    <cellStyle name="Normal 2 4 5 5 2 2 3" xfId="5202" xr:uid="{00000000-0005-0000-0000-0000691B0000}"/>
    <cellStyle name="Normal 2 4 5 5 2 2 3 2" xfId="8552" xr:uid="{00000000-0005-0000-0000-00006A1B0000}"/>
    <cellStyle name="Normal 2 4 5 5 2 2 4" xfId="10227" xr:uid="{00000000-0005-0000-0000-00006B1B0000}"/>
    <cellStyle name="Normal 2 4 5 5 2 2 5" xfId="6877" xr:uid="{00000000-0005-0000-0000-00006C1B0000}"/>
    <cellStyle name="Normal 2 4 5 5 2 3" xfId="3763" xr:uid="{00000000-0005-0000-0000-00006D1B0000}"/>
    <cellStyle name="Normal 2 4 5 5 2 3 2" xfId="4730" xr:uid="{00000000-0005-0000-0000-00006E1B0000}"/>
    <cellStyle name="Normal 2 4 5 5 2 3 2 2" xfId="6405" xr:uid="{00000000-0005-0000-0000-00006F1B0000}"/>
    <cellStyle name="Normal 2 4 5 5 2 3 2 2 2" xfId="9755" xr:uid="{00000000-0005-0000-0000-0000701B0000}"/>
    <cellStyle name="Normal 2 4 5 5 2 3 2 3" xfId="11430" xr:uid="{00000000-0005-0000-0000-0000711B0000}"/>
    <cellStyle name="Normal 2 4 5 5 2 3 2 4" xfId="8080" xr:uid="{00000000-0005-0000-0000-0000721B0000}"/>
    <cellStyle name="Normal 2 4 5 5 2 3 3" xfId="5438" xr:uid="{00000000-0005-0000-0000-0000731B0000}"/>
    <cellStyle name="Normal 2 4 5 5 2 3 3 2" xfId="8788" xr:uid="{00000000-0005-0000-0000-0000741B0000}"/>
    <cellStyle name="Normal 2 4 5 5 2 3 4" xfId="10463" xr:uid="{00000000-0005-0000-0000-0000751B0000}"/>
    <cellStyle name="Normal 2 4 5 5 2 3 5" xfId="7113" xr:uid="{00000000-0005-0000-0000-0000761B0000}"/>
    <cellStyle name="Normal 2 4 5 5 2 4" xfId="3999" xr:uid="{00000000-0005-0000-0000-0000771B0000}"/>
    <cellStyle name="Normal 2 4 5 5 2 4 2" xfId="5674" xr:uid="{00000000-0005-0000-0000-0000781B0000}"/>
    <cellStyle name="Normal 2 4 5 5 2 4 2 2" xfId="9024" xr:uid="{00000000-0005-0000-0000-0000791B0000}"/>
    <cellStyle name="Normal 2 4 5 5 2 4 3" xfId="10699" xr:uid="{00000000-0005-0000-0000-00007A1B0000}"/>
    <cellStyle name="Normal 2 4 5 5 2 4 4" xfId="7349" xr:uid="{00000000-0005-0000-0000-00007B1B0000}"/>
    <cellStyle name="Normal 2 4 5 5 2 5" xfId="4258" xr:uid="{00000000-0005-0000-0000-00007C1B0000}"/>
    <cellStyle name="Normal 2 4 5 5 2 5 2" xfId="5933" xr:uid="{00000000-0005-0000-0000-00007D1B0000}"/>
    <cellStyle name="Normal 2 4 5 5 2 5 2 2" xfId="9283" xr:uid="{00000000-0005-0000-0000-00007E1B0000}"/>
    <cellStyle name="Normal 2 4 5 5 2 5 3" xfId="10958" xr:uid="{00000000-0005-0000-0000-00007F1B0000}"/>
    <cellStyle name="Normal 2 4 5 5 2 5 4" xfId="7608" xr:uid="{00000000-0005-0000-0000-0000801B0000}"/>
    <cellStyle name="Normal 2 4 5 5 2 6" xfId="4966" xr:uid="{00000000-0005-0000-0000-0000811B0000}"/>
    <cellStyle name="Normal 2 4 5 5 2 6 2" xfId="8316" xr:uid="{00000000-0005-0000-0000-0000821B0000}"/>
    <cellStyle name="Normal 2 4 5 5 2 7" xfId="9991" xr:uid="{00000000-0005-0000-0000-0000831B0000}"/>
    <cellStyle name="Normal 2 4 5 5 2 8" xfId="6641" xr:uid="{00000000-0005-0000-0000-0000841B0000}"/>
    <cellStyle name="Normal 2 4 5 5 3" xfId="3410" xr:uid="{00000000-0005-0000-0000-0000851B0000}"/>
    <cellStyle name="Normal 2 4 5 5 3 2" xfId="4376" xr:uid="{00000000-0005-0000-0000-0000861B0000}"/>
    <cellStyle name="Normal 2 4 5 5 3 2 2" xfId="6051" xr:uid="{00000000-0005-0000-0000-0000871B0000}"/>
    <cellStyle name="Normal 2 4 5 5 3 2 2 2" xfId="9401" xr:uid="{00000000-0005-0000-0000-0000881B0000}"/>
    <cellStyle name="Normal 2 4 5 5 3 2 3" xfId="11076" xr:uid="{00000000-0005-0000-0000-0000891B0000}"/>
    <cellStyle name="Normal 2 4 5 5 3 2 4" xfId="7726" xr:uid="{00000000-0005-0000-0000-00008A1B0000}"/>
    <cellStyle name="Normal 2 4 5 5 3 3" xfId="5084" xr:uid="{00000000-0005-0000-0000-00008B1B0000}"/>
    <cellStyle name="Normal 2 4 5 5 3 3 2" xfId="8434" xr:uid="{00000000-0005-0000-0000-00008C1B0000}"/>
    <cellStyle name="Normal 2 4 5 5 3 4" xfId="10109" xr:uid="{00000000-0005-0000-0000-00008D1B0000}"/>
    <cellStyle name="Normal 2 4 5 5 3 5" xfId="6759" xr:uid="{00000000-0005-0000-0000-00008E1B0000}"/>
    <cellStyle name="Normal 2 4 5 5 4" xfId="3645" xr:uid="{00000000-0005-0000-0000-00008F1B0000}"/>
    <cellStyle name="Normal 2 4 5 5 4 2" xfId="4612" xr:uid="{00000000-0005-0000-0000-0000901B0000}"/>
    <cellStyle name="Normal 2 4 5 5 4 2 2" xfId="6287" xr:uid="{00000000-0005-0000-0000-0000911B0000}"/>
    <cellStyle name="Normal 2 4 5 5 4 2 2 2" xfId="9637" xr:uid="{00000000-0005-0000-0000-0000921B0000}"/>
    <cellStyle name="Normal 2 4 5 5 4 2 3" xfId="11312" xr:uid="{00000000-0005-0000-0000-0000931B0000}"/>
    <cellStyle name="Normal 2 4 5 5 4 2 4" xfId="7962" xr:uid="{00000000-0005-0000-0000-0000941B0000}"/>
    <cellStyle name="Normal 2 4 5 5 4 3" xfId="5320" xr:uid="{00000000-0005-0000-0000-0000951B0000}"/>
    <cellStyle name="Normal 2 4 5 5 4 3 2" xfId="8670" xr:uid="{00000000-0005-0000-0000-0000961B0000}"/>
    <cellStyle name="Normal 2 4 5 5 4 4" xfId="10345" xr:uid="{00000000-0005-0000-0000-0000971B0000}"/>
    <cellStyle name="Normal 2 4 5 5 4 5" xfId="6995" xr:uid="{00000000-0005-0000-0000-0000981B0000}"/>
    <cellStyle name="Normal 2 4 5 5 5" xfId="3881" xr:uid="{00000000-0005-0000-0000-0000991B0000}"/>
    <cellStyle name="Normal 2 4 5 5 5 2" xfId="5556" xr:uid="{00000000-0005-0000-0000-00009A1B0000}"/>
    <cellStyle name="Normal 2 4 5 5 5 2 2" xfId="8906" xr:uid="{00000000-0005-0000-0000-00009B1B0000}"/>
    <cellStyle name="Normal 2 4 5 5 5 3" xfId="10581" xr:uid="{00000000-0005-0000-0000-00009C1B0000}"/>
    <cellStyle name="Normal 2 4 5 5 5 4" xfId="7231" xr:uid="{00000000-0005-0000-0000-00009D1B0000}"/>
    <cellStyle name="Normal 2 4 5 5 6" xfId="4140" xr:uid="{00000000-0005-0000-0000-00009E1B0000}"/>
    <cellStyle name="Normal 2 4 5 5 6 2" xfId="5815" xr:uid="{00000000-0005-0000-0000-00009F1B0000}"/>
    <cellStyle name="Normal 2 4 5 5 6 2 2" xfId="9165" xr:uid="{00000000-0005-0000-0000-0000A01B0000}"/>
    <cellStyle name="Normal 2 4 5 5 6 3" xfId="10840" xr:uid="{00000000-0005-0000-0000-0000A11B0000}"/>
    <cellStyle name="Normal 2 4 5 5 6 4" xfId="7490" xr:uid="{00000000-0005-0000-0000-0000A21B0000}"/>
    <cellStyle name="Normal 2 4 5 5 7" xfId="4848" xr:uid="{00000000-0005-0000-0000-0000A31B0000}"/>
    <cellStyle name="Normal 2 4 5 5 7 2" xfId="8198" xr:uid="{00000000-0005-0000-0000-0000A41B0000}"/>
    <cellStyle name="Normal 2 4 5 5 8" xfId="9873" xr:uid="{00000000-0005-0000-0000-0000A51B0000}"/>
    <cellStyle name="Normal 2 4 5 5 9" xfId="6523" xr:uid="{00000000-0005-0000-0000-0000A61B0000}"/>
    <cellStyle name="Normal 2 4 5 6" xfId="3198" xr:uid="{00000000-0005-0000-0000-0000A71B0000}"/>
    <cellStyle name="Normal 2 4 5 6 2" xfId="3434" xr:uid="{00000000-0005-0000-0000-0000A81B0000}"/>
    <cellStyle name="Normal 2 4 5 6 2 2" xfId="4400" xr:uid="{00000000-0005-0000-0000-0000A91B0000}"/>
    <cellStyle name="Normal 2 4 5 6 2 2 2" xfId="6075" xr:uid="{00000000-0005-0000-0000-0000AA1B0000}"/>
    <cellStyle name="Normal 2 4 5 6 2 2 2 2" xfId="9425" xr:uid="{00000000-0005-0000-0000-0000AB1B0000}"/>
    <cellStyle name="Normal 2 4 5 6 2 2 3" xfId="11100" xr:uid="{00000000-0005-0000-0000-0000AC1B0000}"/>
    <cellStyle name="Normal 2 4 5 6 2 2 4" xfId="7750" xr:uid="{00000000-0005-0000-0000-0000AD1B0000}"/>
    <cellStyle name="Normal 2 4 5 6 2 3" xfId="5108" xr:uid="{00000000-0005-0000-0000-0000AE1B0000}"/>
    <cellStyle name="Normal 2 4 5 6 2 3 2" xfId="8458" xr:uid="{00000000-0005-0000-0000-0000AF1B0000}"/>
    <cellStyle name="Normal 2 4 5 6 2 4" xfId="10133" xr:uid="{00000000-0005-0000-0000-0000B01B0000}"/>
    <cellStyle name="Normal 2 4 5 6 2 5" xfId="6783" xr:uid="{00000000-0005-0000-0000-0000B11B0000}"/>
    <cellStyle name="Normal 2 4 5 6 3" xfId="3669" xr:uid="{00000000-0005-0000-0000-0000B21B0000}"/>
    <cellStyle name="Normal 2 4 5 6 3 2" xfId="4636" xr:uid="{00000000-0005-0000-0000-0000B31B0000}"/>
    <cellStyle name="Normal 2 4 5 6 3 2 2" xfId="6311" xr:uid="{00000000-0005-0000-0000-0000B41B0000}"/>
    <cellStyle name="Normal 2 4 5 6 3 2 2 2" xfId="9661" xr:uid="{00000000-0005-0000-0000-0000B51B0000}"/>
    <cellStyle name="Normal 2 4 5 6 3 2 3" xfId="11336" xr:uid="{00000000-0005-0000-0000-0000B61B0000}"/>
    <cellStyle name="Normal 2 4 5 6 3 2 4" xfId="7986" xr:uid="{00000000-0005-0000-0000-0000B71B0000}"/>
    <cellStyle name="Normal 2 4 5 6 3 3" xfId="5344" xr:uid="{00000000-0005-0000-0000-0000B81B0000}"/>
    <cellStyle name="Normal 2 4 5 6 3 3 2" xfId="8694" xr:uid="{00000000-0005-0000-0000-0000B91B0000}"/>
    <cellStyle name="Normal 2 4 5 6 3 4" xfId="10369" xr:uid="{00000000-0005-0000-0000-0000BA1B0000}"/>
    <cellStyle name="Normal 2 4 5 6 3 5" xfId="7019" xr:uid="{00000000-0005-0000-0000-0000BB1B0000}"/>
    <cellStyle name="Normal 2 4 5 6 4" xfId="3905" xr:uid="{00000000-0005-0000-0000-0000BC1B0000}"/>
    <cellStyle name="Normal 2 4 5 6 4 2" xfId="5580" xr:uid="{00000000-0005-0000-0000-0000BD1B0000}"/>
    <cellStyle name="Normal 2 4 5 6 4 2 2" xfId="8930" xr:uid="{00000000-0005-0000-0000-0000BE1B0000}"/>
    <cellStyle name="Normal 2 4 5 6 4 3" xfId="10605" xr:uid="{00000000-0005-0000-0000-0000BF1B0000}"/>
    <cellStyle name="Normal 2 4 5 6 4 4" xfId="7255" xr:uid="{00000000-0005-0000-0000-0000C01B0000}"/>
    <cellStyle name="Normal 2 4 5 6 5" xfId="4164" xr:uid="{00000000-0005-0000-0000-0000C11B0000}"/>
    <cellStyle name="Normal 2 4 5 6 5 2" xfId="5839" xr:uid="{00000000-0005-0000-0000-0000C21B0000}"/>
    <cellStyle name="Normal 2 4 5 6 5 2 2" xfId="9189" xr:uid="{00000000-0005-0000-0000-0000C31B0000}"/>
    <cellStyle name="Normal 2 4 5 6 5 3" xfId="10864" xr:uid="{00000000-0005-0000-0000-0000C41B0000}"/>
    <cellStyle name="Normal 2 4 5 6 5 4" xfId="7514" xr:uid="{00000000-0005-0000-0000-0000C51B0000}"/>
    <cellStyle name="Normal 2 4 5 6 6" xfId="4872" xr:uid="{00000000-0005-0000-0000-0000C61B0000}"/>
    <cellStyle name="Normal 2 4 5 6 6 2" xfId="8222" xr:uid="{00000000-0005-0000-0000-0000C71B0000}"/>
    <cellStyle name="Normal 2 4 5 6 7" xfId="9897" xr:uid="{00000000-0005-0000-0000-0000C81B0000}"/>
    <cellStyle name="Normal 2 4 5 6 8" xfId="6547" xr:uid="{00000000-0005-0000-0000-0000C91B0000}"/>
    <cellStyle name="Normal 2 4 5 7" xfId="3316" xr:uid="{00000000-0005-0000-0000-0000CA1B0000}"/>
    <cellStyle name="Normal 2 4 5 7 2" xfId="4282" xr:uid="{00000000-0005-0000-0000-0000CB1B0000}"/>
    <cellStyle name="Normal 2 4 5 7 2 2" xfId="5957" xr:uid="{00000000-0005-0000-0000-0000CC1B0000}"/>
    <cellStyle name="Normal 2 4 5 7 2 2 2" xfId="9307" xr:uid="{00000000-0005-0000-0000-0000CD1B0000}"/>
    <cellStyle name="Normal 2 4 5 7 2 3" xfId="10982" xr:uid="{00000000-0005-0000-0000-0000CE1B0000}"/>
    <cellStyle name="Normal 2 4 5 7 2 4" xfId="7632" xr:uid="{00000000-0005-0000-0000-0000CF1B0000}"/>
    <cellStyle name="Normal 2 4 5 7 3" xfId="4990" xr:uid="{00000000-0005-0000-0000-0000D01B0000}"/>
    <cellStyle name="Normal 2 4 5 7 3 2" xfId="8340" xr:uid="{00000000-0005-0000-0000-0000D11B0000}"/>
    <cellStyle name="Normal 2 4 5 7 4" xfId="10015" xr:uid="{00000000-0005-0000-0000-0000D21B0000}"/>
    <cellStyle name="Normal 2 4 5 7 5" xfId="6665" xr:uid="{00000000-0005-0000-0000-0000D31B0000}"/>
    <cellStyle name="Normal 2 4 5 8" xfId="3551" xr:uid="{00000000-0005-0000-0000-0000D41B0000}"/>
    <cellStyle name="Normal 2 4 5 8 2" xfId="4518" xr:uid="{00000000-0005-0000-0000-0000D51B0000}"/>
    <cellStyle name="Normal 2 4 5 8 2 2" xfId="6193" xr:uid="{00000000-0005-0000-0000-0000D61B0000}"/>
    <cellStyle name="Normal 2 4 5 8 2 2 2" xfId="9543" xr:uid="{00000000-0005-0000-0000-0000D71B0000}"/>
    <cellStyle name="Normal 2 4 5 8 2 3" xfId="11218" xr:uid="{00000000-0005-0000-0000-0000D81B0000}"/>
    <cellStyle name="Normal 2 4 5 8 2 4" xfId="7868" xr:uid="{00000000-0005-0000-0000-0000D91B0000}"/>
    <cellStyle name="Normal 2 4 5 8 3" xfId="5226" xr:uid="{00000000-0005-0000-0000-0000DA1B0000}"/>
    <cellStyle name="Normal 2 4 5 8 3 2" xfId="8576" xr:uid="{00000000-0005-0000-0000-0000DB1B0000}"/>
    <cellStyle name="Normal 2 4 5 8 4" xfId="10251" xr:uid="{00000000-0005-0000-0000-0000DC1B0000}"/>
    <cellStyle name="Normal 2 4 5 8 5" xfId="6901" xr:uid="{00000000-0005-0000-0000-0000DD1B0000}"/>
    <cellStyle name="Normal 2 4 5 9" xfId="3787" xr:uid="{00000000-0005-0000-0000-0000DE1B0000}"/>
    <cellStyle name="Normal 2 4 5 9 2" xfId="4046" xr:uid="{00000000-0005-0000-0000-0000DF1B0000}"/>
    <cellStyle name="Normal 2 4 5 9 2 2" xfId="5721" xr:uid="{00000000-0005-0000-0000-0000E01B0000}"/>
    <cellStyle name="Normal 2 4 5 9 2 2 2" xfId="9071" xr:uid="{00000000-0005-0000-0000-0000E11B0000}"/>
    <cellStyle name="Normal 2 4 5 9 2 3" xfId="10746" xr:uid="{00000000-0005-0000-0000-0000E21B0000}"/>
    <cellStyle name="Normal 2 4 5 9 2 4" xfId="7396" xr:uid="{00000000-0005-0000-0000-0000E31B0000}"/>
    <cellStyle name="Normal 2 4 5 9 3" xfId="5462" xr:uid="{00000000-0005-0000-0000-0000E41B0000}"/>
    <cellStyle name="Normal 2 4 5 9 3 2" xfId="8812" xr:uid="{00000000-0005-0000-0000-0000E51B0000}"/>
    <cellStyle name="Normal 2 4 5 9 4" xfId="10487" xr:uid="{00000000-0005-0000-0000-0000E61B0000}"/>
    <cellStyle name="Normal 2 4 5 9 5" xfId="7137" xr:uid="{00000000-0005-0000-0000-0000E71B0000}"/>
    <cellStyle name="Normal 2 4 6" xfId="2116" xr:uid="{00000000-0005-0000-0000-0000C2080000}"/>
    <cellStyle name="Normal 2 4 7" xfId="12097" xr:uid="{00000000-0005-0000-0000-0000B50A0000}"/>
    <cellStyle name="Normal 2 5" xfId="293" xr:uid="{00000000-0005-0000-0000-0000C3080000}"/>
    <cellStyle name="Normal 2 5 2" xfId="2123" xr:uid="{00000000-0005-0000-0000-0000C4080000}"/>
    <cellStyle name="Normal 2 5 2 2" xfId="2424" xr:uid="{00000000-0005-0000-0000-0000C5080000}"/>
    <cellStyle name="Normal 2 5 2 3" xfId="2804" xr:uid="{00000000-0005-0000-0000-0000C4080000}"/>
    <cellStyle name="Normal 2 5 3" xfId="2647" xr:uid="{00000000-0005-0000-0000-0000C6080000}"/>
    <cellStyle name="Normal 2 6" xfId="2124" xr:uid="{00000000-0005-0000-0000-0000C7080000}"/>
    <cellStyle name="Normal 2 6 2" xfId="2125" xr:uid="{00000000-0005-0000-0000-0000C8080000}"/>
    <cellStyle name="Normal 2 6 2 2" xfId="2648" xr:uid="{00000000-0005-0000-0000-0000C9080000}"/>
    <cellStyle name="Normal 2 6 2 2 2" xfId="2843" xr:uid="{00000000-0005-0000-0000-0000C9080000}"/>
    <cellStyle name="Normal 2 6 2 3" xfId="2806" xr:uid="{00000000-0005-0000-0000-0000C8080000}"/>
    <cellStyle name="Normal 2 6 3" xfId="2126" xr:uid="{00000000-0005-0000-0000-0000CA080000}"/>
    <cellStyle name="Normal 2 6 4" xfId="2649" xr:uid="{00000000-0005-0000-0000-0000CB080000}"/>
    <cellStyle name="Normal 2 6 4 2" xfId="2844" xr:uid="{00000000-0005-0000-0000-0000CB080000}"/>
    <cellStyle name="Normal 2 6 5" xfId="2805" xr:uid="{00000000-0005-0000-0000-0000C7080000}"/>
    <cellStyle name="Normal 2 6 6" xfId="12098" xr:uid="{00000000-0005-0000-0000-0000C40A0000}"/>
    <cellStyle name="Normal 2 7" xfId="2127" xr:uid="{00000000-0005-0000-0000-0000CC080000}"/>
    <cellStyle name="Normal 2 7 2" xfId="2650" xr:uid="{00000000-0005-0000-0000-0000CD080000}"/>
    <cellStyle name="Normal 2 7 2 2" xfId="2845" xr:uid="{00000000-0005-0000-0000-0000CD080000}"/>
    <cellStyle name="Normal 2 7 3" xfId="2807" xr:uid="{00000000-0005-0000-0000-0000CC080000}"/>
    <cellStyle name="Normal 2 8" xfId="2128" xr:uid="{00000000-0005-0000-0000-0000CE080000}"/>
    <cellStyle name="Normal 2 8 10" xfId="3552" xr:uid="{00000000-0005-0000-0000-0000EE1B0000}"/>
    <cellStyle name="Normal 2 8 10 2" xfId="4519" xr:uid="{00000000-0005-0000-0000-0000EF1B0000}"/>
    <cellStyle name="Normal 2 8 10 2 2" xfId="6194" xr:uid="{00000000-0005-0000-0000-0000F01B0000}"/>
    <cellStyle name="Normal 2 8 10 2 2 2" xfId="9544" xr:uid="{00000000-0005-0000-0000-0000F11B0000}"/>
    <cellStyle name="Normal 2 8 10 2 3" xfId="11219" xr:uid="{00000000-0005-0000-0000-0000F21B0000}"/>
    <cellStyle name="Normal 2 8 10 2 4" xfId="7869" xr:uid="{00000000-0005-0000-0000-0000F31B0000}"/>
    <cellStyle name="Normal 2 8 10 3" xfId="5227" xr:uid="{00000000-0005-0000-0000-0000F41B0000}"/>
    <cellStyle name="Normal 2 8 10 3 2" xfId="8577" xr:uid="{00000000-0005-0000-0000-0000F51B0000}"/>
    <cellStyle name="Normal 2 8 10 4" xfId="10252" xr:uid="{00000000-0005-0000-0000-0000F61B0000}"/>
    <cellStyle name="Normal 2 8 10 5" xfId="6902" xr:uid="{00000000-0005-0000-0000-0000F71B0000}"/>
    <cellStyle name="Normal 2 8 11" xfId="3788" xr:uid="{00000000-0005-0000-0000-0000F81B0000}"/>
    <cellStyle name="Normal 2 8 11 2" xfId="4047" xr:uid="{00000000-0005-0000-0000-0000F91B0000}"/>
    <cellStyle name="Normal 2 8 11 2 2" xfId="5722" xr:uid="{00000000-0005-0000-0000-0000FA1B0000}"/>
    <cellStyle name="Normal 2 8 11 2 2 2" xfId="9072" xr:uid="{00000000-0005-0000-0000-0000FB1B0000}"/>
    <cellStyle name="Normal 2 8 11 2 3" xfId="10747" xr:uid="{00000000-0005-0000-0000-0000FC1B0000}"/>
    <cellStyle name="Normal 2 8 11 2 4" xfId="7397" xr:uid="{00000000-0005-0000-0000-0000FD1B0000}"/>
    <cellStyle name="Normal 2 8 11 3" xfId="5463" xr:uid="{00000000-0005-0000-0000-0000FE1B0000}"/>
    <cellStyle name="Normal 2 8 11 3 2" xfId="8813" xr:uid="{00000000-0005-0000-0000-0000FF1B0000}"/>
    <cellStyle name="Normal 2 8 11 4" xfId="10488" xr:uid="{00000000-0005-0000-0000-0000001C0000}"/>
    <cellStyle name="Normal 2 8 11 5" xfId="7138" xr:uid="{00000000-0005-0000-0000-0000011C0000}"/>
    <cellStyle name="Normal 2 8 12" xfId="4024" xr:uid="{00000000-0005-0000-0000-0000021C0000}"/>
    <cellStyle name="Normal 2 8 12 2" xfId="5699" xr:uid="{00000000-0005-0000-0000-0000031C0000}"/>
    <cellStyle name="Normal 2 8 12 2 2" xfId="9049" xr:uid="{00000000-0005-0000-0000-0000041C0000}"/>
    <cellStyle name="Normal 2 8 12 3" xfId="10724" xr:uid="{00000000-0005-0000-0000-0000051C0000}"/>
    <cellStyle name="Normal 2 8 12 4" xfId="7374" xr:uid="{00000000-0005-0000-0000-0000061C0000}"/>
    <cellStyle name="Normal 2 8 13" xfId="4755" xr:uid="{00000000-0005-0000-0000-0000071C0000}"/>
    <cellStyle name="Normal 2 8 13 2" xfId="8105" xr:uid="{00000000-0005-0000-0000-0000081C0000}"/>
    <cellStyle name="Normal 2 8 14" xfId="9780" xr:uid="{00000000-0005-0000-0000-0000091C0000}"/>
    <cellStyle name="Normal 2 8 15" xfId="6430" xr:uid="{00000000-0005-0000-0000-00000A1C0000}"/>
    <cellStyle name="Normal 2 8 16" xfId="12237" xr:uid="{00000000-0005-0000-0000-0000ED1B0000}"/>
    <cellStyle name="Normal 2 8 2" xfId="2129" xr:uid="{00000000-0005-0000-0000-0000CF080000}"/>
    <cellStyle name="Normal 2 8 2 2" xfId="2130" xr:uid="{00000000-0005-0000-0000-0000D0080000}"/>
    <cellStyle name="Normal 2 8 2 2 10" xfId="4025" xr:uid="{00000000-0005-0000-0000-00000D1C0000}"/>
    <cellStyle name="Normal 2 8 2 2 10 2" xfId="5700" xr:uid="{00000000-0005-0000-0000-00000E1C0000}"/>
    <cellStyle name="Normal 2 8 2 2 10 2 2" xfId="9050" xr:uid="{00000000-0005-0000-0000-00000F1C0000}"/>
    <cellStyle name="Normal 2 8 2 2 10 3" xfId="10725" xr:uid="{00000000-0005-0000-0000-0000101C0000}"/>
    <cellStyle name="Normal 2 8 2 2 10 4" xfId="7375" xr:uid="{00000000-0005-0000-0000-0000111C0000}"/>
    <cellStyle name="Normal 2 8 2 2 11" xfId="4756" xr:uid="{00000000-0005-0000-0000-0000121C0000}"/>
    <cellStyle name="Normal 2 8 2 2 11 2" xfId="8106" xr:uid="{00000000-0005-0000-0000-0000131C0000}"/>
    <cellStyle name="Normal 2 8 2 2 12" xfId="9781" xr:uid="{00000000-0005-0000-0000-0000141C0000}"/>
    <cellStyle name="Normal 2 8 2 2 13" xfId="6431" xr:uid="{00000000-0005-0000-0000-0000151C0000}"/>
    <cellStyle name="Normal 2 8 2 2 14" xfId="12238" xr:uid="{00000000-0005-0000-0000-00000C1C0000}"/>
    <cellStyle name="Normal 2 8 2 2 2" xfId="3106" xr:uid="{00000000-0005-0000-0000-0000161C0000}"/>
    <cellStyle name="Normal 2 8 2 2 2 2" xfId="3223" xr:uid="{00000000-0005-0000-0000-0000171C0000}"/>
    <cellStyle name="Normal 2 8 2 2 2 2 2" xfId="3459" xr:uid="{00000000-0005-0000-0000-0000181C0000}"/>
    <cellStyle name="Normal 2 8 2 2 2 2 2 2" xfId="4425" xr:uid="{00000000-0005-0000-0000-0000191C0000}"/>
    <cellStyle name="Normal 2 8 2 2 2 2 2 2 2" xfId="6100" xr:uid="{00000000-0005-0000-0000-00001A1C0000}"/>
    <cellStyle name="Normal 2 8 2 2 2 2 2 2 2 2" xfId="9450" xr:uid="{00000000-0005-0000-0000-00001B1C0000}"/>
    <cellStyle name="Normal 2 8 2 2 2 2 2 2 3" xfId="11125" xr:uid="{00000000-0005-0000-0000-00001C1C0000}"/>
    <cellStyle name="Normal 2 8 2 2 2 2 2 2 4" xfId="7775" xr:uid="{00000000-0005-0000-0000-00001D1C0000}"/>
    <cellStyle name="Normal 2 8 2 2 2 2 2 3" xfId="5133" xr:uid="{00000000-0005-0000-0000-00001E1C0000}"/>
    <cellStyle name="Normal 2 8 2 2 2 2 2 3 2" xfId="8483" xr:uid="{00000000-0005-0000-0000-00001F1C0000}"/>
    <cellStyle name="Normal 2 8 2 2 2 2 2 4" xfId="10158" xr:uid="{00000000-0005-0000-0000-0000201C0000}"/>
    <cellStyle name="Normal 2 8 2 2 2 2 2 5" xfId="6808" xr:uid="{00000000-0005-0000-0000-0000211C0000}"/>
    <cellStyle name="Normal 2 8 2 2 2 2 3" xfId="3694" xr:uid="{00000000-0005-0000-0000-0000221C0000}"/>
    <cellStyle name="Normal 2 8 2 2 2 2 3 2" xfId="4661" xr:uid="{00000000-0005-0000-0000-0000231C0000}"/>
    <cellStyle name="Normal 2 8 2 2 2 2 3 2 2" xfId="6336" xr:uid="{00000000-0005-0000-0000-0000241C0000}"/>
    <cellStyle name="Normal 2 8 2 2 2 2 3 2 2 2" xfId="9686" xr:uid="{00000000-0005-0000-0000-0000251C0000}"/>
    <cellStyle name="Normal 2 8 2 2 2 2 3 2 3" xfId="11361" xr:uid="{00000000-0005-0000-0000-0000261C0000}"/>
    <cellStyle name="Normal 2 8 2 2 2 2 3 2 4" xfId="8011" xr:uid="{00000000-0005-0000-0000-0000271C0000}"/>
    <cellStyle name="Normal 2 8 2 2 2 2 3 3" xfId="5369" xr:uid="{00000000-0005-0000-0000-0000281C0000}"/>
    <cellStyle name="Normal 2 8 2 2 2 2 3 3 2" xfId="8719" xr:uid="{00000000-0005-0000-0000-0000291C0000}"/>
    <cellStyle name="Normal 2 8 2 2 2 2 3 4" xfId="10394" xr:uid="{00000000-0005-0000-0000-00002A1C0000}"/>
    <cellStyle name="Normal 2 8 2 2 2 2 3 5" xfId="7044" xr:uid="{00000000-0005-0000-0000-00002B1C0000}"/>
    <cellStyle name="Normal 2 8 2 2 2 2 4" xfId="3930" xr:uid="{00000000-0005-0000-0000-00002C1C0000}"/>
    <cellStyle name="Normal 2 8 2 2 2 2 4 2" xfId="5605" xr:uid="{00000000-0005-0000-0000-00002D1C0000}"/>
    <cellStyle name="Normal 2 8 2 2 2 2 4 2 2" xfId="8955" xr:uid="{00000000-0005-0000-0000-00002E1C0000}"/>
    <cellStyle name="Normal 2 8 2 2 2 2 4 3" xfId="10630" xr:uid="{00000000-0005-0000-0000-00002F1C0000}"/>
    <cellStyle name="Normal 2 8 2 2 2 2 4 4" xfId="7280" xr:uid="{00000000-0005-0000-0000-0000301C0000}"/>
    <cellStyle name="Normal 2 8 2 2 2 2 5" xfId="4189" xr:uid="{00000000-0005-0000-0000-0000311C0000}"/>
    <cellStyle name="Normal 2 8 2 2 2 2 5 2" xfId="5864" xr:uid="{00000000-0005-0000-0000-0000321C0000}"/>
    <cellStyle name="Normal 2 8 2 2 2 2 5 2 2" xfId="9214" xr:uid="{00000000-0005-0000-0000-0000331C0000}"/>
    <cellStyle name="Normal 2 8 2 2 2 2 5 3" xfId="10889" xr:uid="{00000000-0005-0000-0000-0000341C0000}"/>
    <cellStyle name="Normal 2 8 2 2 2 2 5 4" xfId="7539" xr:uid="{00000000-0005-0000-0000-0000351C0000}"/>
    <cellStyle name="Normal 2 8 2 2 2 2 6" xfId="4897" xr:uid="{00000000-0005-0000-0000-0000361C0000}"/>
    <cellStyle name="Normal 2 8 2 2 2 2 6 2" xfId="8247" xr:uid="{00000000-0005-0000-0000-0000371C0000}"/>
    <cellStyle name="Normal 2 8 2 2 2 2 7" xfId="9922" xr:uid="{00000000-0005-0000-0000-0000381C0000}"/>
    <cellStyle name="Normal 2 8 2 2 2 2 8" xfId="6572" xr:uid="{00000000-0005-0000-0000-0000391C0000}"/>
    <cellStyle name="Normal 2 8 2 2 2 3" xfId="3341" xr:uid="{00000000-0005-0000-0000-00003A1C0000}"/>
    <cellStyle name="Normal 2 8 2 2 2 3 2" xfId="4307" xr:uid="{00000000-0005-0000-0000-00003B1C0000}"/>
    <cellStyle name="Normal 2 8 2 2 2 3 2 2" xfId="5982" xr:uid="{00000000-0005-0000-0000-00003C1C0000}"/>
    <cellStyle name="Normal 2 8 2 2 2 3 2 2 2" xfId="9332" xr:uid="{00000000-0005-0000-0000-00003D1C0000}"/>
    <cellStyle name="Normal 2 8 2 2 2 3 2 3" xfId="11007" xr:uid="{00000000-0005-0000-0000-00003E1C0000}"/>
    <cellStyle name="Normal 2 8 2 2 2 3 2 4" xfId="7657" xr:uid="{00000000-0005-0000-0000-00003F1C0000}"/>
    <cellStyle name="Normal 2 8 2 2 2 3 3" xfId="5015" xr:uid="{00000000-0005-0000-0000-0000401C0000}"/>
    <cellStyle name="Normal 2 8 2 2 2 3 3 2" xfId="8365" xr:uid="{00000000-0005-0000-0000-0000411C0000}"/>
    <cellStyle name="Normal 2 8 2 2 2 3 4" xfId="10040" xr:uid="{00000000-0005-0000-0000-0000421C0000}"/>
    <cellStyle name="Normal 2 8 2 2 2 3 5" xfId="6690" xr:uid="{00000000-0005-0000-0000-0000431C0000}"/>
    <cellStyle name="Normal 2 8 2 2 2 4" xfId="3576" xr:uid="{00000000-0005-0000-0000-0000441C0000}"/>
    <cellStyle name="Normal 2 8 2 2 2 4 2" xfId="4543" xr:uid="{00000000-0005-0000-0000-0000451C0000}"/>
    <cellStyle name="Normal 2 8 2 2 2 4 2 2" xfId="6218" xr:uid="{00000000-0005-0000-0000-0000461C0000}"/>
    <cellStyle name="Normal 2 8 2 2 2 4 2 2 2" xfId="9568" xr:uid="{00000000-0005-0000-0000-0000471C0000}"/>
    <cellStyle name="Normal 2 8 2 2 2 4 2 3" xfId="11243" xr:uid="{00000000-0005-0000-0000-0000481C0000}"/>
    <cellStyle name="Normal 2 8 2 2 2 4 2 4" xfId="7893" xr:uid="{00000000-0005-0000-0000-0000491C0000}"/>
    <cellStyle name="Normal 2 8 2 2 2 4 3" xfId="5251" xr:uid="{00000000-0005-0000-0000-00004A1C0000}"/>
    <cellStyle name="Normal 2 8 2 2 2 4 3 2" xfId="8601" xr:uid="{00000000-0005-0000-0000-00004B1C0000}"/>
    <cellStyle name="Normal 2 8 2 2 2 4 4" xfId="10276" xr:uid="{00000000-0005-0000-0000-00004C1C0000}"/>
    <cellStyle name="Normal 2 8 2 2 2 4 5" xfId="6926" xr:uid="{00000000-0005-0000-0000-00004D1C0000}"/>
    <cellStyle name="Normal 2 8 2 2 2 5" xfId="3812" xr:uid="{00000000-0005-0000-0000-00004E1C0000}"/>
    <cellStyle name="Normal 2 8 2 2 2 5 2" xfId="5487" xr:uid="{00000000-0005-0000-0000-00004F1C0000}"/>
    <cellStyle name="Normal 2 8 2 2 2 5 2 2" xfId="8837" xr:uid="{00000000-0005-0000-0000-0000501C0000}"/>
    <cellStyle name="Normal 2 8 2 2 2 5 3" xfId="10512" xr:uid="{00000000-0005-0000-0000-0000511C0000}"/>
    <cellStyle name="Normal 2 8 2 2 2 5 4" xfId="7162" xr:uid="{00000000-0005-0000-0000-0000521C0000}"/>
    <cellStyle name="Normal 2 8 2 2 2 6" xfId="4071" xr:uid="{00000000-0005-0000-0000-0000531C0000}"/>
    <cellStyle name="Normal 2 8 2 2 2 6 2" xfId="5746" xr:uid="{00000000-0005-0000-0000-0000541C0000}"/>
    <cellStyle name="Normal 2 8 2 2 2 6 2 2" xfId="9096" xr:uid="{00000000-0005-0000-0000-0000551C0000}"/>
    <cellStyle name="Normal 2 8 2 2 2 6 3" xfId="10771" xr:uid="{00000000-0005-0000-0000-0000561C0000}"/>
    <cellStyle name="Normal 2 8 2 2 2 6 4" xfId="7421" xr:uid="{00000000-0005-0000-0000-0000571C0000}"/>
    <cellStyle name="Normal 2 8 2 2 2 7" xfId="4779" xr:uid="{00000000-0005-0000-0000-0000581C0000}"/>
    <cellStyle name="Normal 2 8 2 2 2 7 2" xfId="8129" xr:uid="{00000000-0005-0000-0000-0000591C0000}"/>
    <cellStyle name="Normal 2 8 2 2 2 8" xfId="9804" xr:uid="{00000000-0005-0000-0000-00005A1C0000}"/>
    <cellStyle name="Normal 2 8 2 2 2 9" xfId="6454" xr:uid="{00000000-0005-0000-0000-00005B1C0000}"/>
    <cellStyle name="Normal 2 8 2 2 3" xfId="3129" xr:uid="{00000000-0005-0000-0000-00005C1C0000}"/>
    <cellStyle name="Normal 2 8 2 2 3 2" xfId="3246" xr:uid="{00000000-0005-0000-0000-00005D1C0000}"/>
    <cellStyle name="Normal 2 8 2 2 3 2 2" xfId="3482" xr:uid="{00000000-0005-0000-0000-00005E1C0000}"/>
    <cellStyle name="Normal 2 8 2 2 3 2 2 2" xfId="4448" xr:uid="{00000000-0005-0000-0000-00005F1C0000}"/>
    <cellStyle name="Normal 2 8 2 2 3 2 2 2 2" xfId="6123" xr:uid="{00000000-0005-0000-0000-0000601C0000}"/>
    <cellStyle name="Normal 2 8 2 2 3 2 2 2 2 2" xfId="9473" xr:uid="{00000000-0005-0000-0000-0000611C0000}"/>
    <cellStyle name="Normal 2 8 2 2 3 2 2 2 3" xfId="11148" xr:uid="{00000000-0005-0000-0000-0000621C0000}"/>
    <cellStyle name="Normal 2 8 2 2 3 2 2 2 4" xfId="7798" xr:uid="{00000000-0005-0000-0000-0000631C0000}"/>
    <cellStyle name="Normal 2 8 2 2 3 2 2 3" xfId="5156" xr:uid="{00000000-0005-0000-0000-0000641C0000}"/>
    <cellStyle name="Normal 2 8 2 2 3 2 2 3 2" xfId="8506" xr:uid="{00000000-0005-0000-0000-0000651C0000}"/>
    <cellStyle name="Normal 2 8 2 2 3 2 2 4" xfId="10181" xr:uid="{00000000-0005-0000-0000-0000661C0000}"/>
    <cellStyle name="Normal 2 8 2 2 3 2 2 5" xfId="6831" xr:uid="{00000000-0005-0000-0000-0000671C0000}"/>
    <cellStyle name="Normal 2 8 2 2 3 2 3" xfId="3717" xr:uid="{00000000-0005-0000-0000-0000681C0000}"/>
    <cellStyle name="Normal 2 8 2 2 3 2 3 2" xfId="4684" xr:uid="{00000000-0005-0000-0000-0000691C0000}"/>
    <cellStyle name="Normal 2 8 2 2 3 2 3 2 2" xfId="6359" xr:uid="{00000000-0005-0000-0000-00006A1C0000}"/>
    <cellStyle name="Normal 2 8 2 2 3 2 3 2 2 2" xfId="9709" xr:uid="{00000000-0005-0000-0000-00006B1C0000}"/>
    <cellStyle name="Normal 2 8 2 2 3 2 3 2 3" xfId="11384" xr:uid="{00000000-0005-0000-0000-00006C1C0000}"/>
    <cellStyle name="Normal 2 8 2 2 3 2 3 2 4" xfId="8034" xr:uid="{00000000-0005-0000-0000-00006D1C0000}"/>
    <cellStyle name="Normal 2 8 2 2 3 2 3 3" xfId="5392" xr:uid="{00000000-0005-0000-0000-00006E1C0000}"/>
    <cellStyle name="Normal 2 8 2 2 3 2 3 3 2" xfId="8742" xr:uid="{00000000-0005-0000-0000-00006F1C0000}"/>
    <cellStyle name="Normal 2 8 2 2 3 2 3 4" xfId="10417" xr:uid="{00000000-0005-0000-0000-0000701C0000}"/>
    <cellStyle name="Normal 2 8 2 2 3 2 3 5" xfId="7067" xr:uid="{00000000-0005-0000-0000-0000711C0000}"/>
    <cellStyle name="Normal 2 8 2 2 3 2 4" xfId="3953" xr:uid="{00000000-0005-0000-0000-0000721C0000}"/>
    <cellStyle name="Normal 2 8 2 2 3 2 4 2" xfId="5628" xr:uid="{00000000-0005-0000-0000-0000731C0000}"/>
    <cellStyle name="Normal 2 8 2 2 3 2 4 2 2" xfId="8978" xr:uid="{00000000-0005-0000-0000-0000741C0000}"/>
    <cellStyle name="Normal 2 8 2 2 3 2 4 3" xfId="10653" xr:uid="{00000000-0005-0000-0000-0000751C0000}"/>
    <cellStyle name="Normal 2 8 2 2 3 2 4 4" xfId="7303" xr:uid="{00000000-0005-0000-0000-0000761C0000}"/>
    <cellStyle name="Normal 2 8 2 2 3 2 5" xfId="4212" xr:uid="{00000000-0005-0000-0000-0000771C0000}"/>
    <cellStyle name="Normal 2 8 2 2 3 2 5 2" xfId="5887" xr:uid="{00000000-0005-0000-0000-0000781C0000}"/>
    <cellStyle name="Normal 2 8 2 2 3 2 5 2 2" xfId="9237" xr:uid="{00000000-0005-0000-0000-0000791C0000}"/>
    <cellStyle name="Normal 2 8 2 2 3 2 5 3" xfId="10912" xr:uid="{00000000-0005-0000-0000-00007A1C0000}"/>
    <cellStyle name="Normal 2 8 2 2 3 2 5 4" xfId="7562" xr:uid="{00000000-0005-0000-0000-00007B1C0000}"/>
    <cellStyle name="Normal 2 8 2 2 3 2 6" xfId="4920" xr:uid="{00000000-0005-0000-0000-00007C1C0000}"/>
    <cellStyle name="Normal 2 8 2 2 3 2 6 2" xfId="8270" xr:uid="{00000000-0005-0000-0000-00007D1C0000}"/>
    <cellStyle name="Normal 2 8 2 2 3 2 7" xfId="9945" xr:uid="{00000000-0005-0000-0000-00007E1C0000}"/>
    <cellStyle name="Normal 2 8 2 2 3 2 8" xfId="6595" xr:uid="{00000000-0005-0000-0000-00007F1C0000}"/>
    <cellStyle name="Normal 2 8 2 2 3 3" xfId="3364" xr:uid="{00000000-0005-0000-0000-0000801C0000}"/>
    <cellStyle name="Normal 2 8 2 2 3 3 2" xfId="4330" xr:uid="{00000000-0005-0000-0000-0000811C0000}"/>
    <cellStyle name="Normal 2 8 2 2 3 3 2 2" xfId="6005" xr:uid="{00000000-0005-0000-0000-0000821C0000}"/>
    <cellStyle name="Normal 2 8 2 2 3 3 2 2 2" xfId="9355" xr:uid="{00000000-0005-0000-0000-0000831C0000}"/>
    <cellStyle name="Normal 2 8 2 2 3 3 2 3" xfId="11030" xr:uid="{00000000-0005-0000-0000-0000841C0000}"/>
    <cellStyle name="Normal 2 8 2 2 3 3 2 4" xfId="7680" xr:uid="{00000000-0005-0000-0000-0000851C0000}"/>
    <cellStyle name="Normal 2 8 2 2 3 3 3" xfId="5038" xr:uid="{00000000-0005-0000-0000-0000861C0000}"/>
    <cellStyle name="Normal 2 8 2 2 3 3 3 2" xfId="8388" xr:uid="{00000000-0005-0000-0000-0000871C0000}"/>
    <cellStyle name="Normal 2 8 2 2 3 3 4" xfId="10063" xr:uid="{00000000-0005-0000-0000-0000881C0000}"/>
    <cellStyle name="Normal 2 8 2 2 3 3 5" xfId="6713" xr:uid="{00000000-0005-0000-0000-0000891C0000}"/>
    <cellStyle name="Normal 2 8 2 2 3 4" xfId="3599" xr:uid="{00000000-0005-0000-0000-00008A1C0000}"/>
    <cellStyle name="Normal 2 8 2 2 3 4 2" xfId="4566" xr:uid="{00000000-0005-0000-0000-00008B1C0000}"/>
    <cellStyle name="Normal 2 8 2 2 3 4 2 2" xfId="6241" xr:uid="{00000000-0005-0000-0000-00008C1C0000}"/>
    <cellStyle name="Normal 2 8 2 2 3 4 2 2 2" xfId="9591" xr:uid="{00000000-0005-0000-0000-00008D1C0000}"/>
    <cellStyle name="Normal 2 8 2 2 3 4 2 3" xfId="11266" xr:uid="{00000000-0005-0000-0000-00008E1C0000}"/>
    <cellStyle name="Normal 2 8 2 2 3 4 2 4" xfId="7916" xr:uid="{00000000-0005-0000-0000-00008F1C0000}"/>
    <cellStyle name="Normal 2 8 2 2 3 4 3" xfId="5274" xr:uid="{00000000-0005-0000-0000-0000901C0000}"/>
    <cellStyle name="Normal 2 8 2 2 3 4 3 2" xfId="8624" xr:uid="{00000000-0005-0000-0000-0000911C0000}"/>
    <cellStyle name="Normal 2 8 2 2 3 4 4" xfId="10299" xr:uid="{00000000-0005-0000-0000-0000921C0000}"/>
    <cellStyle name="Normal 2 8 2 2 3 4 5" xfId="6949" xr:uid="{00000000-0005-0000-0000-0000931C0000}"/>
    <cellStyle name="Normal 2 8 2 2 3 5" xfId="3835" xr:uid="{00000000-0005-0000-0000-0000941C0000}"/>
    <cellStyle name="Normal 2 8 2 2 3 5 2" xfId="5510" xr:uid="{00000000-0005-0000-0000-0000951C0000}"/>
    <cellStyle name="Normal 2 8 2 2 3 5 2 2" xfId="8860" xr:uid="{00000000-0005-0000-0000-0000961C0000}"/>
    <cellStyle name="Normal 2 8 2 2 3 5 3" xfId="10535" xr:uid="{00000000-0005-0000-0000-0000971C0000}"/>
    <cellStyle name="Normal 2 8 2 2 3 5 4" xfId="7185" xr:uid="{00000000-0005-0000-0000-0000981C0000}"/>
    <cellStyle name="Normal 2 8 2 2 3 6" xfId="4094" xr:uid="{00000000-0005-0000-0000-0000991C0000}"/>
    <cellStyle name="Normal 2 8 2 2 3 6 2" xfId="5769" xr:uid="{00000000-0005-0000-0000-00009A1C0000}"/>
    <cellStyle name="Normal 2 8 2 2 3 6 2 2" xfId="9119" xr:uid="{00000000-0005-0000-0000-00009B1C0000}"/>
    <cellStyle name="Normal 2 8 2 2 3 6 3" xfId="10794" xr:uid="{00000000-0005-0000-0000-00009C1C0000}"/>
    <cellStyle name="Normal 2 8 2 2 3 6 4" xfId="7444" xr:uid="{00000000-0005-0000-0000-00009D1C0000}"/>
    <cellStyle name="Normal 2 8 2 2 3 7" xfId="4802" xr:uid="{00000000-0005-0000-0000-00009E1C0000}"/>
    <cellStyle name="Normal 2 8 2 2 3 7 2" xfId="8152" xr:uid="{00000000-0005-0000-0000-00009F1C0000}"/>
    <cellStyle name="Normal 2 8 2 2 3 8" xfId="9827" xr:uid="{00000000-0005-0000-0000-0000A01C0000}"/>
    <cellStyle name="Normal 2 8 2 2 3 9" xfId="6477" xr:uid="{00000000-0005-0000-0000-0000A11C0000}"/>
    <cellStyle name="Normal 2 8 2 2 4" xfId="3152" xr:uid="{00000000-0005-0000-0000-0000A21C0000}"/>
    <cellStyle name="Normal 2 8 2 2 4 2" xfId="3270" xr:uid="{00000000-0005-0000-0000-0000A31C0000}"/>
    <cellStyle name="Normal 2 8 2 2 4 2 2" xfId="3506" xr:uid="{00000000-0005-0000-0000-0000A41C0000}"/>
    <cellStyle name="Normal 2 8 2 2 4 2 2 2" xfId="4472" xr:uid="{00000000-0005-0000-0000-0000A51C0000}"/>
    <cellStyle name="Normal 2 8 2 2 4 2 2 2 2" xfId="6147" xr:uid="{00000000-0005-0000-0000-0000A61C0000}"/>
    <cellStyle name="Normal 2 8 2 2 4 2 2 2 2 2" xfId="9497" xr:uid="{00000000-0005-0000-0000-0000A71C0000}"/>
    <cellStyle name="Normal 2 8 2 2 4 2 2 2 3" xfId="11172" xr:uid="{00000000-0005-0000-0000-0000A81C0000}"/>
    <cellStyle name="Normal 2 8 2 2 4 2 2 2 4" xfId="7822" xr:uid="{00000000-0005-0000-0000-0000A91C0000}"/>
    <cellStyle name="Normal 2 8 2 2 4 2 2 3" xfId="5180" xr:uid="{00000000-0005-0000-0000-0000AA1C0000}"/>
    <cellStyle name="Normal 2 8 2 2 4 2 2 3 2" xfId="8530" xr:uid="{00000000-0005-0000-0000-0000AB1C0000}"/>
    <cellStyle name="Normal 2 8 2 2 4 2 2 4" xfId="10205" xr:uid="{00000000-0005-0000-0000-0000AC1C0000}"/>
    <cellStyle name="Normal 2 8 2 2 4 2 2 5" xfId="6855" xr:uid="{00000000-0005-0000-0000-0000AD1C0000}"/>
    <cellStyle name="Normal 2 8 2 2 4 2 3" xfId="3741" xr:uid="{00000000-0005-0000-0000-0000AE1C0000}"/>
    <cellStyle name="Normal 2 8 2 2 4 2 3 2" xfId="4708" xr:uid="{00000000-0005-0000-0000-0000AF1C0000}"/>
    <cellStyle name="Normal 2 8 2 2 4 2 3 2 2" xfId="6383" xr:uid="{00000000-0005-0000-0000-0000B01C0000}"/>
    <cellStyle name="Normal 2 8 2 2 4 2 3 2 2 2" xfId="9733" xr:uid="{00000000-0005-0000-0000-0000B11C0000}"/>
    <cellStyle name="Normal 2 8 2 2 4 2 3 2 3" xfId="11408" xr:uid="{00000000-0005-0000-0000-0000B21C0000}"/>
    <cellStyle name="Normal 2 8 2 2 4 2 3 2 4" xfId="8058" xr:uid="{00000000-0005-0000-0000-0000B31C0000}"/>
    <cellStyle name="Normal 2 8 2 2 4 2 3 3" xfId="5416" xr:uid="{00000000-0005-0000-0000-0000B41C0000}"/>
    <cellStyle name="Normal 2 8 2 2 4 2 3 3 2" xfId="8766" xr:uid="{00000000-0005-0000-0000-0000B51C0000}"/>
    <cellStyle name="Normal 2 8 2 2 4 2 3 4" xfId="10441" xr:uid="{00000000-0005-0000-0000-0000B61C0000}"/>
    <cellStyle name="Normal 2 8 2 2 4 2 3 5" xfId="7091" xr:uid="{00000000-0005-0000-0000-0000B71C0000}"/>
    <cellStyle name="Normal 2 8 2 2 4 2 4" xfId="3977" xr:uid="{00000000-0005-0000-0000-0000B81C0000}"/>
    <cellStyle name="Normal 2 8 2 2 4 2 4 2" xfId="5652" xr:uid="{00000000-0005-0000-0000-0000B91C0000}"/>
    <cellStyle name="Normal 2 8 2 2 4 2 4 2 2" xfId="9002" xr:uid="{00000000-0005-0000-0000-0000BA1C0000}"/>
    <cellStyle name="Normal 2 8 2 2 4 2 4 3" xfId="10677" xr:uid="{00000000-0005-0000-0000-0000BB1C0000}"/>
    <cellStyle name="Normal 2 8 2 2 4 2 4 4" xfId="7327" xr:uid="{00000000-0005-0000-0000-0000BC1C0000}"/>
    <cellStyle name="Normal 2 8 2 2 4 2 5" xfId="4236" xr:uid="{00000000-0005-0000-0000-0000BD1C0000}"/>
    <cellStyle name="Normal 2 8 2 2 4 2 5 2" xfId="5911" xr:uid="{00000000-0005-0000-0000-0000BE1C0000}"/>
    <cellStyle name="Normal 2 8 2 2 4 2 5 2 2" xfId="9261" xr:uid="{00000000-0005-0000-0000-0000BF1C0000}"/>
    <cellStyle name="Normal 2 8 2 2 4 2 5 3" xfId="10936" xr:uid="{00000000-0005-0000-0000-0000C01C0000}"/>
    <cellStyle name="Normal 2 8 2 2 4 2 5 4" xfId="7586" xr:uid="{00000000-0005-0000-0000-0000C11C0000}"/>
    <cellStyle name="Normal 2 8 2 2 4 2 6" xfId="4944" xr:uid="{00000000-0005-0000-0000-0000C21C0000}"/>
    <cellStyle name="Normal 2 8 2 2 4 2 6 2" xfId="8294" xr:uid="{00000000-0005-0000-0000-0000C31C0000}"/>
    <cellStyle name="Normal 2 8 2 2 4 2 7" xfId="9969" xr:uid="{00000000-0005-0000-0000-0000C41C0000}"/>
    <cellStyle name="Normal 2 8 2 2 4 2 8" xfId="6619" xr:uid="{00000000-0005-0000-0000-0000C51C0000}"/>
    <cellStyle name="Normal 2 8 2 2 4 3" xfId="3388" xr:uid="{00000000-0005-0000-0000-0000C61C0000}"/>
    <cellStyle name="Normal 2 8 2 2 4 3 2" xfId="4354" xr:uid="{00000000-0005-0000-0000-0000C71C0000}"/>
    <cellStyle name="Normal 2 8 2 2 4 3 2 2" xfId="6029" xr:uid="{00000000-0005-0000-0000-0000C81C0000}"/>
    <cellStyle name="Normal 2 8 2 2 4 3 2 2 2" xfId="9379" xr:uid="{00000000-0005-0000-0000-0000C91C0000}"/>
    <cellStyle name="Normal 2 8 2 2 4 3 2 3" xfId="11054" xr:uid="{00000000-0005-0000-0000-0000CA1C0000}"/>
    <cellStyle name="Normal 2 8 2 2 4 3 2 4" xfId="7704" xr:uid="{00000000-0005-0000-0000-0000CB1C0000}"/>
    <cellStyle name="Normal 2 8 2 2 4 3 3" xfId="5062" xr:uid="{00000000-0005-0000-0000-0000CC1C0000}"/>
    <cellStyle name="Normal 2 8 2 2 4 3 3 2" xfId="8412" xr:uid="{00000000-0005-0000-0000-0000CD1C0000}"/>
    <cellStyle name="Normal 2 8 2 2 4 3 4" xfId="10087" xr:uid="{00000000-0005-0000-0000-0000CE1C0000}"/>
    <cellStyle name="Normal 2 8 2 2 4 3 5" xfId="6737" xr:uid="{00000000-0005-0000-0000-0000CF1C0000}"/>
    <cellStyle name="Normal 2 8 2 2 4 4" xfId="3623" xr:uid="{00000000-0005-0000-0000-0000D01C0000}"/>
    <cellStyle name="Normal 2 8 2 2 4 4 2" xfId="4590" xr:uid="{00000000-0005-0000-0000-0000D11C0000}"/>
    <cellStyle name="Normal 2 8 2 2 4 4 2 2" xfId="6265" xr:uid="{00000000-0005-0000-0000-0000D21C0000}"/>
    <cellStyle name="Normal 2 8 2 2 4 4 2 2 2" xfId="9615" xr:uid="{00000000-0005-0000-0000-0000D31C0000}"/>
    <cellStyle name="Normal 2 8 2 2 4 4 2 3" xfId="11290" xr:uid="{00000000-0005-0000-0000-0000D41C0000}"/>
    <cellStyle name="Normal 2 8 2 2 4 4 2 4" xfId="7940" xr:uid="{00000000-0005-0000-0000-0000D51C0000}"/>
    <cellStyle name="Normal 2 8 2 2 4 4 3" xfId="5298" xr:uid="{00000000-0005-0000-0000-0000D61C0000}"/>
    <cellStyle name="Normal 2 8 2 2 4 4 3 2" xfId="8648" xr:uid="{00000000-0005-0000-0000-0000D71C0000}"/>
    <cellStyle name="Normal 2 8 2 2 4 4 4" xfId="10323" xr:uid="{00000000-0005-0000-0000-0000D81C0000}"/>
    <cellStyle name="Normal 2 8 2 2 4 4 5" xfId="6973" xr:uid="{00000000-0005-0000-0000-0000D91C0000}"/>
    <cellStyle name="Normal 2 8 2 2 4 5" xfId="3859" xr:uid="{00000000-0005-0000-0000-0000DA1C0000}"/>
    <cellStyle name="Normal 2 8 2 2 4 5 2" xfId="5534" xr:uid="{00000000-0005-0000-0000-0000DB1C0000}"/>
    <cellStyle name="Normal 2 8 2 2 4 5 2 2" xfId="8884" xr:uid="{00000000-0005-0000-0000-0000DC1C0000}"/>
    <cellStyle name="Normal 2 8 2 2 4 5 3" xfId="10559" xr:uid="{00000000-0005-0000-0000-0000DD1C0000}"/>
    <cellStyle name="Normal 2 8 2 2 4 5 4" xfId="7209" xr:uid="{00000000-0005-0000-0000-0000DE1C0000}"/>
    <cellStyle name="Normal 2 8 2 2 4 6" xfId="4118" xr:uid="{00000000-0005-0000-0000-0000DF1C0000}"/>
    <cellStyle name="Normal 2 8 2 2 4 6 2" xfId="5793" xr:uid="{00000000-0005-0000-0000-0000E01C0000}"/>
    <cellStyle name="Normal 2 8 2 2 4 6 2 2" xfId="9143" xr:uid="{00000000-0005-0000-0000-0000E11C0000}"/>
    <cellStyle name="Normal 2 8 2 2 4 6 3" xfId="10818" xr:uid="{00000000-0005-0000-0000-0000E21C0000}"/>
    <cellStyle name="Normal 2 8 2 2 4 6 4" xfId="7468" xr:uid="{00000000-0005-0000-0000-0000E31C0000}"/>
    <cellStyle name="Normal 2 8 2 2 4 7" xfId="4826" xr:uid="{00000000-0005-0000-0000-0000E41C0000}"/>
    <cellStyle name="Normal 2 8 2 2 4 7 2" xfId="8176" xr:uid="{00000000-0005-0000-0000-0000E51C0000}"/>
    <cellStyle name="Normal 2 8 2 2 4 8" xfId="9851" xr:uid="{00000000-0005-0000-0000-0000E61C0000}"/>
    <cellStyle name="Normal 2 8 2 2 4 9" xfId="6501" xr:uid="{00000000-0005-0000-0000-0000E71C0000}"/>
    <cellStyle name="Normal 2 8 2 2 5" xfId="3176" xr:uid="{00000000-0005-0000-0000-0000E81C0000}"/>
    <cellStyle name="Normal 2 8 2 2 5 2" xfId="3294" xr:uid="{00000000-0005-0000-0000-0000E91C0000}"/>
    <cellStyle name="Normal 2 8 2 2 5 2 2" xfId="3530" xr:uid="{00000000-0005-0000-0000-0000EA1C0000}"/>
    <cellStyle name="Normal 2 8 2 2 5 2 2 2" xfId="4496" xr:uid="{00000000-0005-0000-0000-0000EB1C0000}"/>
    <cellStyle name="Normal 2 8 2 2 5 2 2 2 2" xfId="6171" xr:uid="{00000000-0005-0000-0000-0000EC1C0000}"/>
    <cellStyle name="Normal 2 8 2 2 5 2 2 2 2 2" xfId="9521" xr:uid="{00000000-0005-0000-0000-0000ED1C0000}"/>
    <cellStyle name="Normal 2 8 2 2 5 2 2 2 3" xfId="11196" xr:uid="{00000000-0005-0000-0000-0000EE1C0000}"/>
    <cellStyle name="Normal 2 8 2 2 5 2 2 2 4" xfId="7846" xr:uid="{00000000-0005-0000-0000-0000EF1C0000}"/>
    <cellStyle name="Normal 2 8 2 2 5 2 2 3" xfId="5204" xr:uid="{00000000-0005-0000-0000-0000F01C0000}"/>
    <cellStyle name="Normal 2 8 2 2 5 2 2 3 2" xfId="8554" xr:uid="{00000000-0005-0000-0000-0000F11C0000}"/>
    <cellStyle name="Normal 2 8 2 2 5 2 2 4" xfId="10229" xr:uid="{00000000-0005-0000-0000-0000F21C0000}"/>
    <cellStyle name="Normal 2 8 2 2 5 2 2 5" xfId="6879" xr:uid="{00000000-0005-0000-0000-0000F31C0000}"/>
    <cellStyle name="Normal 2 8 2 2 5 2 3" xfId="3765" xr:uid="{00000000-0005-0000-0000-0000F41C0000}"/>
    <cellStyle name="Normal 2 8 2 2 5 2 3 2" xfId="4732" xr:uid="{00000000-0005-0000-0000-0000F51C0000}"/>
    <cellStyle name="Normal 2 8 2 2 5 2 3 2 2" xfId="6407" xr:uid="{00000000-0005-0000-0000-0000F61C0000}"/>
    <cellStyle name="Normal 2 8 2 2 5 2 3 2 2 2" xfId="9757" xr:uid="{00000000-0005-0000-0000-0000F71C0000}"/>
    <cellStyle name="Normal 2 8 2 2 5 2 3 2 3" xfId="11432" xr:uid="{00000000-0005-0000-0000-0000F81C0000}"/>
    <cellStyle name="Normal 2 8 2 2 5 2 3 2 4" xfId="8082" xr:uid="{00000000-0005-0000-0000-0000F91C0000}"/>
    <cellStyle name="Normal 2 8 2 2 5 2 3 3" xfId="5440" xr:uid="{00000000-0005-0000-0000-0000FA1C0000}"/>
    <cellStyle name="Normal 2 8 2 2 5 2 3 3 2" xfId="8790" xr:uid="{00000000-0005-0000-0000-0000FB1C0000}"/>
    <cellStyle name="Normal 2 8 2 2 5 2 3 4" xfId="10465" xr:uid="{00000000-0005-0000-0000-0000FC1C0000}"/>
    <cellStyle name="Normal 2 8 2 2 5 2 3 5" xfId="7115" xr:uid="{00000000-0005-0000-0000-0000FD1C0000}"/>
    <cellStyle name="Normal 2 8 2 2 5 2 4" xfId="4001" xr:uid="{00000000-0005-0000-0000-0000FE1C0000}"/>
    <cellStyle name="Normal 2 8 2 2 5 2 4 2" xfId="5676" xr:uid="{00000000-0005-0000-0000-0000FF1C0000}"/>
    <cellStyle name="Normal 2 8 2 2 5 2 4 2 2" xfId="9026" xr:uid="{00000000-0005-0000-0000-0000001D0000}"/>
    <cellStyle name="Normal 2 8 2 2 5 2 4 3" xfId="10701" xr:uid="{00000000-0005-0000-0000-0000011D0000}"/>
    <cellStyle name="Normal 2 8 2 2 5 2 4 4" xfId="7351" xr:uid="{00000000-0005-0000-0000-0000021D0000}"/>
    <cellStyle name="Normal 2 8 2 2 5 2 5" xfId="4260" xr:uid="{00000000-0005-0000-0000-0000031D0000}"/>
    <cellStyle name="Normal 2 8 2 2 5 2 5 2" xfId="5935" xr:uid="{00000000-0005-0000-0000-0000041D0000}"/>
    <cellStyle name="Normal 2 8 2 2 5 2 5 2 2" xfId="9285" xr:uid="{00000000-0005-0000-0000-0000051D0000}"/>
    <cellStyle name="Normal 2 8 2 2 5 2 5 3" xfId="10960" xr:uid="{00000000-0005-0000-0000-0000061D0000}"/>
    <cellStyle name="Normal 2 8 2 2 5 2 5 4" xfId="7610" xr:uid="{00000000-0005-0000-0000-0000071D0000}"/>
    <cellStyle name="Normal 2 8 2 2 5 2 6" xfId="4968" xr:uid="{00000000-0005-0000-0000-0000081D0000}"/>
    <cellStyle name="Normal 2 8 2 2 5 2 6 2" xfId="8318" xr:uid="{00000000-0005-0000-0000-0000091D0000}"/>
    <cellStyle name="Normal 2 8 2 2 5 2 7" xfId="9993" xr:uid="{00000000-0005-0000-0000-00000A1D0000}"/>
    <cellStyle name="Normal 2 8 2 2 5 2 8" xfId="6643" xr:uid="{00000000-0005-0000-0000-00000B1D0000}"/>
    <cellStyle name="Normal 2 8 2 2 5 3" xfId="3412" xr:uid="{00000000-0005-0000-0000-00000C1D0000}"/>
    <cellStyle name="Normal 2 8 2 2 5 3 2" xfId="4378" xr:uid="{00000000-0005-0000-0000-00000D1D0000}"/>
    <cellStyle name="Normal 2 8 2 2 5 3 2 2" xfId="6053" xr:uid="{00000000-0005-0000-0000-00000E1D0000}"/>
    <cellStyle name="Normal 2 8 2 2 5 3 2 2 2" xfId="9403" xr:uid="{00000000-0005-0000-0000-00000F1D0000}"/>
    <cellStyle name="Normal 2 8 2 2 5 3 2 3" xfId="11078" xr:uid="{00000000-0005-0000-0000-0000101D0000}"/>
    <cellStyle name="Normal 2 8 2 2 5 3 2 4" xfId="7728" xr:uid="{00000000-0005-0000-0000-0000111D0000}"/>
    <cellStyle name="Normal 2 8 2 2 5 3 3" xfId="5086" xr:uid="{00000000-0005-0000-0000-0000121D0000}"/>
    <cellStyle name="Normal 2 8 2 2 5 3 3 2" xfId="8436" xr:uid="{00000000-0005-0000-0000-0000131D0000}"/>
    <cellStyle name="Normal 2 8 2 2 5 3 4" xfId="10111" xr:uid="{00000000-0005-0000-0000-0000141D0000}"/>
    <cellStyle name="Normal 2 8 2 2 5 3 5" xfId="6761" xr:uid="{00000000-0005-0000-0000-0000151D0000}"/>
    <cellStyle name="Normal 2 8 2 2 5 4" xfId="3647" xr:uid="{00000000-0005-0000-0000-0000161D0000}"/>
    <cellStyle name="Normal 2 8 2 2 5 4 2" xfId="4614" xr:uid="{00000000-0005-0000-0000-0000171D0000}"/>
    <cellStyle name="Normal 2 8 2 2 5 4 2 2" xfId="6289" xr:uid="{00000000-0005-0000-0000-0000181D0000}"/>
    <cellStyle name="Normal 2 8 2 2 5 4 2 2 2" xfId="9639" xr:uid="{00000000-0005-0000-0000-0000191D0000}"/>
    <cellStyle name="Normal 2 8 2 2 5 4 2 3" xfId="11314" xr:uid="{00000000-0005-0000-0000-00001A1D0000}"/>
    <cellStyle name="Normal 2 8 2 2 5 4 2 4" xfId="7964" xr:uid="{00000000-0005-0000-0000-00001B1D0000}"/>
    <cellStyle name="Normal 2 8 2 2 5 4 3" xfId="5322" xr:uid="{00000000-0005-0000-0000-00001C1D0000}"/>
    <cellStyle name="Normal 2 8 2 2 5 4 3 2" xfId="8672" xr:uid="{00000000-0005-0000-0000-00001D1D0000}"/>
    <cellStyle name="Normal 2 8 2 2 5 4 4" xfId="10347" xr:uid="{00000000-0005-0000-0000-00001E1D0000}"/>
    <cellStyle name="Normal 2 8 2 2 5 4 5" xfId="6997" xr:uid="{00000000-0005-0000-0000-00001F1D0000}"/>
    <cellStyle name="Normal 2 8 2 2 5 5" xfId="3883" xr:uid="{00000000-0005-0000-0000-0000201D0000}"/>
    <cellStyle name="Normal 2 8 2 2 5 5 2" xfId="5558" xr:uid="{00000000-0005-0000-0000-0000211D0000}"/>
    <cellStyle name="Normal 2 8 2 2 5 5 2 2" xfId="8908" xr:uid="{00000000-0005-0000-0000-0000221D0000}"/>
    <cellStyle name="Normal 2 8 2 2 5 5 3" xfId="10583" xr:uid="{00000000-0005-0000-0000-0000231D0000}"/>
    <cellStyle name="Normal 2 8 2 2 5 5 4" xfId="7233" xr:uid="{00000000-0005-0000-0000-0000241D0000}"/>
    <cellStyle name="Normal 2 8 2 2 5 6" xfId="4142" xr:uid="{00000000-0005-0000-0000-0000251D0000}"/>
    <cellStyle name="Normal 2 8 2 2 5 6 2" xfId="5817" xr:uid="{00000000-0005-0000-0000-0000261D0000}"/>
    <cellStyle name="Normal 2 8 2 2 5 6 2 2" xfId="9167" xr:uid="{00000000-0005-0000-0000-0000271D0000}"/>
    <cellStyle name="Normal 2 8 2 2 5 6 3" xfId="10842" xr:uid="{00000000-0005-0000-0000-0000281D0000}"/>
    <cellStyle name="Normal 2 8 2 2 5 6 4" xfId="7492" xr:uid="{00000000-0005-0000-0000-0000291D0000}"/>
    <cellStyle name="Normal 2 8 2 2 5 7" xfId="4850" xr:uid="{00000000-0005-0000-0000-00002A1D0000}"/>
    <cellStyle name="Normal 2 8 2 2 5 7 2" xfId="8200" xr:uid="{00000000-0005-0000-0000-00002B1D0000}"/>
    <cellStyle name="Normal 2 8 2 2 5 8" xfId="9875" xr:uid="{00000000-0005-0000-0000-00002C1D0000}"/>
    <cellStyle name="Normal 2 8 2 2 5 9" xfId="6525" xr:uid="{00000000-0005-0000-0000-00002D1D0000}"/>
    <cellStyle name="Normal 2 8 2 2 6" xfId="3200" xr:uid="{00000000-0005-0000-0000-00002E1D0000}"/>
    <cellStyle name="Normal 2 8 2 2 6 2" xfId="3436" xr:uid="{00000000-0005-0000-0000-00002F1D0000}"/>
    <cellStyle name="Normal 2 8 2 2 6 2 2" xfId="4402" xr:uid="{00000000-0005-0000-0000-0000301D0000}"/>
    <cellStyle name="Normal 2 8 2 2 6 2 2 2" xfId="6077" xr:uid="{00000000-0005-0000-0000-0000311D0000}"/>
    <cellStyle name="Normal 2 8 2 2 6 2 2 2 2" xfId="9427" xr:uid="{00000000-0005-0000-0000-0000321D0000}"/>
    <cellStyle name="Normal 2 8 2 2 6 2 2 3" xfId="11102" xr:uid="{00000000-0005-0000-0000-0000331D0000}"/>
    <cellStyle name="Normal 2 8 2 2 6 2 2 4" xfId="7752" xr:uid="{00000000-0005-0000-0000-0000341D0000}"/>
    <cellStyle name="Normal 2 8 2 2 6 2 3" xfId="5110" xr:uid="{00000000-0005-0000-0000-0000351D0000}"/>
    <cellStyle name="Normal 2 8 2 2 6 2 3 2" xfId="8460" xr:uid="{00000000-0005-0000-0000-0000361D0000}"/>
    <cellStyle name="Normal 2 8 2 2 6 2 4" xfId="10135" xr:uid="{00000000-0005-0000-0000-0000371D0000}"/>
    <cellStyle name="Normal 2 8 2 2 6 2 5" xfId="6785" xr:uid="{00000000-0005-0000-0000-0000381D0000}"/>
    <cellStyle name="Normal 2 8 2 2 6 3" xfId="3671" xr:uid="{00000000-0005-0000-0000-0000391D0000}"/>
    <cellStyle name="Normal 2 8 2 2 6 3 2" xfId="4638" xr:uid="{00000000-0005-0000-0000-00003A1D0000}"/>
    <cellStyle name="Normal 2 8 2 2 6 3 2 2" xfId="6313" xr:uid="{00000000-0005-0000-0000-00003B1D0000}"/>
    <cellStyle name="Normal 2 8 2 2 6 3 2 2 2" xfId="9663" xr:uid="{00000000-0005-0000-0000-00003C1D0000}"/>
    <cellStyle name="Normal 2 8 2 2 6 3 2 3" xfId="11338" xr:uid="{00000000-0005-0000-0000-00003D1D0000}"/>
    <cellStyle name="Normal 2 8 2 2 6 3 2 4" xfId="7988" xr:uid="{00000000-0005-0000-0000-00003E1D0000}"/>
    <cellStyle name="Normal 2 8 2 2 6 3 3" xfId="5346" xr:uid="{00000000-0005-0000-0000-00003F1D0000}"/>
    <cellStyle name="Normal 2 8 2 2 6 3 3 2" xfId="8696" xr:uid="{00000000-0005-0000-0000-0000401D0000}"/>
    <cellStyle name="Normal 2 8 2 2 6 3 4" xfId="10371" xr:uid="{00000000-0005-0000-0000-0000411D0000}"/>
    <cellStyle name="Normal 2 8 2 2 6 3 5" xfId="7021" xr:uid="{00000000-0005-0000-0000-0000421D0000}"/>
    <cellStyle name="Normal 2 8 2 2 6 4" xfId="3907" xr:uid="{00000000-0005-0000-0000-0000431D0000}"/>
    <cellStyle name="Normal 2 8 2 2 6 4 2" xfId="5582" xr:uid="{00000000-0005-0000-0000-0000441D0000}"/>
    <cellStyle name="Normal 2 8 2 2 6 4 2 2" xfId="8932" xr:uid="{00000000-0005-0000-0000-0000451D0000}"/>
    <cellStyle name="Normal 2 8 2 2 6 4 3" xfId="10607" xr:uid="{00000000-0005-0000-0000-0000461D0000}"/>
    <cellStyle name="Normal 2 8 2 2 6 4 4" xfId="7257" xr:uid="{00000000-0005-0000-0000-0000471D0000}"/>
    <cellStyle name="Normal 2 8 2 2 6 5" xfId="4166" xr:uid="{00000000-0005-0000-0000-0000481D0000}"/>
    <cellStyle name="Normal 2 8 2 2 6 5 2" xfId="5841" xr:uid="{00000000-0005-0000-0000-0000491D0000}"/>
    <cellStyle name="Normal 2 8 2 2 6 5 2 2" xfId="9191" xr:uid="{00000000-0005-0000-0000-00004A1D0000}"/>
    <cellStyle name="Normal 2 8 2 2 6 5 3" xfId="10866" xr:uid="{00000000-0005-0000-0000-00004B1D0000}"/>
    <cellStyle name="Normal 2 8 2 2 6 5 4" xfId="7516" xr:uid="{00000000-0005-0000-0000-00004C1D0000}"/>
    <cellStyle name="Normal 2 8 2 2 6 6" xfId="4874" xr:uid="{00000000-0005-0000-0000-00004D1D0000}"/>
    <cellStyle name="Normal 2 8 2 2 6 6 2" xfId="8224" xr:uid="{00000000-0005-0000-0000-00004E1D0000}"/>
    <cellStyle name="Normal 2 8 2 2 6 7" xfId="9899" xr:uid="{00000000-0005-0000-0000-00004F1D0000}"/>
    <cellStyle name="Normal 2 8 2 2 6 8" xfId="6549" xr:uid="{00000000-0005-0000-0000-0000501D0000}"/>
    <cellStyle name="Normal 2 8 2 2 7" xfId="3318" xr:uid="{00000000-0005-0000-0000-0000511D0000}"/>
    <cellStyle name="Normal 2 8 2 2 7 2" xfId="4284" xr:uid="{00000000-0005-0000-0000-0000521D0000}"/>
    <cellStyle name="Normal 2 8 2 2 7 2 2" xfId="5959" xr:uid="{00000000-0005-0000-0000-0000531D0000}"/>
    <cellStyle name="Normal 2 8 2 2 7 2 2 2" xfId="9309" xr:uid="{00000000-0005-0000-0000-0000541D0000}"/>
    <cellStyle name="Normal 2 8 2 2 7 2 3" xfId="10984" xr:uid="{00000000-0005-0000-0000-0000551D0000}"/>
    <cellStyle name="Normal 2 8 2 2 7 2 4" xfId="7634" xr:uid="{00000000-0005-0000-0000-0000561D0000}"/>
    <cellStyle name="Normal 2 8 2 2 7 3" xfId="4992" xr:uid="{00000000-0005-0000-0000-0000571D0000}"/>
    <cellStyle name="Normal 2 8 2 2 7 3 2" xfId="8342" xr:uid="{00000000-0005-0000-0000-0000581D0000}"/>
    <cellStyle name="Normal 2 8 2 2 7 4" xfId="10017" xr:uid="{00000000-0005-0000-0000-0000591D0000}"/>
    <cellStyle name="Normal 2 8 2 2 7 5" xfId="6667" xr:uid="{00000000-0005-0000-0000-00005A1D0000}"/>
    <cellStyle name="Normal 2 8 2 2 8" xfId="3553" xr:uid="{00000000-0005-0000-0000-00005B1D0000}"/>
    <cellStyle name="Normal 2 8 2 2 8 2" xfId="4520" xr:uid="{00000000-0005-0000-0000-00005C1D0000}"/>
    <cellStyle name="Normal 2 8 2 2 8 2 2" xfId="6195" xr:uid="{00000000-0005-0000-0000-00005D1D0000}"/>
    <cellStyle name="Normal 2 8 2 2 8 2 2 2" xfId="9545" xr:uid="{00000000-0005-0000-0000-00005E1D0000}"/>
    <cellStyle name="Normal 2 8 2 2 8 2 3" xfId="11220" xr:uid="{00000000-0005-0000-0000-00005F1D0000}"/>
    <cellStyle name="Normal 2 8 2 2 8 2 4" xfId="7870" xr:uid="{00000000-0005-0000-0000-0000601D0000}"/>
    <cellStyle name="Normal 2 8 2 2 8 3" xfId="5228" xr:uid="{00000000-0005-0000-0000-0000611D0000}"/>
    <cellStyle name="Normal 2 8 2 2 8 3 2" xfId="8578" xr:uid="{00000000-0005-0000-0000-0000621D0000}"/>
    <cellStyle name="Normal 2 8 2 2 8 4" xfId="10253" xr:uid="{00000000-0005-0000-0000-0000631D0000}"/>
    <cellStyle name="Normal 2 8 2 2 8 5" xfId="6903" xr:uid="{00000000-0005-0000-0000-0000641D0000}"/>
    <cellStyle name="Normal 2 8 2 2 9" xfId="3789" xr:uid="{00000000-0005-0000-0000-0000651D0000}"/>
    <cellStyle name="Normal 2 8 2 2 9 2" xfId="4048" xr:uid="{00000000-0005-0000-0000-0000661D0000}"/>
    <cellStyle name="Normal 2 8 2 2 9 2 2" xfId="5723" xr:uid="{00000000-0005-0000-0000-0000671D0000}"/>
    <cellStyle name="Normal 2 8 2 2 9 2 2 2" xfId="9073" xr:uid="{00000000-0005-0000-0000-0000681D0000}"/>
    <cellStyle name="Normal 2 8 2 2 9 2 3" xfId="10748" xr:uid="{00000000-0005-0000-0000-0000691D0000}"/>
    <cellStyle name="Normal 2 8 2 2 9 2 4" xfId="7398" xr:uid="{00000000-0005-0000-0000-00006A1D0000}"/>
    <cellStyle name="Normal 2 8 2 2 9 3" xfId="5464" xr:uid="{00000000-0005-0000-0000-00006B1D0000}"/>
    <cellStyle name="Normal 2 8 2 2 9 3 2" xfId="8814" xr:uid="{00000000-0005-0000-0000-00006C1D0000}"/>
    <cellStyle name="Normal 2 8 2 2 9 4" xfId="10489" xr:uid="{00000000-0005-0000-0000-00006D1D0000}"/>
    <cellStyle name="Normal 2 8 2 2 9 5" xfId="7139" xr:uid="{00000000-0005-0000-0000-00006E1D0000}"/>
    <cellStyle name="Normal 2 8 2 3" xfId="2651" xr:uid="{00000000-0005-0000-0000-0000D1080000}"/>
    <cellStyle name="Normal 2 8 2 3 2" xfId="2846" xr:uid="{00000000-0005-0000-0000-0000D1080000}"/>
    <cellStyle name="Normal 2 8 2 4" xfId="2808" xr:uid="{00000000-0005-0000-0000-0000CF080000}"/>
    <cellStyle name="Normal 2 8 3" xfId="2131" xr:uid="{00000000-0005-0000-0000-0000D2080000}"/>
    <cellStyle name="Normal 2 8 3 2" xfId="2652" xr:uid="{00000000-0005-0000-0000-0000D3080000}"/>
    <cellStyle name="Normal 2 8 3 2 2" xfId="2847" xr:uid="{00000000-0005-0000-0000-0000D3080000}"/>
    <cellStyle name="Normal 2 8 3 3" xfId="2809" xr:uid="{00000000-0005-0000-0000-0000D2080000}"/>
    <cellStyle name="Normal 2 8 4" xfId="3105" xr:uid="{00000000-0005-0000-0000-0000701D0000}"/>
    <cellStyle name="Normal 2 8 4 2" xfId="3222" xr:uid="{00000000-0005-0000-0000-0000711D0000}"/>
    <cellStyle name="Normal 2 8 4 2 2" xfId="3458" xr:uid="{00000000-0005-0000-0000-0000721D0000}"/>
    <cellStyle name="Normal 2 8 4 2 2 2" xfId="4424" xr:uid="{00000000-0005-0000-0000-0000731D0000}"/>
    <cellStyle name="Normal 2 8 4 2 2 2 2" xfId="6099" xr:uid="{00000000-0005-0000-0000-0000741D0000}"/>
    <cellStyle name="Normal 2 8 4 2 2 2 2 2" xfId="9449" xr:uid="{00000000-0005-0000-0000-0000751D0000}"/>
    <cellStyle name="Normal 2 8 4 2 2 2 3" xfId="11124" xr:uid="{00000000-0005-0000-0000-0000761D0000}"/>
    <cellStyle name="Normal 2 8 4 2 2 2 4" xfId="7774" xr:uid="{00000000-0005-0000-0000-0000771D0000}"/>
    <cellStyle name="Normal 2 8 4 2 2 3" xfId="5132" xr:uid="{00000000-0005-0000-0000-0000781D0000}"/>
    <cellStyle name="Normal 2 8 4 2 2 3 2" xfId="8482" xr:uid="{00000000-0005-0000-0000-0000791D0000}"/>
    <cellStyle name="Normal 2 8 4 2 2 4" xfId="10157" xr:uid="{00000000-0005-0000-0000-00007A1D0000}"/>
    <cellStyle name="Normal 2 8 4 2 2 5" xfId="6807" xr:uid="{00000000-0005-0000-0000-00007B1D0000}"/>
    <cellStyle name="Normal 2 8 4 2 3" xfId="3693" xr:uid="{00000000-0005-0000-0000-00007C1D0000}"/>
    <cellStyle name="Normal 2 8 4 2 3 2" xfId="4660" xr:uid="{00000000-0005-0000-0000-00007D1D0000}"/>
    <cellStyle name="Normal 2 8 4 2 3 2 2" xfId="6335" xr:uid="{00000000-0005-0000-0000-00007E1D0000}"/>
    <cellStyle name="Normal 2 8 4 2 3 2 2 2" xfId="9685" xr:uid="{00000000-0005-0000-0000-00007F1D0000}"/>
    <cellStyle name="Normal 2 8 4 2 3 2 3" xfId="11360" xr:uid="{00000000-0005-0000-0000-0000801D0000}"/>
    <cellStyle name="Normal 2 8 4 2 3 2 4" xfId="8010" xr:uid="{00000000-0005-0000-0000-0000811D0000}"/>
    <cellStyle name="Normal 2 8 4 2 3 3" xfId="5368" xr:uid="{00000000-0005-0000-0000-0000821D0000}"/>
    <cellStyle name="Normal 2 8 4 2 3 3 2" xfId="8718" xr:uid="{00000000-0005-0000-0000-0000831D0000}"/>
    <cellStyle name="Normal 2 8 4 2 3 4" xfId="10393" xr:uid="{00000000-0005-0000-0000-0000841D0000}"/>
    <cellStyle name="Normal 2 8 4 2 3 5" xfId="7043" xr:uid="{00000000-0005-0000-0000-0000851D0000}"/>
    <cellStyle name="Normal 2 8 4 2 4" xfId="3929" xr:uid="{00000000-0005-0000-0000-0000861D0000}"/>
    <cellStyle name="Normal 2 8 4 2 4 2" xfId="5604" xr:uid="{00000000-0005-0000-0000-0000871D0000}"/>
    <cellStyle name="Normal 2 8 4 2 4 2 2" xfId="8954" xr:uid="{00000000-0005-0000-0000-0000881D0000}"/>
    <cellStyle name="Normal 2 8 4 2 4 3" xfId="10629" xr:uid="{00000000-0005-0000-0000-0000891D0000}"/>
    <cellStyle name="Normal 2 8 4 2 4 4" xfId="7279" xr:uid="{00000000-0005-0000-0000-00008A1D0000}"/>
    <cellStyle name="Normal 2 8 4 2 5" xfId="4188" xr:uid="{00000000-0005-0000-0000-00008B1D0000}"/>
    <cellStyle name="Normal 2 8 4 2 5 2" xfId="5863" xr:uid="{00000000-0005-0000-0000-00008C1D0000}"/>
    <cellStyle name="Normal 2 8 4 2 5 2 2" xfId="9213" xr:uid="{00000000-0005-0000-0000-00008D1D0000}"/>
    <cellStyle name="Normal 2 8 4 2 5 3" xfId="10888" xr:uid="{00000000-0005-0000-0000-00008E1D0000}"/>
    <cellStyle name="Normal 2 8 4 2 5 4" xfId="7538" xr:uid="{00000000-0005-0000-0000-00008F1D0000}"/>
    <cellStyle name="Normal 2 8 4 2 6" xfId="4896" xr:uid="{00000000-0005-0000-0000-0000901D0000}"/>
    <cellStyle name="Normal 2 8 4 2 6 2" xfId="8246" xr:uid="{00000000-0005-0000-0000-0000911D0000}"/>
    <cellStyle name="Normal 2 8 4 2 7" xfId="9921" xr:uid="{00000000-0005-0000-0000-0000921D0000}"/>
    <cellStyle name="Normal 2 8 4 2 8" xfId="6571" xr:uid="{00000000-0005-0000-0000-0000931D0000}"/>
    <cellStyle name="Normal 2 8 4 3" xfId="3340" xr:uid="{00000000-0005-0000-0000-0000941D0000}"/>
    <cellStyle name="Normal 2 8 4 3 2" xfId="4306" xr:uid="{00000000-0005-0000-0000-0000951D0000}"/>
    <cellStyle name="Normal 2 8 4 3 2 2" xfId="5981" xr:uid="{00000000-0005-0000-0000-0000961D0000}"/>
    <cellStyle name="Normal 2 8 4 3 2 2 2" xfId="9331" xr:uid="{00000000-0005-0000-0000-0000971D0000}"/>
    <cellStyle name="Normal 2 8 4 3 2 3" xfId="11006" xr:uid="{00000000-0005-0000-0000-0000981D0000}"/>
    <cellStyle name="Normal 2 8 4 3 2 4" xfId="7656" xr:uid="{00000000-0005-0000-0000-0000991D0000}"/>
    <cellStyle name="Normal 2 8 4 3 3" xfId="5014" xr:uid="{00000000-0005-0000-0000-00009A1D0000}"/>
    <cellStyle name="Normal 2 8 4 3 3 2" xfId="8364" xr:uid="{00000000-0005-0000-0000-00009B1D0000}"/>
    <cellStyle name="Normal 2 8 4 3 4" xfId="10039" xr:uid="{00000000-0005-0000-0000-00009C1D0000}"/>
    <cellStyle name="Normal 2 8 4 3 5" xfId="6689" xr:uid="{00000000-0005-0000-0000-00009D1D0000}"/>
    <cellStyle name="Normal 2 8 4 4" xfId="3575" xr:uid="{00000000-0005-0000-0000-00009E1D0000}"/>
    <cellStyle name="Normal 2 8 4 4 2" xfId="4542" xr:uid="{00000000-0005-0000-0000-00009F1D0000}"/>
    <cellStyle name="Normal 2 8 4 4 2 2" xfId="6217" xr:uid="{00000000-0005-0000-0000-0000A01D0000}"/>
    <cellStyle name="Normal 2 8 4 4 2 2 2" xfId="9567" xr:uid="{00000000-0005-0000-0000-0000A11D0000}"/>
    <cellStyle name="Normal 2 8 4 4 2 3" xfId="11242" xr:uid="{00000000-0005-0000-0000-0000A21D0000}"/>
    <cellStyle name="Normal 2 8 4 4 2 4" xfId="7892" xr:uid="{00000000-0005-0000-0000-0000A31D0000}"/>
    <cellStyle name="Normal 2 8 4 4 3" xfId="5250" xr:uid="{00000000-0005-0000-0000-0000A41D0000}"/>
    <cellStyle name="Normal 2 8 4 4 3 2" xfId="8600" xr:uid="{00000000-0005-0000-0000-0000A51D0000}"/>
    <cellStyle name="Normal 2 8 4 4 4" xfId="10275" xr:uid="{00000000-0005-0000-0000-0000A61D0000}"/>
    <cellStyle name="Normal 2 8 4 4 5" xfId="6925" xr:uid="{00000000-0005-0000-0000-0000A71D0000}"/>
    <cellStyle name="Normal 2 8 4 5" xfId="3811" xr:uid="{00000000-0005-0000-0000-0000A81D0000}"/>
    <cellStyle name="Normal 2 8 4 5 2" xfId="5486" xr:uid="{00000000-0005-0000-0000-0000A91D0000}"/>
    <cellStyle name="Normal 2 8 4 5 2 2" xfId="8836" xr:uid="{00000000-0005-0000-0000-0000AA1D0000}"/>
    <cellStyle name="Normal 2 8 4 5 3" xfId="10511" xr:uid="{00000000-0005-0000-0000-0000AB1D0000}"/>
    <cellStyle name="Normal 2 8 4 5 4" xfId="7161" xr:uid="{00000000-0005-0000-0000-0000AC1D0000}"/>
    <cellStyle name="Normal 2 8 4 6" xfId="4070" xr:uid="{00000000-0005-0000-0000-0000AD1D0000}"/>
    <cellStyle name="Normal 2 8 4 6 2" xfId="5745" xr:uid="{00000000-0005-0000-0000-0000AE1D0000}"/>
    <cellStyle name="Normal 2 8 4 6 2 2" xfId="9095" xr:uid="{00000000-0005-0000-0000-0000AF1D0000}"/>
    <cellStyle name="Normal 2 8 4 6 3" xfId="10770" xr:uid="{00000000-0005-0000-0000-0000B01D0000}"/>
    <cellStyle name="Normal 2 8 4 6 4" xfId="7420" xr:uid="{00000000-0005-0000-0000-0000B11D0000}"/>
    <cellStyle name="Normal 2 8 4 7" xfId="4778" xr:uid="{00000000-0005-0000-0000-0000B21D0000}"/>
    <cellStyle name="Normal 2 8 4 7 2" xfId="8128" xr:uid="{00000000-0005-0000-0000-0000B31D0000}"/>
    <cellStyle name="Normal 2 8 4 8" xfId="9803" xr:uid="{00000000-0005-0000-0000-0000B41D0000}"/>
    <cellStyle name="Normal 2 8 4 9" xfId="6453" xr:uid="{00000000-0005-0000-0000-0000B51D0000}"/>
    <cellStyle name="Normal 2 8 5" xfId="3128" xr:uid="{00000000-0005-0000-0000-0000B61D0000}"/>
    <cellStyle name="Normal 2 8 5 2" xfId="3245" xr:uid="{00000000-0005-0000-0000-0000B71D0000}"/>
    <cellStyle name="Normal 2 8 5 2 2" xfId="3481" xr:uid="{00000000-0005-0000-0000-0000B81D0000}"/>
    <cellStyle name="Normal 2 8 5 2 2 2" xfId="4447" xr:uid="{00000000-0005-0000-0000-0000B91D0000}"/>
    <cellStyle name="Normal 2 8 5 2 2 2 2" xfId="6122" xr:uid="{00000000-0005-0000-0000-0000BA1D0000}"/>
    <cellStyle name="Normal 2 8 5 2 2 2 2 2" xfId="9472" xr:uid="{00000000-0005-0000-0000-0000BB1D0000}"/>
    <cellStyle name="Normal 2 8 5 2 2 2 3" xfId="11147" xr:uid="{00000000-0005-0000-0000-0000BC1D0000}"/>
    <cellStyle name="Normal 2 8 5 2 2 2 4" xfId="7797" xr:uid="{00000000-0005-0000-0000-0000BD1D0000}"/>
    <cellStyle name="Normal 2 8 5 2 2 3" xfId="5155" xr:uid="{00000000-0005-0000-0000-0000BE1D0000}"/>
    <cellStyle name="Normal 2 8 5 2 2 3 2" xfId="8505" xr:uid="{00000000-0005-0000-0000-0000BF1D0000}"/>
    <cellStyle name="Normal 2 8 5 2 2 4" xfId="10180" xr:uid="{00000000-0005-0000-0000-0000C01D0000}"/>
    <cellStyle name="Normal 2 8 5 2 2 5" xfId="6830" xr:uid="{00000000-0005-0000-0000-0000C11D0000}"/>
    <cellStyle name="Normal 2 8 5 2 3" xfId="3716" xr:uid="{00000000-0005-0000-0000-0000C21D0000}"/>
    <cellStyle name="Normal 2 8 5 2 3 2" xfId="4683" xr:uid="{00000000-0005-0000-0000-0000C31D0000}"/>
    <cellStyle name="Normal 2 8 5 2 3 2 2" xfId="6358" xr:uid="{00000000-0005-0000-0000-0000C41D0000}"/>
    <cellStyle name="Normal 2 8 5 2 3 2 2 2" xfId="9708" xr:uid="{00000000-0005-0000-0000-0000C51D0000}"/>
    <cellStyle name="Normal 2 8 5 2 3 2 3" xfId="11383" xr:uid="{00000000-0005-0000-0000-0000C61D0000}"/>
    <cellStyle name="Normal 2 8 5 2 3 2 4" xfId="8033" xr:uid="{00000000-0005-0000-0000-0000C71D0000}"/>
    <cellStyle name="Normal 2 8 5 2 3 3" xfId="5391" xr:uid="{00000000-0005-0000-0000-0000C81D0000}"/>
    <cellStyle name="Normal 2 8 5 2 3 3 2" xfId="8741" xr:uid="{00000000-0005-0000-0000-0000C91D0000}"/>
    <cellStyle name="Normal 2 8 5 2 3 4" xfId="10416" xr:uid="{00000000-0005-0000-0000-0000CA1D0000}"/>
    <cellStyle name="Normal 2 8 5 2 3 5" xfId="7066" xr:uid="{00000000-0005-0000-0000-0000CB1D0000}"/>
    <cellStyle name="Normal 2 8 5 2 4" xfId="3952" xr:uid="{00000000-0005-0000-0000-0000CC1D0000}"/>
    <cellStyle name="Normal 2 8 5 2 4 2" xfId="5627" xr:uid="{00000000-0005-0000-0000-0000CD1D0000}"/>
    <cellStyle name="Normal 2 8 5 2 4 2 2" xfId="8977" xr:uid="{00000000-0005-0000-0000-0000CE1D0000}"/>
    <cellStyle name="Normal 2 8 5 2 4 3" xfId="10652" xr:uid="{00000000-0005-0000-0000-0000CF1D0000}"/>
    <cellStyle name="Normal 2 8 5 2 4 4" xfId="7302" xr:uid="{00000000-0005-0000-0000-0000D01D0000}"/>
    <cellStyle name="Normal 2 8 5 2 5" xfId="4211" xr:uid="{00000000-0005-0000-0000-0000D11D0000}"/>
    <cellStyle name="Normal 2 8 5 2 5 2" xfId="5886" xr:uid="{00000000-0005-0000-0000-0000D21D0000}"/>
    <cellStyle name="Normal 2 8 5 2 5 2 2" xfId="9236" xr:uid="{00000000-0005-0000-0000-0000D31D0000}"/>
    <cellStyle name="Normal 2 8 5 2 5 3" xfId="10911" xr:uid="{00000000-0005-0000-0000-0000D41D0000}"/>
    <cellStyle name="Normal 2 8 5 2 5 4" xfId="7561" xr:uid="{00000000-0005-0000-0000-0000D51D0000}"/>
    <cellStyle name="Normal 2 8 5 2 6" xfId="4919" xr:uid="{00000000-0005-0000-0000-0000D61D0000}"/>
    <cellStyle name="Normal 2 8 5 2 6 2" xfId="8269" xr:uid="{00000000-0005-0000-0000-0000D71D0000}"/>
    <cellStyle name="Normal 2 8 5 2 7" xfId="9944" xr:uid="{00000000-0005-0000-0000-0000D81D0000}"/>
    <cellStyle name="Normal 2 8 5 2 8" xfId="6594" xr:uid="{00000000-0005-0000-0000-0000D91D0000}"/>
    <cellStyle name="Normal 2 8 5 3" xfId="3363" xr:uid="{00000000-0005-0000-0000-0000DA1D0000}"/>
    <cellStyle name="Normal 2 8 5 3 2" xfId="4329" xr:uid="{00000000-0005-0000-0000-0000DB1D0000}"/>
    <cellStyle name="Normal 2 8 5 3 2 2" xfId="6004" xr:uid="{00000000-0005-0000-0000-0000DC1D0000}"/>
    <cellStyle name="Normal 2 8 5 3 2 2 2" xfId="9354" xr:uid="{00000000-0005-0000-0000-0000DD1D0000}"/>
    <cellStyle name="Normal 2 8 5 3 2 3" xfId="11029" xr:uid="{00000000-0005-0000-0000-0000DE1D0000}"/>
    <cellStyle name="Normal 2 8 5 3 2 4" xfId="7679" xr:uid="{00000000-0005-0000-0000-0000DF1D0000}"/>
    <cellStyle name="Normal 2 8 5 3 3" xfId="5037" xr:uid="{00000000-0005-0000-0000-0000E01D0000}"/>
    <cellStyle name="Normal 2 8 5 3 3 2" xfId="8387" xr:uid="{00000000-0005-0000-0000-0000E11D0000}"/>
    <cellStyle name="Normal 2 8 5 3 4" xfId="10062" xr:uid="{00000000-0005-0000-0000-0000E21D0000}"/>
    <cellStyle name="Normal 2 8 5 3 5" xfId="6712" xr:uid="{00000000-0005-0000-0000-0000E31D0000}"/>
    <cellStyle name="Normal 2 8 5 4" xfId="3598" xr:uid="{00000000-0005-0000-0000-0000E41D0000}"/>
    <cellStyle name="Normal 2 8 5 4 2" xfId="4565" xr:uid="{00000000-0005-0000-0000-0000E51D0000}"/>
    <cellStyle name="Normal 2 8 5 4 2 2" xfId="6240" xr:uid="{00000000-0005-0000-0000-0000E61D0000}"/>
    <cellStyle name="Normal 2 8 5 4 2 2 2" xfId="9590" xr:uid="{00000000-0005-0000-0000-0000E71D0000}"/>
    <cellStyle name="Normal 2 8 5 4 2 3" xfId="11265" xr:uid="{00000000-0005-0000-0000-0000E81D0000}"/>
    <cellStyle name="Normal 2 8 5 4 2 4" xfId="7915" xr:uid="{00000000-0005-0000-0000-0000E91D0000}"/>
    <cellStyle name="Normal 2 8 5 4 3" xfId="5273" xr:uid="{00000000-0005-0000-0000-0000EA1D0000}"/>
    <cellStyle name="Normal 2 8 5 4 3 2" xfId="8623" xr:uid="{00000000-0005-0000-0000-0000EB1D0000}"/>
    <cellStyle name="Normal 2 8 5 4 4" xfId="10298" xr:uid="{00000000-0005-0000-0000-0000EC1D0000}"/>
    <cellStyle name="Normal 2 8 5 4 5" xfId="6948" xr:uid="{00000000-0005-0000-0000-0000ED1D0000}"/>
    <cellStyle name="Normal 2 8 5 5" xfId="3834" xr:uid="{00000000-0005-0000-0000-0000EE1D0000}"/>
    <cellStyle name="Normal 2 8 5 5 2" xfId="5509" xr:uid="{00000000-0005-0000-0000-0000EF1D0000}"/>
    <cellStyle name="Normal 2 8 5 5 2 2" xfId="8859" xr:uid="{00000000-0005-0000-0000-0000F01D0000}"/>
    <cellStyle name="Normal 2 8 5 5 3" xfId="10534" xr:uid="{00000000-0005-0000-0000-0000F11D0000}"/>
    <cellStyle name="Normal 2 8 5 5 4" xfId="7184" xr:uid="{00000000-0005-0000-0000-0000F21D0000}"/>
    <cellStyle name="Normal 2 8 5 6" xfId="4093" xr:uid="{00000000-0005-0000-0000-0000F31D0000}"/>
    <cellStyle name="Normal 2 8 5 6 2" xfId="5768" xr:uid="{00000000-0005-0000-0000-0000F41D0000}"/>
    <cellStyle name="Normal 2 8 5 6 2 2" xfId="9118" xr:uid="{00000000-0005-0000-0000-0000F51D0000}"/>
    <cellStyle name="Normal 2 8 5 6 3" xfId="10793" xr:uid="{00000000-0005-0000-0000-0000F61D0000}"/>
    <cellStyle name="Normal 2 8 5 6 4" xfId="7443" xr:uid="{00000000-0005-0000-0000-0000F71D0000}"/>
    <cellStyle name="Normal 2 8 5 7" xfId="4801" xr:uid="{00000000-0005-0000-0000-0000F81D0000}"/>
    <cellStyle name="Normal 2 8 5 7 2" xfId="8151" xr:uid="{00000000-0005-0000-0000-0000F91D0000}"/>
    <cellStyle name="Normal 2 8 5 8" xfId="9826" xr:uid="{00000000-0005-0000-0000-0000FA1D0000}"/>
    <cellStyle name="Normal 2 8 5 9" xfId="6476" xr:uid="{00000000-0005-0000-0000-0000FB1D0000}"/>
    <cellStyle name="Normal 2 8 6" xfId="3151" xr:uid="{00000000-0005-0000-0000-0000FC1D0000}"/>
    <cellStyle name="Normal 2 8 6 2" xfId="3269" xr:uid="{00000000-0005-0000-0000-0000FD1D0000}"/>
    <cellStyle name="Normal 2 8 6 2 2" xfId="3505" xr:uid="{00000000-0005-0000-0000-0000FE1D0000}"/>
    <cellStyle name="Normal 2 8 6 2 2 2" xfId="4471" xr:uid="{00000000-0005-0000-0000-0000FF1D0000}"/>
    <cellStyle name="Normal 2 8 6 2 2 2 2" xfId="6146" xr:uid="{00000000-0005-0000-0000-0000001E0000}"/>
    <cellStyle name="Normal 2 8 6 2 2 2 2 2" xfId="9496" xr:uid="{00000000-0005-0000-0000-0000011E0000}"/>
    <cellStyle name="Normal 2 8 6 2 2 2 3" xfId="11171" xr:uid="{00000000-0005-0000-0000-0000021E0000}"/>
    <cellStyle name="Normal 2 8 6 2 2 2 4" xfId="7821" xr:uid="{00000000-0005-0000-0000-0000031E0000}"/>
    <cellStyle name="Normal 2 8 6 2 2 3" xfId="5179" xr:uid="{00000000-0005-0000-0000-0000041E0000}"/>
    <cellStyle name="Normal 2 8 6 2 2 3 2" xfId="8529" xr:uid="{00000000-0005-0000-0000-0000051E0000}"/>
    <cellStyle name="Normal 2 8 6 2 2 4" xfId="10204" xr:uid="{00000000-0005-0000-0000-0000061E0000}"/>
    <cellStyle name="Normal 2 8 6 2 2 5" xfId="6854" xr:uid="{00000000-0005-0000-0000-0000071E0000}"/>
    <cellStyle name="Normal 2 8 6 2 3" xfId="3740" xr:uid="{00000000-0005-0000-0000-0000081E0000}"/>
    <cellStyle name="Normal 2 8 6 2 3 2" xfId="4707" xr:uid="{00000000-0005-0000-0000-0000091E0000}"/>
    <cellStyle name="Normal 2 8 6 2 3 2 2" xfId="6382" xr:uid="{00000000-0005-0000-0000-00000A1E0000}"/>
    <cellStyle name="Normal 2 8 6 2 3 2 2 2" xfId="9732" xr:uid="{00000000-0005-0000-0000-00000B1E0000}"/>
    <cellStyle name="Normal 2 8 6 2 3 2 3" xfId="11407" xr:uid="{00000000-0005-0000-0000-00000C1E0000}"/>
    <cellStyle name="Normal 2 8 6 2 3 2 4" xfId="8057" xr:uid="{00000000-0005-0000-0000-00000D1E0000}"/>
    <cellStyle name="Normal 2 8 6 2 3 3" xfId="5415" xr:uid="{00000000-0005-0000-0000-00000E1E0000}"/>
    <cellStyle name="Normal 2 8 6 2 3 3 2" xfId="8765" xr:uid="{00000000-0005-0000-0000-00000F1E0000}"/>
    <cellStyle name="Normal 2 8 6 2 3 4" xfId="10440" xr:uid="{00000000-0005-0000-0000-0000101E0000}"/>
    <cellStyle name="Normal 2 8 6 2 3 5" xfId="7090" xr:uid="{00000000-0005-0000-0000-0000111E0000}"/>
    <cellStyle name="Normal 2 8 6 2 4" xfId="3976" xr:uid="{00000000-0005-0000-0000-0000121E0000}"/>
    <cellStyle name="Normal 2 8 6 2 4 2" xfId="5651" xr:uid="{00000000-0005-0000-0000-0000131E0000}"/>
    <cellStyle name="Normal 2 8 6 2 4 2 2" xfId="9001" xr:uid="{00000000-0005-0000-0000-0000141E0000}"/>
    <cellStyle name="Normal 2 8 6 2 4 3" xfId="10676" xr:uid="{00000000-0005-0000-0000-0000151E0000}"/>
    <cellStyle name="Normal 2 8 6 2 4 4" xfId="7326" xr:uid="{00000000-0005-0000-0000-0000161E0000}"/>
    <cellStyle name="Normal 2 8 6 2 5" xfId="4235" xr:uid="{00000000-0005-0000-0000-0000171E0000}"/>
    <cellStyle name="Normal 2 8 6 2 5 2" xfId="5910" xr:uid="{00000000-0005-0000-0000-0000181E0000}"/>
    <cellStyle name="Normal 2 8 6 2 5 2 2" xfId="9260" xr:uid="{00000000-0005-0000-0000-0000191E0000}"/>
    <cellStyle name="Normal 2 8 6 2 5 3" xfId="10935" xr:uid="{00000000-0005-0000-0000-00001A1E0000}"/>
    <cellStyle name="Normal 2 8 6 2 5 4" xfId="7585" xr:uid="{00000000-0005-0000-0000-00001B1E0000}"/>
    <cellStyle name="Normal 2 8 6 2 6" xfId="4943" xr:uid="{00000000-0005-0000-0000-00001C1E0000}"/>
    <cellStyle name="Normal 2 8 6 2 6 2" xfId="8293" xr:uid="{00000000-0005-0000-0000-00001D1E0000}"/>
    <cellStyle name="Normal 2 8 6 2 7" xfId="9968" xr:uid="{00000000-0005-0000-0000-00001E1E0000}"/>
    <cellStyle name="Normal 2 8 6 2 8" xfId="6618" xr:uid="{00000000-0005-0000-0000-00001F1E0000}"/>
    <cellStyle name="Normal 2 8 6 3" xfId="3387" xr:uid="{00000000-0005-0000-0000-0000201E0000}"/>
    <cellStyle name="Normal 2 8 6 3 2" xfId="4353" xr:uid="{00000000-0005-0000-0000-0000211E0000}"/>
    <cellStyle name="Normal 2 8 6 3 2 2" xfId="6028" xr:uid="{00000000-0005-0000-0000-0000221E0000}"/>
    <cellStyle name="Normal 2 8 6 3 2 2 2" xfId="9378" xr:uid="{00000000-0005-0000-0000-0000231E0000}"/>
    <cellStyle name="Normal 2 8 6 3 2 3" xfId="11053" xr:uid="{00000000-0005-0000-0000-0000241E0000}"/>
    <cellStyle name="Normal 2 8 6 3 2 4" xfId="7703" xr:uid="{00000000-0005-0000-0000-0000251E0000}"/>
    <cellStyle name="Normal 2 8 6 3 3" xfId="5061" xr:uid="{00000000-0005-0000-0000-0000261E0000}"/>
    <cellStyle name="Normal 2 8 6 3 3 2" xfId="8411" xr:uid="{00000000-0005-0000-0000-0000271E0000}"/>
    <cellStyle name="Normal 2 8 6 3 4" xfId="10086" xr:uid="{00000000-0005-0000-0000-0000281E0000}"/>
    <cellStyle name="Normal 2 8 6 3 5" xfId="6736" xr:uid="{00000000-0005-0000-0000-0000291E0000}"/>
    <cellStyle name="Normal 2 8 6 4" xfId="3622" xr:uid="{00000000-0005-0000-0000-00002A1E0000}"/>
    <cellStyle name="Normal 2 8 6 4 2" xfId="4589" xr:uid="{00000000-0005-0000-0000-00002B1E0000}"/>
    <cellStyle name="Normal 2 8 6 4 2 2" xfId="6264" xr:uid="{00000000-0005-0000-0000-00002C1E0000}"/>
    <cellStyle name="Normal 2 8 6 4 2 2 2" xfId="9614" xr:uid="{00000000-0005-0000-0000-00002D1E0000}"/>
    <cellStyle name="Normal 2 8 6 4 2 3" xfId="11289" xr:uid="{00000000-0005-0000-0000-00002E1E0000}"/>
    <cellStyle name="Normal 2 8 6 4 2 4" xfId="7939" xr:uid="{00000000-0005-0000-0000-00002F1E0000}"/>
    <cellStyle name="Normal 2 8 6 4 3" xfId="5297" xr:uid="{00000000-0005-0000-0000-0000301E0000}"/>
    <cellStyle name="Normal 2 8 6 4 3 2" xfId="8647" xr:uid="{00000000-0005-0000-0000-0000311E0000}"/>
    <cellStyle name="Normal 2 8 6 4 4" xfId="10322" xr:uid="{00000000-0005-0000-0000-0000321E0000}"/>
    <cellStyle name="Normal 2 8 6 4 5" xfId="6972" xr:uid="{00000000-0005-0000-0000-0000331E0000}"/>
    <cellStyle name="Normal 2 8 6 5" xfId="3858" xr:uid="{00000000-0005-0000-0000-0000341E0000}"/>
    <cellStyle name="Normal 2 8 6 5 2" xfId="5533" xr:uid="{00000000-0005-0000-0000-0000351E0000}"/>
    <cellStyle name="Normal 2 8 6 5 2 2" xfId="8883" xr:uid="{00000000-0005-0000-0000-0000361E0000}"/>
    <cellStyle name="Normal 2 8 6 5 3" xfId="10558" xr:uid="{00000000-0005-0000-0000-0000371E0000}"/>
    <cellStyle name="Normal 2 8 6 5 4" xfId="7208" xr:uid="{00000000-0005-0000-0000-0000381E0000}"/>
    <cellStyle name="Normal 2 8 6 6" xfId="4117" xr:uid="{00000000-0005-0000-0000-0000391E0000}"/>
    <cellStyle name="Normal 2 8 6 6 2" xfId="5792" xr:uid="{00000000-0005-0000-0000-00003A1E0000}"/>
    <cellStyle name="Normal 2 8 6 6 2 2" xfId="9142" xr:uid="{00000000-0005-0000-0000-00003B1E0000}"/>
    <cellStyle name="Normal 2 8 6 6 3" xfId="10817" xr:uid="{00000000-0005-0000-0000-00003C1E0000}"/>
    <cellStyle name="Normal 2 8 6 6 4" xfId="7467" xr:uid="{00000000-0005-0000-0000-00003D1E0000}"/>
    <cellStyle name="Normal 2 8 6 7" xfId="4825" xr:uid="{00000000-0005-0000-0000-00003E1E0000}"/>
    <cellStyle name="Normal 2 8 6 7 2" xfId="8175" xr:uid="{00000000-0005-0000-0000-00003F1E0000}"/>
    <cellStyle name="Normal 2 8 6 8" xfId="9850" xr:uid="{00000000-0005-0000-0000-0000401E0000}"/>
    <cellStyle name="Normal 2 8 6 9" xfId="6500" xr:uid="{00000000-0005-0000-0000-0000411E0000}"/>
    <cellStyle name="Normal 2 8 7" xfId="3175" xr:uid="{00000000-0005-0000-0000-0000421E0000}"/>
    <cellStyle name="Normal 2 8 7 2" xfId="3293" xr:uid="{00000000-0005-0000-0000-0000431E0000}"/>
    <cellStyle name="Normal 2 8 7 2 2" xfId="3529" xr:uid="{00000000-0005-0000-0000-0000441E0000}"/>
    <cellStyle name="Normal 2 8 7 2 2 2" xfId="4495" xr:uid="{00000000-0005-0000-0000-0000451E0000}"/>
    <cellStyle name="Normal 2 8 7 2 2 2 2" xfId="6170" xr:uid="{00000000-0005-0000-0000-0000461E0000}"/>
    <cellStyle name="Normal 2 8 7 2 2 2 2 2" xfId="9520" xr:uid="{00000000-0005-0000-0000-0000471E0000}"/>
    <cellStyle name="Normal 2 8 7 2 2 2 3" xfId="11195" xr:uid="{00000000-0005-0000-0000-0000481E0000}"/>
    <cellStyle name="Normal 2 8 7 2 2 2 4" xfId="7845" xr:uid="{00000000-0005-0000-0000-0000491E0000}"/>
    <cellStyle name="Normal 2 8 7 2 2 3" xfId="5203" xr:uid="{00000000-0005-0000-0000-00004A1E0000}"/>
    <cellStyle name="Normal 2 8 7 2 2 3 2" xfId="8553" xr:uid="{00000000-0005-0000-0000-00004B1E0000}"/>
    <cellStyle name="Normal 2 8 7 2 2 4" xfId="10228" xr:uid="{00000000-0005-0000-0000-00004C1E0000}"/>
    <cellStyle name="Normal 2 8 7 2 2 5" xfId="6878" xr:uid="{00000000-0005-0000-0000-00004D1E0000}"/>
    <cellStyle name="Normal 2 8 7 2 3" xfId="3764" xr:uid="{00000000-0005-0000-0000-00004E1E0000}"/>
    <cellStyle name="Normal 2 8 7 2 3 2" xfId="4731" xr:uid="{00000000-0005-0000-0000-00004F1E0000}"/>
    <cellStyle name="Normal 2 8 7 2 3 2 2" xfId="6406" xr:uid="{00000000-0005-0000-0000-0000501E0000}"/>
    <cellStyle name="Normal 2 8 7 2 3 2 2 2" xfId="9756" xr:uid="{00000000-0005-0000-0000-0000511E0000}"/>
    <cellStyle name="Normal 2 8 7 2 3 2 3" xfId="11431" xr:uid="{00000000-0005-0000-0000-0000521E0000}"/>
    <cellStyle name="Normal 2 8 7 2 3 2 4" xfId="8081" xr:uid="{00000000-0005-0000-0000-0000531E0000}"/>
    <cellStyle name="Normal 2 8 7 2 3 3" xfId="5439" xr:uid="{00000000-0005-0000-0000-0000541E0000}"/>
    <cellStyle name="Normal 2 8 7 2 3 3 2" xfId="8789" xr:uid="{00000000-0005-0000-0000-0000551E0000}"/>
    <cellStyle name="Normal 2 8 7 2 3 4" xfId="10464" xr:uid="{00000000-0005-0000-0000-0000561E0000}"/>
    <cellStyle name="Normal 2 8 7 2 3 5" xfId="7114" xr:uid="{00000000-0005-0000-0000-0000571E0000}"/>
    <cellStyle name="Normal 2 8 7 2 4" xfId="4000" xr:uid="{00000000-0005-0000-0000-0000581E0000}"/>
    <cellStyle name="Normal 2 8 7 2 4 2" xfId="5675" xr:uid="{00000000-0005-0000-0000-0000591E0000}"/>
    <cellStyle name="Normal 2 8 7 2 4 2 2" xfId="9025" xr:uid="{00000000-0005-0000-0000-00005A1E0000}"/>
    <cellStyle name="Normal 2 8 7 2 4 3" xfId="10700" xr:uid="{00000000-0005-0000-0000-00005B1E0000}"/>
    <cellStyle name="Normal 2 8 7 2 4 4" xfId="7350" xr:uid="{00000000-0005-0000-0000-00005C1E0000}"/>
    <cellStyle name="Normal 2 8 7 2 5" xfId="4259" xr:uid="{00000000-0005-0000-0000-00005D1E0000}"/>
    <cellStyle name="Normal 2 8 7 2 5 2" xfId="5934" xr:uid="{00000000-0005-0000-0000-00005E1E0000}"/>
    <cellStyle name="Normal 2 8 7 2 5 2 2" xfId="9284" xr:uid="{00000000-0005-0000-0000-00005F1E0000}"/>
    <cellStyle name="Normal 2 8 7 2 5 3" xfId="10959" xr:uid="{00000000-0005-0000-0000-0000601E0000}"/>
    <cellStyle name="Normal 2 8 7 2 5 4" xfId="7609" xr:uid="{00000000-0005-0000-0000-0000611E0000}"/>
    <cellStyle name="Normal 2 8 7 2 6" xfId="4967" xr:uid="{00000000-0005-0000-0000-0000621E0000}"/>
    <cellStyle name="Normal 2 8 7 2 6 2" xfId="8317" xr:uid="{00000000-0005-0000-0000-0000631E0000}"/>
    <cellStyle name="Normal 2 8 7 2 7" xfId="9992" xr:uid="{00000000-0005-0000-0000-0000641E0000}"/>
    <cellStyle name="Normal 2 8 7 2 8" xfId="6642" xr:uid="{00000000-0005-0000-0000-0000651E0000}"/>
    <cellStyle name="Normal 2 8 7 3" xfId="3411" xr:uid="{00000000-0005-0000-0000-0000661E0000}"/>
    <cellStyle name="Normal 2 8 7 3 2" xfId="4377" xr:uid="{00000000-0005-0000-0000-0000671E0000}"/>
    <cellStyle name="Normal 2 8 7 3 2 2" xfId="6052" xr:uid="{00000000-0005-0000-0000-0000681E0000}"/>
    <cellStyle name="Normal 2 8 7 3 2 2 2" xfId="9402" xr:uid="{00000000-0005-0000-0000-0000691E0000}"/>
    <cellStyle name="Normal 2 8 7 3 2 3" xfId="11077" xr:uid="{00000000-0005-0000-0000-00006A1E0000}"/>
    <cellStyle name="Normal 2 8 7 3 2 4" xfId="7727" xr:uid="{00000000-0005-0000-0000-00006B1E0000}"/>
    <cellStyle name="Normal 2 8 7 3 3" xfId="5085" xr:uid="{00000000-0005-0000-0000-00006C1E0000}"/>
    <cellStyle name="Normal 2 8 7 3 3 2" xfId="8435" xr:uid="{00000000-0005-0000-0000-00006D1E0000}"/>
    <cellStyle name="Normal 2 8 7 3 4" xfId="10110" xr:uid="{00000000-0005-0000-0000-00006E1E0000}"/>
    <cellStyle name="Normal 2 8 7 3 5" xfId="6760" xr:uid="{00000000-0005-0000-0000-00006F1E0000}"/>
    <cellStyle name="Normal 2 8 7 4" xfId="3646" xr:uid="{00000000-0005-0000-0000-0000701E0000}"/>
    <cellStyle name="Normal 2 8 7 4 2" xfId="4613" xr:uid="{00000000-0005-0000-0000-0000711E0000}"/>
    <cellStyle name="Normal 2 8 7 4 2 2" xfId="6288" xr:uid="{00000000-0005-0000-0000-0000721E0000}"/>
    <cellStyle name="Normal 2 8 7 4 2 2 2" xfId="9638" xr:uid="{00000000-0005-0000-0000-0000731E0000}"/>
    <cellStyle name="Normal 2 8 7 4 2 3" xfId="11313" xr:uid="{00000000-0005-0000-0000-0000741E0000}"/>
    <cellStyle name="Normal 2 8 7 4 2 4" xfId="7963" xr:uid="{00000000-0005-0000-0000-0000751E0000}"/>
    <cellStyle name="Normal 2 8 7 4 3" xfId="5321" xr:uid="{00000000-0005-0000-0000-0000761E0000}"/>
    <cellStyle name="Normal 2 8 7 4 3 2" xfId="8671" xr:uid="{00000000-0005-0000-0000-0000771E0000}"/>
    <cellStyle name="Normal 2 8 7 4 4" xfId="10346" xr:uid="{00000000-0005-0000-0000-0000781E0000}"/>
    <cellStyle name="Normal 2 8 7 4 5" xfId="6996" xr:uid="{00000000-0005-0000-0000-0000791E0000}"/>
    <cellStyle name="Normal 2 8 7 5" xfId="3882" xr:uid="{00000000-0005-0000-0000-00007A1E0000}"/>
    <cellStyle name="Normal 2 8 7 5 2" xfId="5557" xr:uid="{00000000-0005-0000-0000-00007B1E0000}"/>
    <cellStyle name="Normal 2 8 7 5 2 2" xfId="8907" xr:uid="{00000000-0005-0000-0000-00007C1E0000}"/>
    <cellStyle name="Normal 2 8 7 5 3" xfId="10582" xr:uid="{00000000-0005-0000-0000-00007D1E0000}"/>
    <cellStyle name="Normal 2 8 7 5 4" xfId="7232" xr:uid="{00000000-0005-0000-0000-00007E1E0000}"/>
    <cellStyle name="Normal 2 8 7 6" xfId="4141" xr:uid="{00000000-0005-0000-0000-00007F1E0000}"/>
    <cellStyle name="Normal 2 8 7 6 2" xfId="5816" xr:uid="{00000000-0005-0000-0000-0000801E0000}"/>
    <cellStyle name="Normal 2 8 7 6 2 2" xfId="9166" xr:uid="{00000000-0005-0000-0000-0000811E0000}"/>
    <cellStyle name="Normal 2 8 7 6 3" xfId="10841" xr:uid="{00000000-0005-0000-0000-0000821E0000}"/>
    <cellStyle name="Normal 2 8 7 6 4" xfId="7491" xr:uid="{00000000-0005-0000-0000-0000831E0000}"/>
    <cellStyle name="Normal 2 8 7 7" xfId="4849" xr:uid="{00000000-0005-0000-0000-0000841E0000}"/>
    <cellStyle name="Normal 2 8 7 7 2" xfId="8199" xr:uid="{00000000-0005-0000-0000-0000851E0000}"/>
    <cellStyle name="Normal 2 8 7 8" xfId="9874" xr:uid="{00000000-0005-0000-0000-0000861E0000}"/>
    <cellStyle name="Normal 2 8 7 9" xfId="6524" xr:uid="{00000000-0005-0000-0000-0000871E0000}"/>
    <cellStyle name="Normal 2 8 8" xfId="3199" xr:uid="{00000000-0005-0000-0000-0000881E0000}"/>
    <cellStyle name="Normal 2 8 8 2" xfId="3435" xr:uid="{00000000-0005-0000-0000-0000891E0000}"/>
    <cellStyle name="Normal 2 8 8 2 2" xfId="4401" xr:uid="{00000000-0005-0000-0000-00008A1E0000}"/>
    <cellStyle name="Normal 2 8 8 2 2 2" xfId="6076" xr:uid="{00000000-0005-0000-0000-00008B1E0000}"/>
    <cellStyle name="Normal 2 8 8 2 2 2 2" xfId="9426" xr:uid="{00000000-0005-0000-0000-00008C1E0000}"/>
    <cellStyle name="Normal 2 8 8 2 2 3" xfId="11101" xr:uid="{00000000-0005-0000-0000-00008D1E0000}"/>
    <cellStyle name="Normal 2 8 8 2 2 4" xfId="7751" xr:uid="{00000000-0005-0000-0000-00008E1E0000}"/>
    <cellStyle name="Normal 2 8 8 2 3" xfId="5109" xr:uid="{00000000-0005-0000-0000-00008F1E0000}"/>
    <cellStyle name="Normal 2 8 8 2 3 2" xfId="8459" xr:uid="{00000000-0005-0000-0000-0000901E0000}"/>
    <cellStyle name="Normal 2 8 8 2 4" xfId="10134" xr:uid="{00000000-0005-0000-0000-0000911E0000}"/>
    <cellStyle name="Normal 2 8 8 2 5" xfId="6784" xr:uid="{00000000-0005-0000-0000-0000921E0000}"/>
    <cellStyle name="Normal 2 8 8 3" xfId="3670" xr:uid="{00000000-0005-0000-0000-0000931E0000}"/>
    <cellStyle name="Normal 2 8 8 3 2" xfId="4637" xr:uid="{00000000-0005-0000-0000-0000941E0000}"/>
    <cellStyle name="Normal 2 8 8 3 2 2" xfId="6312" xr:uid="{00000000-0005-0000-0000-0000951E0000}"/>
    <cellStyle name="Normal 2 8 8 3 2 2 2" xfId="9662" xr:uid="{00000000-0005-0000-0000-0000961E0000}"/>
    <cellStyle name="Normal 2 8 8 3 2 3" xfId="11337" xr:uid="{00000000-0005-0000-0000-0000971E0000}"/>
    <cellStyle name="Normal 2 8 8 3 2 4" xfId="7987" xr:uid="{00000000-0005-0000-0000-0000981E0000}"/>
    <cellStyle name="Normal 2 8 8 3 3" xfId="5345" xr:uid="{00000000-0005-0000-0000-0000991E0000}"/>
    <cellStyle name="Normal 2 8 8 3 3 2" xfId="8695" xr:uid="{00000000-0005-0000-0000-00009A1E0000}"/>
    <cellStyle name="Normal 2 8 8 3 4" xfId="10370" xr:uid="{00000000-0005-0000-0000-00009B1E0000}"/>
    <cellStyle name="Normal 2 8 8 3 5" xfId="7020" xr:uid="{00000000-0005-0000-0000-00009C1E0000}"/>
    <cellStyle name="Normal 2 8 8 4" xfId="3906" xr:uid="{00000000-0005-0000-0000-00009D1E0000}"/>
    <cellStyle name="Normal 2 8 8 4 2" xfId="5581" xr:uid="{00000000-0005-0000-0000-00009E1E0000}"/>
    <cellStyle name="Normal 2 8 8 4 2 2" xfId="8931" xr:uid="{00000000-0005-0000-0000-00009F1E0000}"/>
    <cellStyle name="Normal 2 8 8 4 3" xfId="10606" xr:uid="{00000000-0005-0000-0000-0000A01E0000}"/>
    <cellStyle name="Normal 2 8 8 4 4" xfId="7256" xr:uid="{00000000-0005-0000-0000-0000A11E0000}"/>
    <cellStyle name="Normal 2 8 8 5" xfId="4165" xr:uid="{00000000-0005-0000-0000-0000A21E0000}"/>
    <cellStyle name="Normal 2 8 8 5 2" xfId="5840" xr:uid="{00000000-0005-0000-0000-0000A31E0000}"/>
    <cellStyle name="Normal 2 8 8 5 2 2" xfId="9190" xr:uid="{00000000-0005-0000-0000-0000A41E0000}"/>
    <cellStyle name="Normal 2 8 8 5 3" xfId="10865" xr:uid="{00000000-0005-0000-0000-0000A51E0000}"/>
    <cellStyle name="Normal 2 8 8 5 4" xfId="7515" xr:uid="{00000000-0005-0000-0000-0000A61E0000}"/>
    <cellStyle name="Normal 2 8 8 6" xfId="4873" xr:uid="{00000000-0005-0000-0000-0000A71E0000}"/>
    <cellStyle name="Normal 2 8 8 6 2" xfId="8223" xr:uid="{00000000-0005-0000-0000-0000A81E0000}"/>
    <cellStyle name="Normal 2 8 8 7" xfId="9898" xr:uid="{00000000-0005-0000-0000-0000A91E0000}"/>
    <cellStyle name="Normal 2 8 8 8" xfId="6548" xr:uid="{00000000-0005-0000-0000-0000AA1E0000}"/>
    <cellStyle name="Normal 2 8 9" xfId="3317" xr:uid="{00000000-0005-0000-0000-0000AB1E0000}"/>
    <cellStyle name="Normal 2 8 9 2" xfId="4283" xr:uid="{00000000-0005-0000-0000-0000AC1E0000}"/>
    <cellStyle name="Normal 2 8 9 2 2" xfId="5958" xr:uid="{00000000-0005-0000-0000-0000AD1E0000}"/>
    <cellStyle name="Normal 2 8 9 2 2 2" xfId="9308" xr:uid="{00000000-0005-0000-0000-0000AE1E0000}"/>
    <cellStyle name="Normal 2 8 9 2 3" xfId="10983" xr:uid="{00000000-0005-0000-0000-0000AF1E0000}"/>
    <cellStyle name="Normal 2 8 9 2 4" xfId="7633" xr:uid="{00000000-0005-0000-0000-0000B01E0000}"/>
    <cellStyle name="Normal 2 8 9 3" xfId="4991" xr:uid="{00000000-0005-0000-0000-0000B11E0000}"/>
    <cellStyle name="Normal 2 8 9 3 2" xfId="8341" xr:uid="{00000000-0005-0000-0000-0000B21E0000}"/>
    <cellStyle name="Normal 2 8 9 4" xfId="10016" xr:uid="{00000000-0005-0000-0000-0000B31E0000}"/>
    <cellStyle name="Normal 2 8 9 5" xfId="6666" xr:uid="{00000000-0005-0000-0000-0000B41E0000}"/>
    <cellStyle name="Normal 2 9" xfId="2132" xr:uid="{00000000-0005-0000-0000-0000D4080000}"/>
    <cellStyle name="Normal 2 9 2" xfId="2653" xr:uid="{00000000-0005-0000-0000-0000D5080000}"/>
    <cellStyle name="Normal 2 9 2 2" xfId="2848" xr:uid="{00000000-0005-0000-0000-0000D5080000}"/>
    <cellStyle name="Normal 2 9 3" xfId="2810" xr:uid="{00000000-0005-0000-0000-0000D4080000}"/>
    <cellStyle name="Normal 20" xfId="2654" xr:uid="{00000000-0005-0000-0000-0000D6080000}"/>
    <cellStyle name="Normal 21" xfId="2433" xr:uid="{00000000-0005-0000-0000-0000D7080000}"/>
    <cellStyle name="Normal 21 2" xfId="2741" xr:uid="{00000000-0005-0000-0000-0000D8080000}"/>
    <cellStyle name="Normal 21 3" xfId="11682" xr:uid="{00000000-0005-0000-0000-0000B61E0000}"/>
    <cellStyle name="Normal 22" xfId="2742" xr:uid="{00000000-0005-0000-0000-0000D9080000}"/>
    <cellStyle name="Normal 22 2" xfId="2744" xr:uid="{00000000-0005-0000-0000-0000DA080000}"/>
    <cellStyle name="Normal 22 3" xfId="2743" xr:uid="{00000000-0005-0000-0000-0000DB080000}"/>
    <cellStyle name="Normal 23" xfId="36" xr:uid="{28236BA8-6923-4F7B-B855-CE634D6AFECB}"/>
    <cellStyle name="Normal 23 2" xfId="47" xr:uid="{3C801C57-0DE2-4EF6-9161-A0C693D223A5}"/>
    <cellStyle name="Normal 23 3" xfId="2858" xr:uid="{00000000-0005-0000-0000-00004D0B0000}"/>
    <cellStyle name="Normal 24" xfId="46" xr:uid="{4DBF80F2-64C1-475D-B29D-2A295DED5365}"/>
    <cellStyle name="Normal 25" xfId="42" xr:uid="{8DF037B6-A6E4-42AD-91F6-990BE630ED7C}"/>
    <cellStyle name="Normal 26" xfId="2857" xr:uid="{00000000-0005-0000-0000-00004A0B0000}"/>
    <cellStyle name="Normal 26 2" xfId="2859" xr:uid="{00000000-0005-0000-0000-00004A0B0000}"/>
    <cellStyle name="Normal 27" xfId="2860" xr:uid="{00000000-0005-0000-0000-0000520B0000}"/>
    <cellStyle name="Normal 3" xfId="28" xr:uid="{8BB7CC29-014B-48A3-A846-CA073A4EF6D8}"/>
    <cellStyle name="Normal 3 2" xfId="6" xr:uid="{4F9122D5-2A1B-492C-AD63-098185310D99}"/>
    <cellStyle name="Normal 3 2 2" xfId="48" xr:uid="{727F2AFE-D008-4060-AA6C-A76D3D6390E7}"/>
    <cellStyle name="Normal 3 2 2 2" xfId="39" xr:uid="{E42822D6-120C-4647-A064-E342B127BB8B}"/>
    <cellStyle name="Normal 3 2 2 2 2" xfId="2425" xr:uid="{00000000-0005-0000-0000-0000E0080000}"/>
    <cellStyle name="Normal 3 2 2 3" xfId="30" xr:uid="{454DB117-B010-419D-AC68-79C4BB3694F9}"/>
    <cellStyle name="Normal 3 2 3" xfId="2133" xr:uid="{00000000-0005-0000-0000-0000E2080000}"/>
    <cellStyle name="Normal 3 2 3 2" xfId="2426" xr:uid="{00000000-0005-0000-0000-0000E3080000}"/>
    <cellStyle name="Normal 3 2 4" xfId="2427" xr:uid="{00000000-0005-0000-0000-0000E4080000}"/>
    <cellStyle name="Normal 3 3" xfId="294" xr:uid="{00000000-0005-0000-0000-0000E5080000}"/>
    <cellStyle name="Normal 3 3 2" xfId="348" xr:uid="{00000000-0005-0000-0000-0000E6080000}"/>
    <cellStyle name="Normal 3 3 3" xfId="2655" xr:uid="{00000000-0005-0000-0000-0000E7080000}"/>
    <cellStyle name="Normal 3 3 4" xfId="12099" xr:uid="{00000000-0005-0000-0000-0000F10A0000}"/>
    <cellStyle name="Normal 3 4" xfId="341" xr:uid="{00000000-0005-0000-0000-0000E8080000}"/>
    <cellStyle name="Normal 3 5" xfId="2134" xr:uid="{00000000-0005-0000-0000-0000E9080000}"/>
    <cellStyle name="Normal 3 6" xfId="2135" xr:uid="{00000000-0005-0000-0000-0000EA080000}"/>
    <cellStyle name="Normal 3 7" xfId="2136" xr:uid="{00000000-0005-0000-0000-0000EB080000}"/>
    <cellStyle name="Normal 3 8" xfId="2656" xr:uid="{00000000-0005-0000-0000-0000EC080000}"/>
    <cellStyle name="Normal 4" xfId="12" xr:uid="{C195AC3D-0958-487B-8DF7-6297E2B87518}"/>
    <cellStyle name="Normal 4 2" xfId="37" xr:uid="{EA61E649-EB44-4435-B9EA-28994BFBB51B}"/>
    <cellStyle name="Normal 4 2 2" xfId="2138" xr:uid="{00000000-0005-0000-0000-0000EF080000}"/>
    <cellStyle name="Normal 4 2 2 2" xfId="45" xr:uid="{CC597BB5-98B1-42FD-858C-D75042C1C0A0}"/>
    <cellStyle name="Normal 4 2 3" xfId="2139" xr:uid="{00000000-0005-0000-0000-0000F1080000}"/>
    <cellStyle name="Normal 4 2 4" xfId="2140" xr:uid="{00000000-0005-0000-0000-0000F2080000}"/>
    <cellStyle name="Normal 4 2 4 10" xfId="4026" xr:uid="{00000000-0005-0000-0000-0000C61E0000}"/>
    <cellStyle name="Normal 4 2 4 10 2" xfId="5701" xr:uid="{00000000-0005-0000-0000-0000C71E0000}"/>
    <cellStyle name="Normal 4 2 4 10 2 2" xfId="9051" xr:uid="{00000000-0005-0000-0000-0000C81E0000}"/>
    <cellStyle name="Normal 4 2 4 10 3" xfId="10726" xr:uid="{00000000-0005-0000-0000-0000C91E0000}"/>
    <cellStyle name="Normal 4 2 4 10 4" xfId="7376" xr:uid="{00000000-0005-0000-0000-0000CA1E0000}"/>
    <cellStyle name="Normal 4 2 4 11" xfId="4757" xr:uid="{00000000-0005-0000-0000-0000CB1E0000}"/>
    <cellStyle name="Normal 4 2 4 11 2" xfId="8107" xr:uid="{00000000-0005-0000-0000-0000CC1E0000}"/>
    <cellStyle name="Normal 4 2 4 12" xfId="9782" xr:uid="{00000000-0005-0000-0000-0000CD1E0000}"/>
    <cellStyle name="Normal 4 2 4 13" xfId="6432" xr:uid="{00000000-0005-0000-0000-0000CE1E0000}"/>
    <cellStyle name="Normal 4 2 4 14" xfId="12239" xr:uid="{00000000-0005-0000-0000-0000C51E0000}"/>
    <cellStyle name="Normal 4 2 4 2" xfId="3107" xr:uid="{00000000-0005-0000-0000-0000CF1E0000}"/>
    <cellStyle name="Normal 4 2 4 2 2" xfId="3224" xr:uid="{00000000-0005-0000-0000-0000D01E0000}"/>
    <cellStyle name="Normal 4 2 4 2 2 2" xfId="3460" xr:uid="{00000000-0005-0000-0000-0000D11E0000}"/>
    <cellStyle name="Normal 4 2 4 2 2 2 2" xfId="4426" xr:uid="{00000000-0005-0000-0000-0000D21E0000}"/>
    <cellStyle name="Normal 4 2 4 2 2 2 2 2" xfId="6101" xr:uid="{00000000-0005-0000-0000-0000D31E0000}"/>
    <cellStyle name="Normal 4 2 4 2 2 2 2 2 2" xfId="9451" xr:uid="{00000000-0005-0000-0000-0000D41E0000}"/>
    <cellStyle name="Normal 4 2 4 2 2 2 2 3" xfId="11126" xr:uid="{00000000-0005-0000-0000-0000D51E0000}"/>
    <cellStyle name="Normal 4 2 4 2 2 2 2 4" xfId="7776" xr:uid="{00000000-0005-0000-0000-0000D61E0000}"/>
    <cellStyle name="Normal 4 2 4 2 2 2 3" xfId="5134" xr:uid="{00000000-0005-0000-0000-0000D71E0000}"/>
    <cellStyle name="Normal 4 2 4 2 2 2 3 2" xfId="8484" xr:uid="{00000000-0005-0000-0000-0000D81E0000}"/>
    <cellStyle name="Normal 4 2 4 2 2 2 4" xfId="10159" xr:uid="{00000000-0005-0000-0000-0000D91E0000}"/>
    <cellStyle name="Normal 4 2 4 2 2 2 5" xfId="6809" xr:uid="{00000000-0005-0000-0000-0000DA1E0000}"/>
    <cellStyle name="Normal 4 2 4 2 2 3" xfId="3695" xr:uid="{00000000-0005-0000-0000-0000DB1E0000}"/>
    <cellStyle name="Normal 4 2 4 2 2 3 2" xfId="4662" xr:uid="{00000000-0005-0000-0000-0000DC1E0000}"/>
    <cellStyle name="Normal 4 2 4 2 2 3 2 2" xfId="6337" xr:uid="{00000000-0005-0000-0000-0000DD1E0000}"/>
    <cellStyle name="Normal 4 2 4 2 2 3 2 2 2" xfId="9687" xr:uid="{00000000-0005-0000-0000-0000DE1E0000}"/>
    <cellStyle name="Normal 4 2 4 2 2 3 2 3" xfId="11362" xr:uid="{00000000-0005-0000-0000-0000DF1E0000}"/>
    <cellStyle name="Normal 4 2 4 2 2 3 2 4" xfId="8012" xr:uid="{00000000-0005-0000-0000-0000E01E0000}"/>
    <cellStyle name="Normal 4 2 4 2 2 3 3" xfId="5370" xr:uid="{00000000-0005-0000-0000-0000E11E0000}"/>
    <cellStyle name="Normal 4 2 4 2 2 3 3 2" xfId="8720" xr:uid="{00000000-0005-0000-0000-0000E21E0000}"/>
    <cellStyle name="Normal 4 2 4 2 2 3 4" xfId="10395" xr:uid="{00000000-0005-0000-0000-0000E31E0000}"/>
    <cellStyle name="Normal 4 2 4 2 2 3 5" xfId="7045" xr:uid="{00000000-0005-0000-0000-0000E41E0000}"/>
    <cellStyle name="Normal 4 2 4 2 2 4" xfId="3931" xr:uid="{00000000-0005-0000-0000-0000E51E0000}"/>
    <cellStyle name="Normal 4 2 4 2 2 4 2" xfId="5606" xr:uid="{00000000-0005-0000-0000-0000E61E0000}"/>
    <cellStyle name="Normal 4 2 4 2 2 4 2 2" xfId="8956" xr:uid="{00000000-0005-0000-0000-0000E71E0000}"/>
    <cellStyle name="Normal 4 2 4 2 2 4 3" xfId="10631" xr:uid="{00000000-0005-0000-0000-0000E81E0000}"/>
    <cellStyle name="Normal 4 2 4 2 2 4 4" xfId="7281" xr:uid="{00000000-0005-0000-0000-0000E91E0000}"/>
    <cellStyle name="Normal 4 2 4 2 2 5" xfId="4190" xr:uid="{00000000-0005-0000-0000-0000EA1E0000}"/>
    <cellStyle name="Normal 4 2 4 2 2 5 2" xfId="5865" xr:uid="{00000000-0005-0000-0000-0000EB1E0000}"/>
    <cellStyle name="Normal 4 2 4 2 2 5 2 2" xfId="9215" xr:uid="{00000000-0005-0000-0000-0000EC1E0000}"/>
    <cellStyle name="Normal 4 2 4 2 2 5 3" xfId="10890" xr:uid="{00000000-0005-0000-0000-0000ED1E0000}"/>
    <cellStyle name="Normal 4 2 4 2 2 5 4" xfId="7540" xr:uid="{00000000-0005-0000-0000-0000EE1E0000}"/>
    <cellStyle name="Normal 4 2 4 2 2 6" xfId="4898" xr:uid="{00000000-0005-0000-0000-0000EF1E0000}"/>
    <cellStyle name="Normal 4 2 4 2 2 6 2" xfId="8248" xr:uid="{00000000-0005-0000-0000-0000F01E0000}"/>
    <cellStyle name="Normal 4 2 4 2 2 7" xfId="9923" xr:uid="{00000000-0005-0000-0000-0000F11E0000}"/>
    <cellStyle name="Normal 4 2 4 2 2 8" xfId="6573" xr:uid="{00000000-0005-0000-0000-0000F21E0000}"/>
    <cellStyle name="Normal 4 2 4 2 3" xfId="3342" xr:uid="{00000000-0005-0000-0000-0000F31E0000}"/>
    <cellStyle name="Normal 4 2 4 2 3 2" xfId="4308" xr:uid="{00000000-0005-0000-0000-0000F41E0000}"/>
    <cellStyle name="Normal 4 2 4 2 3 2 2" xfId="5983" xr:uid="{00000000-0005-0000-0000-0000F51E0000}"/>
    <cellStyle name="Normal 4 2 4 2 3 2 2 2" xfId="9333" xr:uid="{00000000-0005-0000-0000-0000F61E0000}"/>
    <cellStyle name="Normal 4 2 4 2 3 2 3" xfId="11008" xr:uid="{00000000-0005-0000-0000-0000F71E0000}"/>
    <cellStyle name="Normal 4 2 4 2 3 2 4" xfId="7658" xr:uid="{00000000-0005-0000-0000-0000F81E0000}"/>
    <cellStyle name="Normal 4 2 4 2 3 3" xfId="5016" xr:uid="{00000000-0005-0000-0000-0000F91E0000}"/>
    <cellStyle name="Normal 4 2 4 2 3 3 2" xfId="8366" xr:uid="{00000000-0005-0000-0000-0000FA1E0000}"/>
    <cellStyle name="Normal 4 2 4 2 3 4" xfId="10041" xr:uid="{00000000-0005-0000-0000-0000FB1E0000}"/>
    <cellStyle name="Normal 4 2 4 2 3 5" xfId="6691" xr:uid="{00000000-0005-0000-0000-0000FC1E0000}"/>
    <cellStyle name="Normal 4 2 4 2 4" xfId="3577" xr:uid="{00000000-0005-0000-0000-0000FD1E0000}"/>
    <cellStyle name="Normal 4 2 4 2 4 2" xfId="4544" xr:uid="{00000000-0005-0000-0000-0000FE1E0000}"/>
    <cellStyle name="Normal 4 2 4 2 4 2 2" xfId="6219" xr:uid="{00000000-0005-0000-0000-0000FF1E0000}"/>
    <cellStyle name="Normal 4 2 4 2 4 2 2 2" xfId="9569" xr:uid="{00000000-0005-0000-0000-0000001F0000}"/>
    <cellStyle name="Normal 4 2 4 2 4 2 3" xfId="11244" xr:uid="{00000000-0005-0000-0000-0000011F0000}"/>
    <cellStyle name="Normal 4 2 4 2 4 2 4" xfId="7894" xr:uid="{00000000-0005-0000-0000-0000021F0000}"/>
    <cellStyle name="Normal 4 2 4 2 4 3" xfId="5252" xr:uid="{00000000-0005-0000-0000-0000031F0000}"/>
    <cellStyle name="Normal 4 2 4 2 4 3 2" xfId="8602" xr:uid="{00000000-0005-0000-0000-0000041F0000}"/>
    <cellStyle name="Normal 4 2 4 2 4 4" xfId="10277" xr:uid="{00000000-0005-0000-0000-0000051F0000}"/>
    <cellStyle name="Normal 4 2 4 2 4 5" xfId="6927" xr:uid="{00000000-0005-0000-0000-0000061F0000}"/>
    <cellStyle name="Normal 4 2 4 2 5" xfId="3813" xr:uid="{00000000-0005-0000-0000-0000071F0000}"/>
    <cellStyle name="Normal 4 2 4 2 5 2" xfId="5488" xr:uid="{00000000-0005-0000-0000-0000081F0000}"/>
    <cellStyle name="Normal 4 2 4 2 5 2 2" xfId="8838" xr:uid="{00000000-0005-0000-0000-0000091F0000}"/>
    <cellStyle name="Normal 4 2 4 2 5 3" xfId="10513" xr:uid="{00000000-0005-0000-0000-00000A1F0000}"/>
    <cellStyle name="Normal 4 2 4 2 5 4" xfId="7163" xr:uid="{00000000-0005-0000-0000-00000B1F0000}"/>
    <cellStyle name="Normal 4 2 4 2 6" xfId="4072" xr:uid="{00000000-0005-0000-0000-00000C1F0000}"/>
    <cellStyle name="Normal 4 2 4 2 6 2" xfId="5747" xr:uid="{00000000-0005-0000-0000-00000D1F0000}"/>
    <cellStyle name="Normal 4 2 4 2 6 2 2" xfId="9097" xr:uid="{00000000-0005-0000-0000-00000E1F0000}"/>
    <cellStyle name="Normal 4 2 4 2 6 3" xfId="10772" xr:uid="{00000000-0005-0000-0000-00000F1F0000}"/>
    <cellStyle name="Normal 4 2 4 2 6 4" xfId="7422" xr:uid="{00000000-0005-0000-0000-0000101F0000}"/>
    <cellStyle name="Normal 4 2 4 2 7" xfId="4780" xr:uid="{00000000-0005-0000-0000-0000111F0000}"/>
    <cellStyle name="Normal 4 2 4 2 7 2" xfId="8130" xr:uid="{00000000-0005-0000-0000-0000121F0000}"/>
    <cellStyle name="Normal 4 2 4 2 8" xfId="9805" xr:uid="{00000000-0005-0000-0000-0000131F0000}"/>
    <cellStyle name="Normal 4 2 4 2 9" xfId="6455" xr:uid="{00000000-0005-0000-0000-0000141F0000}"/>
    <cellStyle name="Normal 4 2 4 3" xfId="3130" xr:uid="{00000000-0005-0000-0000-0000151F0000}"/>
    <cellStyle name="Normal 4 2 4 3 2" xfId="3247" xr:uid="{00000000-0005-0000-0000-0000161F0000}"/>
    <cellStyle name="Normal 4 2 4 3 2 2" xfId="3483" xr:uid="{00000000-0005-0000-0000-0000171F0000}"/>
    <cellStyle name="Normal 4 2 4 3 2 2 2" xfId="4449" xr:uid="{00000000-0005-0000-0000-0000181F0000}"/>
    <cellStyle name="Normal 4 2 4 3 2 2 2 2" xfId="6124" xr:uid="{00000000-0005-0000-0000-0000191F0000}"/>
    <cellStyle name="Normal 4 2 4 3 2 2 2 2 2" xfId="9474" xr:uid="{00000000-0005-0000-0000-00001A1F0000}"/>
    <cellStyle name="Normal 4 2 4 3 2 2 2 3" xfId="11149" xr:uid="{00000000-0005-0000-0000-00001B1F0000}"/>
    <cellStyle name="Normal 4 2 4 3 2 2 2 4" xfId="7799" xr:uid="{00000000-0005-0000-0000-00001C1F0000}"/>
    <cellStyle name="Normal 4 2 4 3 2 2 3" xfId="5157" xr:uid="{00000000-0005-0000-0000-00001D1F0000}"/>
    <cellStyle name="Normal 4 2 4 3 2 2 3 2" xfId="8507" xr:uid="{00000000-0005-0000-0000-00001E1F0000}"/>
    <cellStyle name="Normal 4 2 4 3 2 2 4" xfId="10182" xr:uid="{00000000-0005-0000-0000-00001F1F0000}"/>
    <cellStyle name="Normal 4 2 4 3 2 2 5" xfId="6832" xr:uid="{00000000-0005-0000-0000-0000201F0000}"/>
    <cellStyle name="Normal 4 2 4 3 2 3" xfId="3718" xr:uid="{00000000-0005-0000-0000-0000211F0000}"/>
    <cellStyle name="Normal 4 2 4 3 2 3 2" xfId="4685" xr:uid="{00000000-0005-0000-0000-0000221F0000}"/>
    <cellStyle name="Normal 4 2 4 3 2 3 2 2" xfId="6360" xr:uid="{00000000-0005-0000-0000-0000231F0000}"/>
    <cellStyle name="Normal 4 2 4 3 2 3 2 2 2" xfId="9710" xr:uid="{00000000-0005-0000-0000-0000241F0000}"/>
    <cellStyle name="Normal 4 2 4 3 2 3 2 3" xfId="11385" xr:uid="{00000000-0005-0000-0000-0000251F0000}"/>
    <cellStyle name="Normal 4 2 4 3 2 3 2 4" xfId="8035" xr:uid="{00000000-0005-0000-0000-0000261F0000}"/>
    <cellStyle name="Normal 4 2 4 3 2 3 3" xfId="5393" xr:uid="{00000000-0005-0000-0000-0000271F0000}"/>
    <cellStyle name="Normal 4 2 4 3 2 3 3 2" xfId="8743" xr:uid="{00000000-0005-0000-0000-0000281F0000}"/>
    <cellStyle name="Normal 4 2 4 3 2 3 4" xfId="10418" xr:uid="{00000000-0005-0000-0000-0000291F0000}"/>
    <cellStyle name="Normal 4 2 4 3 2 3 5" xfId="7068" xr:uid="{00000000-0005-0000-0000-00002A1F0000}"/>
    <cellStyle name="Normal 4 2 4 3 2 4" xfId="3954" xr:uid="{00000000-0005-0000-0000-00002B1F0000}"/>
    <cellStyle name="Normal 4 2 4 3 2 4 2" xfId="5629" xr:uid="{00000000-0005-0000-0000-00002C1F0000}"/>
    <cellStyle name="Normal 4 2 4 3 2 4 2 2" xfId="8979" xr:uid="{00000000-0005-0000-0000-00002D1F0000}"/>
    <cellStyle name="Normal 4 2 4 3 2 4 3" xfId="10654" xr:uid="{00000000-0005-0000-0000-00002E1F0000}"/>
    <cellStyle name="Normal 4 2 4 3 2 4 4" xfId="7304" xr:uid="{00000000-0005-0000-0000-00002F1F0000}"/>
    <cellStyle name="Normal 4 2 4 3 2 5" xfId="4213" xr:uid="{00000000-0005-0000-0000-0000301F0000}"/>
    <cellStyle name="Normal 4 2 4 3 2 5 2" xfId="5888" xr:uid="{00000000-0005-0000-0000-0000311F0000}"/>
    <cellStyle name="Normal 4 2 4 3 2 5 2 2" xfId="9238" xr:uid="{00000000-0005-0000-0000-0000321F0000}"/>
    <cellStyle name="Normal 4 2 4 3 2 5 3" xfId="10913" xr:uid="{00000000-0005-0000-0000-0000331F0000}"/>
    <cellStyle name="Normal 4 2 4 3 2 5 4" xfId="7563" xr:uid="{00000000-0005-0000-0000-0000341F0000}"/>
    <cellStyle name="Normal 4 2 4 3 2 6" xfId="4921" xr:uid="{00000000-0005-0000-0000-0000351F0000}"/>
    <cellStyle name="Normal 4 2 4 3 2 6 2" xfId="8271" xr:uid="{00000000-0005-0000-0000-0000361F0000}"/>
    <cellStyle name="Normal 4 2 4 3 2 7" xfId="9946" xr:uid="{00000000-0005-0000-0000-0000371F0000}"/>
    <cellStyle name="Normal 4 2 4 3 2 8" xfId="6596" xr:uid="{00000000-0005-0000-0000-0000381F0000}"/>
    <cellStyle name="Normal 4 2 4 3 3" xfId="3365" xr:uid="{00000000-0005-0000-0000-0000391F0000}"/>
    <cellStyle name="Normal 4 2 4 3 3 2" xfId="4331" xr:uid="{00000000-0005-0000-0000-00003A1F0000}"/>
    <cellStyle name="Normal 4 2 4 3 3 2 2" xfId="6006" xr:uid="{00000000-0005-0000-0000-00003B1F0000}"/>
    <cellStyle name="Normal 4 2 4 3 3 2 2 2" xfId="9356" xr:uid="{00000000-0005-0000-0000-00003C1F0000}"/>
    <cellStyle name="Normal 4 2 4 3 3 2 3" xfId="11031" xr:uid="{00000000-0005-0000-0000-00003D1F0000}"/>
    <cellStyle name="Normal 4 2 4 3 3 2 4" xfId="7681" xr:uid="{00000000-0005-0000-0000-00003E1F0000}"/>
    <cellStyle name="Normal 4 2 4 3 3 3" xfId="5039" xr:uid="{00000000-0005-0000-0000-00003F1F0000}"/>
    <cellStyle name="Normal 4 2 4 3 3 3 2" xfId="8389" xr:uid="{00000000-0005-0000-0000-0000401F0000}"/>
    <cellStyle name="Normal 4 2 4 3 3 4" xfId="10064" xr:uid="{00000000-0005-0000-0000-0000411F0000}"/>
    <cellStyle name="Normal 4 2 4 3 3 5" xfId="6714" xr:uid="{00000000-0005-0000-0000-0000421F0000}"/>
    <cellStyle name="Normal 4 2 4 3 4" xfId="3600" xr:uid="{00000000-0005-0000-0000-0000431F0000}"/>
    <cellStyle name="Normal 4 2 4 3 4 2" xfId="4567" xr:uid="{00000000-0005-0000-0000-0000441F0000}"/>
    <cellStyle name="Normal 4 2 4 3 4 2 2" xfId="6242" xr:uid="{00000000-0005-0000-0000-0000451F0000}"/>
    <cellStyle name="Normal 4 2 4 3 4 2 2 2" xfId="9592" xr:uid="{00000000-0005-0000-0000-0000461F0000}"/>
    <cellStyle name="Normal 4 2 4 3 4 2 3" xfId="11267" xr:uid="{00000000-0005-0000-0000-0000471F0000}"/>
    <cellStyle name="Normal 4 2 4 3 4 2 4" xfId="7917" xr:uid="{00000000-0005-0000-0000-0000481F0000}"/>
    <cellStyle name="Normal 4 2 4 3 4 3" xfId="5275" xr:uid="{00000000-0005-0000-0000-0000491F0000}"/>
    <cellStyle name="Normal 4 2 4 3 4 3 2" xfId="8625" xr:uid="{00000000-0005-0000-0000-00004A1F0000}"/>
    <cellStyle name="Normal 4 2 4 3 4 4" xfId="10300" xr:uid="{00000000-0005-0000-0000-00004B1F0000}"/>
    <cellStyle name="Normal 4 2 4 3 4 5" xfId="6950" xr:uid="{00000000-0005-0000-0000-00004C1F0000}"/>
    <cellStyle name="Normal 4 2 4 3 5" xfId="3836" xr:uid="{00000000-0005-0000-0000-00004D1F0000}"/>
    <cellStyle name="Normal 4 2 4 3 5 2" xfId="5511" xr:uid="{00000000-0005-0000-0000-00004E1F0000}"/>
    <cellStyle name="Normal 4 2 4 3 5 2 2" xfId="8861" xr:uid="{00000000-0005-0000-0000-00004F1F0000}"/>
    <cellStyle name="Normal 4 2 4 3 5 3" xfId="10536" xr:uid="{00000000-0005-0000-0000-0000501F0000}"/>
    <cellStyle name="Normal 4 2 4 3 5 4" xfId="7186" xr:uid="{00000000-0005-0000-0000-0000511F0000}"/>
    <cellStyle name="Normal 4 2 4 3 6" xfId="4095" xr:uid="{00000000-0005-0000-0000-0000521F0000}"/>
    <cellStyle name="Normal 4 2 4 3 6 2" xfId="5770" xr:uid="{00000000-0005-0000-0000-0000531F0000}"/>
    <cellStyle name="Normal 4 2 4 3 6 2 2" xfId="9120" xr:uid="{00000000-0005-0000-0000-0000541F0000}"/>
    <cellStyle name="Normal 4 2 4 3 6 3" xfId="10795" xr:uid="{00000000-0005-0000-0000-0000551F0000}"/>
    <cellStyle name="Normal 4 2 4 3 6 4" xfId="7445" xr:uid="{00000000-0005-0000-0000-0000561F0000}"/>
    <cellStyle name="Normal 4 2 4 3 7" xfId="4803" xr:uid="{00000000-0005-0000-0000-0000571F0000}"/>
    <cellStyle name="Normal 4 2 4 3 7 2" xfId="8153" xr:uid="{00000000-0005-0000-0000-0000581F0000}"/>
    <cellStyle name="Normal 4 2 4 3 8" xfId="9828" xr:uid="{00000000-0005-0000-0000-0000591F0000}"/>
    <cellStyle name="Normal 4 2 4 3 9" xfId="6478" xr:uid="{00000000-0005-0000-0000-00005A1F0000}"/>
    <cellStyle name="Normal 4 2 4 4" xfId="3153" xr:uid="{00000000-0005-0000-0000-00005B1F0000}"/>
    <cellStyle name="Normal 4 2 4 4 2" xfId="3271" xr:uid="{00000000-0005-0000-0000-00005C1F0000}"/>
    <cellStyle name="Normal 4 2 4 4 2 2" xfId="3507" xr:uid="{00000000-0005-0000-0000-00005D1F0000}"/>
    <cellStyle name="Normal 4 2 4 4 2 2 2" xfId="4473" xr:uid="{00000000-0005-0000-0000-00005E1F0000}"/>
    <cellStyle name="Normal 4 2 4 4 2 2 2 2" xfId="6148" xr:uid="{00000000-0005-0000-0000-00005F1F0000}"/>
    <cellStyle name="Normal 4 2 4 4 2 2 2 2 2" xfId="9498" xr:uid="{00000000-0005-0000-0000-0000601F0000}"/>
    <cellStyle name="Normal 4 2 4 4 2 2 2 3" xfId="11173" xr:uid="{00000000-0005-0000-0000-0000611F0000}"/>
    <cellStyle name="Normal 4 2 4 4 2 2 2 4" xfId="7823" xr:uid="{00000000-0005-0000-0000-0000621F0000}"/>
    <cellStyle name="Normal 4 2 4 4 2 2 3" xfId="5181" xr:uid="{00000000-0005-0000-0000-0000631F0000}"/>
    <cellStyle name="Normal 4 2 4 4 2 2 3 2" xfId="8531" xr:uid="{00000000-0005-0000-0000-0000641F0000}"/>
    <cellStyle name="Normal 4 2 4 4 2 2 4" xfId="10206" xr:uid="{00000000-0005-0000-0000-0000651F0000}"/>
    <cellStyle name="Normal 4 2 4 4 2 2 5" xfId="6856" xr:uid="{00000000-0005-0000-0000-0000661F0000}"/>
    <cellStyle name="Normal 4 2 4 4 2 3" xfId="3742" xr:uid="{00000000-0005-0000-0000-0000671F0000}"/>
    <cellStyle name="Normal 4 2 4 4 2 3 2" xfId="4709" xr:uid="{00000000-0005-0000-0000-0000681F0000}"/>
    <cellStyle name="Normal 4 2 4 4 2 3 2 2" xfId="6384" xr:uid="{00000000-0005-0000-0000-0000691F0000}"/>
    <cellStyle name="Normal 4 2 4 4 2 3 2 2 2" xfId="9734" xr:uid="{00000000-0005-0000-0000-00006A1F0000}"/>
    <cellStyle name="Normal 4 2 4 4 2 3 2 3" xfId="11409" xr:uid="{00000000-0005-0000-0000-00006B1F0000}"/>
    <cellStyle name="Normal 4 2 4 4 2 3 2 4" xfId="8059" xr:uid="{00000000-0005-0000-0000-00006C1F0000}"/>
    <cellStyle name="Normal 4 2 4 4 2 3 3" xfId="5417" xr:uid="{00000000-0005-0000-0000-00006D1F0000}"/>
    <cellStyle name="Normal 4 2 4 4 2 3 3 2" xfId="8767" xr:uid="{00000000-0005-0000-0000-00006E1F0000}"/>
    <cellStyle name="Normal 4 2 4 4 2 3 4" xfId="10442" xr:uid="{00000000-0005-0000-0000-00006F1F0000}"/>
    <cellStyle name="Normal 4 2 4 4 2 3 5" xfId="7092" xr:uid="{00000000-0005-0000-0000-0000701F0000}"/>
    <cellStyle name="Normal 4 2 4 4 2 4" xfId="3978" xr:uid="{00000000-0005-0000-0000-0000711F0000}"/>
    <cellStyle name="Normal 4 2 4 4 2 4 2" xfId="5653" xr:uid="{00000000-0005-0000-0000-0000721F0000}"/>
    <cellStyle name="Normal 4 2 4 4 2 4 2 2" xfId="9003" xr:uid="{00000000-0005-0000-0000-0000731F0000}"/>
    <cellStyle name="Normal 4 2 4 4 2 4 3" xfId="10678" xr:uid="{00000000-0005-0000-0000-0000741F0000}"/>
    <cellStyle name="Normal 4 2 4 4 2 4 4" xfId="7328" xr:uid="{00000000-0005-0000-0000-0000751F0000}"/>
    <cellStyle name="Normal 4 2 4 4 2 5" xfId="4237" xr:uid="{00000000-0005-0000-0000-0000761F0000}"/>
    <cellStyle name="Normal 4 2 4 4 2 5 2" xfId="5912" xr:uid="{00000000-0005-0000-0000-0000771F0000}"/>
    <cellStyle name="Normal 4 2 4 4 2 5 2 2" xfId="9262" xr:uid="{00000000-0005-0000-0000-0000781F0000}"/>
    <cellStyle name="Normal 4 2 4 4 2 5 3" xfId="10937" xr:uid="{00000000-0005-0000-0000-0000791F0000}"/>
    <cellStyle name="Normal 4 2 4 4 2 5 4" xfId="7587" xr:uid="{00000000-0005-0000-0000-00007A1F0000}"/>
    <cellStyle name="Normal 4 2 4 4 2 6" xfId="4945" xr:uid="{00000000-0005-0000-0000-00007B1F0000}"/>
    <cellStyle name="Normal 4 2 4 4 2 6 2" xfId="8295" xr:uid="{00000000-0005-0000-0000-00007C1F0000}"/>
    <cellStyle name="Normal 4 2 4 4 2 7" xfId="9970" xr:uid="{00000000-0005-0000-0000-00007D1F0000}"/>
    <cellStyle name="Normal 4 2 4 4 2 8" xfId="6620" xr:uid="{00000000-0005-0000-0000-00007E1F0000}"/>
    <cellStyle name="Normal 4 2 4 4 3" xfId="3389" xr:uid="{00000000-0005-0000-0000-00007F1F0000}"/>
    <cellStyle name="Normal 4 2 4 4 3 2" xfId="4355" xr:uid="{00000000-0005-0000-0000-0000801F0000}"/>
    <cellStyle name="Normal 4 2 4 4 3 2 2" xfId="6030" xr:uid="{00000000-0005-0000-0000-0000811F0000}"/>
    <cellStyle name="Normal 4 2 4 4 3 2 2 2" xfId="9380" xr:uid="{00000000-0005-0000-0000-0000821F0000}"/>
    <cellStyle name="Normal 4 2 4 4 3 2 3" xfId="11055" xr:uid="{00000000-0005-0000-0000-0000831F0000}"/>
    <cellStyle name="Normal 4 2 4 4 3 2 4" xfId="7705" xr:uid="{00000000-0005-0000-0000-0000841F0000}"/>
    <cellStyle name="Normal 4 2 4 4 3 3" xfId="5063" xr:uid="{00000000-0005-0000-0000-0000851F0000}"/>
    <cellStyle name="Normal 4 2 4 4 3 3 2" xfId="8413" xr:uid="{00000000-0005-0000-0000-0000861F0000}"/>
    <cellStyle name="Normal 4 2 4 4 3 4" xfId="10088" xr:uid="{00000000-0005-0000-0000-0000871F0000}"/>
    <cellStyle name="Normal 4 2 4 4 3 5" xfId="6738" xr:uid="{00000000-0005-0000-0000-0000881F0000}"/>
    <cellStyle name="Normal 4 2 4 4 4" xfId="3624" xr:uid="{00000000-0005-0000-0000-0000891F0000}"/>
    <cellStyle name="Normal 4 2 4 4 4 2" xfId="4591" xr:uid="{00000000-0005-0000-0000-00008A1F0000}"/>
    <cellStyle name="Normal 4 2 4 4 4 2 2" xfId="6266" xr:uid="{00000000-0005-0000-0000-00008B1F0000}"/>
    <cellStyle name="Normal 4 2 4 4 4 2 2 2" xfId="9616" xr:uid="{00000000-0005-0000-0000-00008C1F0000}"/>
    <cellStyle name="Normal 4 2 4 4 4 2 3" xfId="11291" xr:uid="{00000000-0005-0000-0000-00008D1F0000}"/>
    <cellStyle name="Normal 4 2 4 4 4 2 4" xfId="7941" xr:uid="{00000000-0005-0000-0000-00008E1F0000}"/>
    <cellStyle name="Normal 4 2 4 4 4 3" xfId="5299" xr:uid="{00000000-0005-0000-0000-00008F1F0000}"/>
    <cellStyle name="Normal 4 2 4 4 4 3 2" xfId="8649" xr:uid="{00000000-0005-0000-0000-0000901F0000}"/>
    <cellStyle name="Normal 4 2 4 4 4 4" xfId="10324" xr:uid="{00000000-0005-0000-0000-0000911F0000}"/>
    <cellStyle name="Normal 4 2 4 4 4 5" xfId="6974" xr:uid="{00000000-0005-0000-0000-0000921F0000}"/>
    <cellStyle name="Normal 4 2 4 4 5" xfId="3860" xr:uid="{00000000-0005-0000-0000-0000931F0000}"/>
    <cellStyle name="Normal 4 2 4 4 5 2" xfId="5535" xr:uid="{00000000-0005-0000-0000-0000941F0000}"/>
    <cellStyle name="Normal 4 2 4 4 5 2 2" xfId="8885" xr:uid="{00000000-0005-0000-0000-0000951F0000}"/>
    <cellStyle name="Normal 4 2 4 4 5 3" xfId="10560" xr:uid="{00000000-0005-0000-0000-0000961F0000}"/>
    <cellStyle name="Normal 4 2 4 4 5 4" xfId="7210" xr:uid="{00000000-0005-0000-0000-0000971F0000}"/>
    <cellStyle name="Normal 4 2 4 4 6" xfId="4119" xr:uid="{00000000-0005-0000-0000-0000981F0000}"/>
    <cellStyle name="Normal 4 2 4 4 6 2" xfId="5794" xr:uid="{00000000-0005-0000-0000-0000991F0000}"/>
    <cellStyle name="Normal 4 2 4 4 6 2 2" xfId="9144" xr:uid="{00000000-0005-0000-0000-00009A1F0000}"/>
    <cellStyle name="Normal 4 2 4 4 6 3" xfId="10819" xr:uid="{00000000-0005-0000-0000-00009B1F0000}"/>
    <cellStyle name="Normal 4 2 4 4 6 4" xfId="7469" xr:uid="{00000000-0005-0000-0000-00009C1F0000}"/>
    <cellStyle name="Normal 4 2 4 4 7" xfId="4827" xr:uid="{00000000-0005-0000-0000-00009D1F0000}"/>
    <cellStyle name="Normal 4 2 4 4 7 2" xfId="8177" xr:uid="{00000000-0005-0000-0000-00009E1F0000}"/>
    <cellStyle name="Normal 4 2 4 4 8" xfId="9852" xr:uid="{00000000-0005-0000-0000-00009F1F0000}"/>
    <cellStyle name="Normal 4 2 4 4 9" xfId="6502" xr:uid="{00000000-0005-0000-0000-0000A01F0000}"/>
    <cellStyle name="Normal 4 2 4 5" xfId="3177" xr:uid="{00000000-0005-0000-0000-0000A11F0000}"/>
    <cellStyle name="Normal 4 2 4 5 2" xfId="3295" xr:uid="{00000000-0005-0000-0000-0000A21F0000}"/>
    <cellStyle name="Normal 4 2 4 5 2 2" xfId="3531" xr:uid="{00000000-0005-0000-0000-0000A31F0000}"/>
    <cellStyle name="Normal 4 2 4 5 2 2 2" xfId="4497" xr:uid="{00000000-0005-0000-0000-0000A41F0000}"/>
    <cellStyle name="Normal 4 2 4 5 2 2 2 2" xfId="6172" xr:uid="{00000000-0005-0000-0000-0000A51F0000}"/>
    <cellStyle name="Normal 4 2 4 5 2 2 2 2 2" xfId="9522" xr:uid="{00000000-0005-0000-0000-0000A61F0000}"/>
    <cellStyle name="Normal 4 2 4 5 2 2 2 3" xfId="11197" xr:uid="{00000000-0005-0000-0000-0000A71F0000}"/>
    <cellStyle name="Normal 4 2 4 5 2 2 2 4" xfId="7847" xr:uid="{00000000-0005-0000-0000-0000A81F0000}"/>
    <cellStyle name="Normal 4 2 4 5 2 2 3" xfId="5205" xr:uid="{00000000-0005-0000-0000-0000A91F0000}"/>
    <cellStyle name="Normal 4 2 4 5 2 2 3 2" xfId="8555" xr:uid="{00000000-0005-0000-0000-0000AA1F0000}"/>
    <cellStyle name="Normal 4 2 4 5 2 2 4" xfId="10230" xr:uid="{00000000-0005-0000-0000-0000AB1F0000}"/>
    <cellStyle name="Normal 4 2 4 5 2 2 5" xfId="6880" xr:uid="{00000000-0005-0000-0000-0000AC1F0000}"/>
    <cellStyle name="Normal 4 2 4 5 2 3" xfId="3766" xr:uid="{00000000-0005-0000-0000-0000AD1F0000}"/>
    <cellStyle name="Normal 4 2 4 5 2 3 2" xfId="4733" xr:uid="{00000000-0005-0000-0000-0000AE1F0000}"/>
    <cellStyle name="Normal 4 2 4 5 2 3 2 2" xfId="6408" xr:uid="{00000000-0005-0000-0000-0000AF1F0000}"/>
    <cellStyle name="Normal 4 2 4 5 2 3 2 2 2" xfId="9758" xr:uid="{00000000-0005-0000-0000-0000B01F0000}"/>
    <cellStyle name="Normal 4 2 4 5 2 3 2 3" xfId="11433" xr:uid="{00000000-0005-0000-0000-0000B11F0000}"/>
    <cellStyle name="Normal 4 2 4 5 2 3 2 4" xfId="8083" xr:uid="{00000000-0005-0000-0000-0000B21F0000}"/>
    <cellStyle name="Normal 4 2 4 5 2 3 3" xfId="5441" xr:uid="{00000000-0005-0000-0000-0000B31F0000}"/>
    <cellStyle name="Normal 4 2 4 5 2 3 3 2" xfId="8791" xr:uid="{00000000-0005-0000-0000-0000B41F0000}"/>
    <cellStyle name="Normal 4 2 4 5 2 3 4" xfId="10466" xr:uid="{00000000-0005-0000-0000-0000B51F0000}"/>
    <cellStyle name="Normal 4 2 4 5 2 3 5" xfId="7116" xr:uid="{00000000-0005-0000-0000-0000B61F0000}"/>
    <cellStyle name="Normal 4 2 4 5 2 4" xfId="4002" xr:uid="{00000000-0005-0000-0000-0000B71F0000}"/>
    <cellStyle name="Normal 4 2 4 5 2 4 2" xfId="5677" xr:uid="{00000000-0005-0000-0000-0000B81F0000}"/>
    <cellStyle name="Normal 4 2 4 5 2 4 2 2" xfId="9027" xr:uid="{00000000-0005-0000-0000-0000B91F0000}"/>
    <cellStyle name="Normal 4 2 4 5 2 4 3" xfId="10702" xr:uid="{00000000-0005-0000-0000-0000BA1F0000}"/>
    <cellStyle name="Normal 4 2 4 5 2 4 4" xfId="7352" xr:uid="{00000000-0005-0000-0000-0000BB1F0000}"/>
    <cellStyle name="Normal 4 2 4 5 2 5" xfId="4261" xr:uid="{00000000-0005-0000-0000-0000BC1F0000}"/>
    <cellStyle name="Normal 4 2 4 5 2 5 2" xfId="5936" xr:uid="{00000000-0005-0000-0000-0000BD1F0000}"/>
    <cellStyle name="Normal 4 2 4 5 2 5 2 2" xfId="9286" xr:uid="{00000000-0005-0000-0000-0000BE1F0000}"/>
    <cellStyle name="Normal 4 2 4 5 2 5 3" xfId="10961" xr:uid="{00000000-0005-0000-0000-0000BF1F0000}"/>
    <cellStyle name="Normal 4 2 4 5 2 5 4" xfId="7611" xr:uid="{00000000-0005-0000-0000-0000C01F0000}"/>
    <cellStyle name="Normal 4 2 4 5 2 6" xfId="4969" xr:uid="{00000000-0005-0000-0000-0000C11F0000}"/>
    <cellStyle name="Normal 4 2 4 5 2 6 2" xfId="8319" xr:uid="{00000000-0005-0000-0000-0000C21F0000}"/>
    <cellStyle name="Normal 4 2 4 5 2 7" xfId="9994" xr:uid="{00000000-0005-0000-0000-0000C31F0000}"/>
    <cellStyle name="Normal 4 2 4 5 2 8" xfId="6644" xr:uid="{00000000-0005-0000-0000-0000C41F0000}"/>
    <cellStyle name="Normal 4 2 4 5 3" xfId="3413" xr:uid="{00000000-0005-0000-0000-0000C51F0000}"/>
    <cellStyle name="Normal 4 2 4 5 3 2" xfId="4379" xr:uid="{00000000-0005-0000-0000-0000C61F0000}"/>
    <cellStyle name="Normal 4 2 4 5 3 2 2" xfId="6054" xr:uid="{00000000-0005-0000-0000-0000C71F0000}"/>
    <cellStyle name="Normal 4 2 4 5 3 2 2 2" xfId="9404" xr:uid="{00000000-0005-0000-0000-0000C81F0000}"/>
    <cellStyle name="Normal 4 2 4 5 3 2 3" xfId="11079" xr:uid="{00000000-0005-0000-0000-0000C91F0000}"/>
    <cellStyle name="Normal 4 2 4 5 3 2 4" xfId="7729" xr:uid="{00000000-0005-0000-0000-0000CA1F0000}"/>
    <cellStyle name="Normal 4 2 4 5 3 3" xfId="5087" xr:uid="{00000000-0005-0000-0000-0000CB1F0000}"/>
    <cellStyle name="Normal 4 2 4 5 3 3 2" xfId="8437" xr:uid="{00000000-0005-0000-0000-0000CC1F0000}"/>
    <cellStyle name="Normal 4 2 4 5 3 4" xfId="10112" xr:uid="{00000000-0005-0000-0000-0000CD1F0000}"/>
    <cellStyle name="Normal 4 2 4 5 3 5" xfId="6762" xr:uid="{00000000-0005-0000-0000-0000CE1F0000}"/>
    <cellStyle name="Normal 4 2 4 5 4" xfId="3648" xr:uid="{00000000-0005-0000-0000-0000CF1F0000}"/>
    <cellStyle name="Normal 4 2 4 5 4 2" xfId="4615" xr:uid="{00000000-0005-0000-0000-0000D01F0000}"/>
    <cellStyle name="Normal 4 2 4 5 4 2 2" xfId="6290" xr:uid="{00000000-0005-0000-0000-0000D11F0000}"/>
    <cellStyle name="Normal 4 2 4 5 4 2 2 2" xfId="9640" xr:uid="{00000000-0005-0000-0000-0000D21F0000}"/>
    <cellStyle name="Normal 4 2 4 5 4 2 3" xfId="11315" xr:uid="{00000000-0005-0000-0000-0000D31F0000}"/>
    <cellStyle name="Normal 4 2 4 5 4 2 4" xfId="7965" xr:uid="{00000000-0005-0000-0000-0000D41F0000}"/>
    <cellStyle name="Normal 4 2 4 5 4 3" xfId="5323" xr:uid="{00000000-0005-0000-0000-0000D51F0000}"/>
    <cellStyle name="Normal 4 2 4 5 4 3 2" xfId="8673" xr:uid="{00000000-0005-0000-0000-0000D61F0000}"/>
    <cellStyle name="Normal 4 2 4 5 4 4" xfId="10348" xr:uid="{00000000-0005-0000-0000-0000D71F0000}"/>
    <cellStyle name="Normal 4 2 4 5 4 5" xfId="6998" xr:uid="{00000000-0005-0000-0000-0000D81F0000}"/>
    <cellStyle name="Normal 4 2 4 5 5" xfId="3884" xr:uid="{00000000-0005-0000-0000-0000D91F0000}"/>
    <cellStyle name="Normal 4 2 4 5 5 2" xfId="5559" xr:uid="{00000000-0005-0000-0000-0000DA1F0000}"/>
    <cellStyle name="Normal 4 2 4 5 5 2 2" xfId="8909" xr:uid="{00000000-0005-0000-0000-0000DB1F0000}"/>
    <cellStyle name="Normal 4 2 4 5 5 3" xfId="10584" xr:uid="{00000000-0005-0000-0000-0000DC1F0000}"/>
    <cellStyle name="Normal 4 2 4 5 5 4" xfId="7234" xr:uid="{00000000-0005-0000-0000-0000DD1F0000}"/>
    <cellStyle name="Normal 4 2 4 5 6" xfId="4143" xr:uid="{00000000-0005-0000-0000-0000DE1F0000}"/>
    <cellStyle name="Normal 4 2 4 5 6 2" xfId="5818" xr:uid="{00000000-0005-0000-0000-0000DF1F0000}"/>
    <cellStyle name="Normal 4 2 4 5 6 2 2" xfId="9168" xr:uid="{00000000-0005-0000-0000-0000E01F0000}"/>
    <cellStyle name="Normal 4 2 4 5 6 3" xfId="10843" xr:uid="{00000000-0005-0000-0000-0000E11F0000}"/>
    <cellStyle name="Normal 4 2 4 5 6 4" xfId="7493" xr:uid="{00000000-0005-0000-0000-0000E21F0000}"/>
    <cellStyle name="Normal 4 2 4 5 7" xfId="4851" xr:uid="{00000000-0005-0000-0000-0000E31F0000}"/>
    <cellStyle name="Normal 4 2 4 5 7 2" xfId="8201" xr:uid="{00000000-0005-0000-0000-0000E41F0000}"/>
    <cellStyle name="Normal 4 2 4 5 8" xfId="9876" xr:uid="{00000000-0005-0000-0000-0000E51F0000}"/>
    <cellStyle name="Normal 4 2 4 5 9" xfId="6526" xr:uid="{00000000-0005-0000-0000-0000E61F0000}"/>
    <cellStyle name="Normal 4 2 4 6" xfId="3201" xr:uid="{00000000-0005-0000-0000-0000E71F0000}"/>
    <cellStyle name="Normal 4 2 4 6 2" xfId="3437" xr:uid="{00000000-0005-0000-0000-0000E81F0000}"/>
    <cellStyle name="Normal 4 2 4 6 2 2" xfId="4403" xr:uid="{00000000-0005-0000-0000-0000E91F0000}"/>
    <cellStyle name="Normal 4 2 4 6 2 2 2" xfId="6078" xr:uid="{00000000-0005-0000-0000-0000EA1F0000}"/>
    <cellStyle name="Normal 4 2 4 6 2 2 2 2" xfId="9428" xr:uid="{00000000-0005-0000-0000-0000EB1F0000}"/>
    <cellStyle name="Normal 4 2 4 6 2 2 3" xfId="11103" xr:uid="{00000000-0005-0000-0000-0000EC1F0000}"/>
    <cellStyle name="Normal 4 2 4 6 2 2 4" xfId="7753" xr:uid="{00000000-0005-0000-0000-0000ED1F0000}"/>
    <cellStyle name="Normal 4 2 4 6 2 3" xfId="5111" xr:uid="{00000000-0005-0000-0000-0000EE1F0000}"/>
    <cellStyle name="Normal 4 2 4 6 2 3 2" xfId="8461" xr:uid="{00000000-0005-0000-0000-0000EF1F0000}"/>
    <cellStyle name="Normal 4 2 4 6 2 4" xfId="10136" xr:uid="{00000000-0005-0000-0000-0000F01F0000}"/>
    <cellStyle name="Normal 4 2 4 6 2 5" xfId="6786" xr:uid="{00000000-0005-0000-0000-0000F11F0000}"/>
    <cellStyle name="Normal 4 2 4 6 3" xfId="3672" xr:uid="{00000000-0005-0000-0000-0000F21F0000}"/>
    <cellStyle name="Normal 4 2 4 6 3 2" xfId="4639" xr:uid="{00000000-0005-0000-0000-0000F31F0000}"/>
    <cellStyle name="Normal 4 2 4 6 3 2 2" xfId="6314" xr:uid="{00000000-0005-0000-0000-0000F41F0000}"/>
    <cellStyle name="Normal 4 2 4 6 3 2 2 2" xfId="9664" xr:uid="{00000000-0005-0000-0000-0000F51F0000}"/>
    <cellStyle name="Normal 4 2 4 6 3 2 3" xfId="11339" xr:uid="{00000000-0005-0000-0000-0000F61F0000}"/>
    <cellStyle name="Normal 4 2 4 6 3 2 4" xfId="7989" xr:uid="{00000000-0005-0000-0000-0000F71F0000}"/>
    <cellStyle name="Normal 4 2 4 6 3 3" xfId="5347" xr:uid="{00000000-0005-0000-0000-0000F81F0000}"/>
    <cellStyle name="Normal 4 2 4 6 3 3 2" xfId="8697" xr:uid="{00000000-0005-0000-0000-0000F91F0000}"/>
    <cellStyle name="Normal 4 2 4 6 3 4" xfId="10372" xr:uid="{00000000-0005-0000-0000-0000FA1F0000}"/>
    <cellStyle name="Normal 4 2 4 6 3 5" xfId="7022" xr:uid="{00000000-0005-0000-0000-0000FB1F0000}"/>
    <cellStyle name="Normal 4 2 4 6 4" xfId="3908" xr:uid="{00000000-0005-0000-0000-0000FC1F0000}"/>
    <cellStyle name="Normal 4 2 4 6 4 2" xfId="5583" xr:uid="{00000000-0005-0000-0000-0000FD1F0000}"/>
    <cellStyle name="Normal 4 2 4 6 4 2 2" xfId="8933" xr:uid="{00000000-0005-0000-0000-0000FE1F0000}"/>
    <cellStyle name="Normal 4 2 4 6 4 3" xfId="10608" xr:uid="{00000000-0005-0000-0000-0000FF1F0000}"/>
    <cellStyle name="Normal 4 2 4 6 4 4" xfId="7258" xr:uid="{00000000-0005-0000-0000-000000200000}"/>
    <cellStyle name="Normal 4 2 4 6 5" xfId="4167" xr:uid="{00000000-0005-0000-0000-000001200000}"/>
    <cellStyle name="Normal 4 2 4 6 5 2" xfId="5842" xr:uid="{00000000-0005-0000-0000-000002200000}"/>
    <cellStyle name="Normal 4 2 4 6 5 2 2" xfId="9192" xr:uid="{00000000-0005-0000-0000-000003200000}"/>
    <cellStyle name="Normal 4 2 4 6 5 3" xfId="10867" xr:uid="{00000000-0005-0000-0000-000004200000}"/>
    <cellStyle name="Normal 4 2 4 6 5 4" xfId="7517" xr:uid="{00000000-0005-0000-0000-000005200000}"/>
    <cellStyle name="Normal 4 2 4 6 6" xfId="4875" xr:uid="{00000000-0005-0000-0000-000006200000}"/>
    <cellStyle name="Normal 4 2 4 6 6 2" xfId="8225" xr:uid="{00000000-0005-0000-0000-000007200000}"/>
    <cellStyle name="Normal 4 2 4 6 7" xfId="9900" xr:uid="{00000000-0005-0000-0000-000008200000}"/>
    <cellStyle name="Normal 4 2 4 6 8" xfId="6550" xr:uid="{00000000-0005-0000-0000-000009200000}"/>
    <cellStyle name="Normal 4 2 4 7" xfId="3319" xr:uid="{00000000-0005-0000-0000-00000A200000}"/>
    <cellStyle name="Normal 4 2 4 7 2" xfId="4285" xr:uid="{00000000-0005-0000-0000-00000B200000}"/>
    <cellStyle name="Normal 4 2 4 7 2 2" xfId="5960" xr:uid="{00000000-0005-0000-0000-00000C200000}"/>
    <cellStyle name="Normal 4 2 4 7 2 2 2" xfId="9310" xr:uid="{00000000-0005-0000-0000-00000D200000}"/>
    <cellStyle name="Normal 4 2 4 7 2 3" xfId="10985" xr:uid="{00000000-0005-0000-0000-00000E200000}"/>
    <cellStyle name="Normal 4 2 4 7 2 4" xfId="7635" xr:uid="{00000000-0005-0000-0000-00000F200000}"/>
    <cellStyle name="Normal 4 2 4 7 3" xfId="4993" xr:uid="{00000000-0005-0000-0000-000010200000}"/>
    <cellStyle name="Normal 4 2 4 7 3 2" xfId="8343" xr:uid="{00000000-0005-0000-0000-000011200000}"/>
    <cellStyle name="Normal 4 2 4 7 4" xfId="10018" xr:uid="{00000000-0005-0000-0000-000012200000}"/>
    <cellStyle name="Normal 4 2 4 7 5" xfId="6668" xr:uid="{00000000-0005-0000-0000-000013200000}"/>
    <cellStyle name="Normal 4 2 4 8" xfId="3554" xr:uid="{00000000-0005-0000-0000-000014200000}"/>
    <cellStyle name="Normal 4 2 4 8 2" xfId="4521" xr:uid="{00000000-0005-0000-0000-000015200000}"/>
    <cellStyle name="Normal 4 2 4 8 2 2" xfId="6196" xr:uid="{00000000-0005-0000-0000-000016200000}"/>
    <cellStyle name="Normal 4 2 4 8 2 2 2" xfId="9546" xr:uid="{00000000-0005-0000-0000-000017200000}"/>
    <cellStyle name="Normal 4 2 4 8 2 3" xfId="11221" xr:uid="{00000000-0005-0000-0000-000018200000}"/>
    <cellStyle name="Normal 4 2 4 8 2 4" xfId="7871" xr:uid="{00000000-0005-0000-0000-000019200000}"/>
    <cellStyle name="Normal 4 2 4 8 3" xfId="5229" xr:uid="{00000000-0005-0000-0000-00001A200000}"/>
    <cellStyle name="Normal 4 2 4 8 3 2" xfId="8579" xr:uid="{00000000-0005-0000-0000-00001B200000}"/>
    <cellStyle name="Normal 4 2 4 8 4" xfId="10254" xr:uid="{00000000-0005-0000-0000-00001C200000}"/>
    <cellStyle name="Normal 4 2 4 8 5" xfId="6904" xr:uid="{00000000-0005-0000-0000-00001D200000}"/>
    <cellStyle name="Normal 4 2 4 9" xfId="3790" xr:uid="{00000000-0005-0000-0000-00001E200000}"/>
    <cellStyle name="Normal 4 2 4 9 2" xfId="4049" xr:uid="{00000000-0005-0000-0000-00001F200000}"/>
    <cellStyle name="Normal 4 2 4 9 2 2" xfId="5724" xr:uid="{00000000-0005-0000-0000-000020200000}"/>
    <cellStyle name="Normal 4 2 4 9 2 2 2" xfId="9074" xr:uid="{00000000-0005-0000-0000-000021200000}"/>
    <cellStyle name="Normal 4 2 4 9 2 3" xfId="10749" xr:uid="{00000000-0005-0000-0000-000022200000}"/>
    <cellStyle name="Normal 4 2 4 9 2 4" xfId="7399" xr:uid="{00000000-0005-0000-0000-000023200000}"/>
    <cellStyle name="Normal 4 2 4 9 3" xfId="5465" xr:uid="{00000000-0005-0000-0000-000024200000}"/>
    <cellStyle name="Normal 4 2 4 9 3 2" xfId="8815" xr:uid="{00000000-0005-0000-0000-000025200000}"/>
    <cellStyle name="Normal 4 2 4 9 4" xfId="10490" xr:uid="{00000000-0005-0000-0000-000026200000}"/>
    <cellStyle name="Normal 4 2 4 9 5" xfId="7140" xr:uid="{00000000-0005-0000-0000-000027200000}"/>
    <cellStyle name="Normal 4 2 5" xfId="278" xr:uid="{00000000-0005-0000-0000-0000EE080000}"/>
    <cellStyle name="Normal 4 3" xfId="295" xr:uid="{00000000-0005-0000-0000-0000F3080000}"/>
    <cellStyle name="Normal 4 3 2" xfId="2142" xr:uid="{00000000-0005-0000-0000-0000F4080000}"/>
    <cellStyle name="Normal 4 3 3" xfId="2143" xr:uid="{00000000-0005-0000-0000-0000F5080000}"/>
    <cellStyle name="Normal 4 3 4" xfId="2141" xr:uid="{00000000-0005-0000-0000-0000F6080000}"/>
    <cellStyle name="Normal 4 3 5" xfId="12100" xr:uid="{00000000-0005-0000-0000-0000010B0000}"/>
    <cellStyle name="Normal 4 4" xfId="352" xr:uid="{00000000-0005-0000-0000-0000F7080000}"/>
    <cellStyle name="Normal 4 4 2" xfId="2145" xr:uid="{00000000-0005-0000-0000-0000F8080000}"/>
    <cellStyle name="Normal 4 4 3" xfId="2144" xr:uid="{00000000-0005-0000-0000-0000F9080000}"/>
    <cellStyle name="Normal 4 4 3 2" xfId="2657" xr:uid="{00000000-0005-0000-0000-0000FA080000}"/>
    <cellStyle name="Normal 4 4 3 3" xfId="12101" xr:uid="{00000000-0005-0000-0000-0000060B0000}"/>
    <cellStyle name="Normal 4 4 4" xfId="2428" xr:uid="{00000000-0005-0000-0000-0000FB080000}"/>
    <cellStyle name="Normal 4 4 4 2" xfId="2821" xr:uid="{00000000-0005-0000-0000-0000FB080000}"/>
    <cellStyle name="Normal 4 5" xfId="2146" xr:uid="{00000000-0005-0000-0000-0000FC080000}"/>
    <cellStyle name="Normal 4 5 10" xfId="4027" xr:uid="{00000000-0005-0000-0000-00002E200000}"/>
    <cellStyle name="Normal 4 5 10 2" xfId="5702" xr:uid="{00000000-0005-0000-0000-00002F200000}"/>
    <cellStyle name="Normal 4 5 10 2 2" xfId="9052" xr:uid="{00000000-0005-0000-0000-000030200000}"/>
    <cellStyle name="Normal 4 5 10 3" xfId="10727" xr:uid="{00000000-0005-0000-0000-000031200000}"/>
    <cellStyle name="Normal 4 5 10 4" xfId="7377" xr:uid="{00000000-0005-0000-0000-000032200000}"/>
    <cellStyle name="Normal 4 5 11" xfId="4758" xr:uid="{00000000-0005-0000-0000-000033200000}"/>
    <cellStyle name="Normal 4 5 11 2" xfId="8108" xr:uid="{00000000-0005-0000-0000-000034200000}"/>
    <cellStyle name="Normal 4 5 12" xfId="9783" xr:uid="{00000000-0005-0000-0000-000035200000}"/>
    <cellStyle name="Normal 4 5 13" xfId="6433" xr:uid="{00000000-0005-0000-0000-000036200000}"/>
    <cellStyle name="Normal 4 5 14" xfId="12240" xr:uid="{00000000-0005-0000-0000-00002D200000}"/>
    <cellStyle name="Normal 4 5 2" xfId="2658" xr:uid="{00000000-0005-0000-0000-0000FD080000}"/>
    <cellStyle name="Normal 4 5 2 10" xfId="3108" xr:uid="{00000000-0005-0000-0000-000037200000}"/>
    <cellStyle name="Normal 4 5 2 2" xfId="2849" xr:uid="{00000000-0005-0000-0000-0000FD080000}"/>
    <cellStyle name="Normal 4 5 2 2 2" xfId="3461" xr:uid="{00000000-0005-0000-0000-000039200000}"/>
    <cellStyle name="Normal 4 5 2 2 2 2" xfId="4427" xr:uid="{00000000-0005-0000-0000-00003A200000}"/>
    <cellStyle name="Normal 4 5 2 2 2 2 2" xfId="6102" xr:uid="{00000000-0005-0000-0000-00003B200000}"/>
    <cellStyle name="Normal 4 5 2 2 2 2 2 2" xfId="9452" xr:uid="{00000000-0005-0000-0000-00003C200000}"/>
    <cellStyle name="Normal 4 5 2 2 2 2 3" xfId="11127" xr:uid="{00000000-0005-0000-0000-00003D200000}"/>
    <cellStyle name="Normal 4 5 2 2 2 2 4" xfId="7777" xr:uid="{00000000-0005-0000-0000-00003E200000}"/>
    <cellStyle name="Normal 4 5 2 2 2 3" xfId="5135" xr:uid="{00000000-0005-0000-0000-00003F200000}"/>
    <cellStyle name="Normal 4 5 2 2 2 3 2" xfId="8485" xr:uid="{00000000-0005-0000-0000-000040200000}"/>
    <cellStyle name="Normal 4 5 2 2 2 4" xfId="10160" xr:uid="{00000000-0005-0000-0000-000041200000}"/>
    <cellStyle name="Normal 4 5 2 2 2 5" xfId="6810" xr:uid="{00000000-0005-0000-0000-000042200000}"/>
    <cellStyle name="Normal 4 5 2 2 3" xfId="3696" xr:uid="{00000000-0005-0000-0000-000043200000}"/>
    <cellStyle name="Normal 4 5 2 2 3 2" xfId="4663" xr:uid="{00000000-0005-0000-0000-000044200000}"/>
    <cellStyle name="Normal 4 5 2 2 3 2 2" xfId="6338" xr:uid="{00000000-0005-0000-0000-000045200000}"/>
    <cellStyle name="Normal 4 5 2 2 3 2 2 2" xfId="9688" xr:uid="{00000000-0005-0000-0000-000046200000}"/>
    <cellStyle name="Normal 4 5 2 2 3 2 3" xfId="11363" xr:uid="{00000000-0005-0000-0000-000047200000}"/>
    <cellStyle name="Normal 4 5 2 2 3 2 4" xfId="8013" xr:uid="{00000000-0005-0000-0000-000048200000}"/>
    <cellStyle name="Normal 4 5 2 2 3 3" xfId="5371" xr:uid="{00000000-0005-0000-0000-000049200000}"/>
    <cellStyle name="Normal 4 5 2 2 3 3 2" xfId="8721" xr:uid="{00000000-0005-0000-0000-00004A200000}"/>
    <cellStyle name="Normal 4 5 2 2 3 4" xfId="10396" xr:uid="{00000000-0005-0000-0000-00004B200000}"/>
    <cellStyle name="Normal 4 5 2 2 3 5" xfId="7046" xr:uid="{00000000-0005-0000-0000-00004C200000}"/>
    <cellStyle name="Normal 4 5 2 2 4" xfId="3932" xr:uid="{00000000-0005-0000-0000-00004D200000}"/>
    <cellStyle name="Normal 4 5 2 2 4 2" xfId="5607" xr:uid="{00000000-0005-0000-0000-00004E200000}"/>
    <cellStyle name="Normal 4 5 2 2 4 2 2" xfId="8957" xr:uid="{00000000-0005-0000-0000-00004F200000}"/>
    <cellStyle name="Normal 4 5 2 2 4 3" xfId="10632" xr:uid="{00000000-0005-0000-0000-000050200000}"/>
    <cellStyle name="Normal 4 5 2 2 4 4" xfId="7282" xr:uid="{00000000-0005-0000-0000-000051200000}"/>
    <cellStyle name="Normal 4 5 2 2 5" xfId="4191" xr:uid="{00000000-0005-0000-0000-000052200000}"/>
    <cellStyle name="Normal 4 5 2 2 5 2" xfId="5866" xr:uid="{00000000-0005-0000-0000-000053200000}"/>
    <cellStyle name="Normal 4 5 2 2 5 2 2" xfId="9216" xr:uid="{00000000-0005-0000-0000-000054200000}"/>
    <cellStyle name="Normal 4 5 2 2 5 3" xfId="10891" xr:uid="{00000000-0005-0000-0000-000055200000}"/>
    <cellStyle name="Normal 4 5 2 2 5 4" xfId="7541" xr:uid="{00000000-0005-0000-0000-000056200000}"/>
    <cellStyle name="Normal 4 5 2 2 6" xfId="4899" xr:uid="{00000000-0005-0000-0000-000057200000}"/>
    <cellStyle name="Normal 4 5 2 2 6 2" xfId="8249" xr:uid="{00000000-0005-0000-0000-000058200000}"/>
    <cellStyle name="Normal 4 5 2 2 7" xfId="9924" xr:uid="{00000000-0005-0000-0000-000059200000}"/>
    <cellStyle name="Normal 4 5 2 2 8" xfId="6574" xr:uid="{00000000-0005-0000-0000-00005A200000}"/>
    <cellStyle name="Normal 4 5 2 2 9" xfId="3225" xr:uid="{00000000-0005-0000-0000-000038200000}"/>
    <cellStyle name="Normal 4 5 2 3" xfId="3343" xr:uid="{00000000-0005-0000-0000-00005B200000}"/>
    <cellStyle name="Normal 4 5 2 3 2" xfId="4309" xr:uid="{00000000-0005-0000-0000-00005C200000}"/>
    <cellStyle name="Normal 4 5 2 3 2 2" xfId="5984" xr:uid="{00000000-0005-0000-0000-00005D200000}"/>
    <cellStyle name="Normal 4 5 2 3 2 2 2" xfId="9334" xr:uid="{00000000-0005-0000-0000-00005E200000}"/>
    <cellStyle name="Normal 4 5 2 3 2 3" xfId="11009" xr:uid="{00000000-0005-0000-0000-00005F200000}"/>
    <cellStyle name="Normal 4 5 2 3 2 4" xfId="7659" xr:uid="{00000000-0005-0000-0000-000060200000}"/>
    <cellStyle name="Normal 4 5 2 3 3" xfId="5017" xr:uid="{00000000-0005-0000-0000-000061200000}"/>
    <cellStyle name="Normal 4 5 2 3 3 2" xfId="8367" xr:uid="{00000000-0005-0000-0000-000062200000}"/>
    <cellStyle name="Normal 4 5 2 3 4" xfId="10042" xr:uid="{00000000-0005-0000-0000-000063200000}"/>
    <cellStyle name="Normal 4 5 2 3 5" xfId="6692" xr:uid="{00000000-0005-0000-0000-000064200000}"/>
    <cellStyle name="Normal 4 5 2 4" xfId="3578" xr:uid="{00000000-0005-0000-0000-000065200000}"/>
    <cellStyle name="Normal 4 5 2 4 2" xfId="4545" xr:uid="{00000000-0005-0000-0000-000066200000}"/>
    <cellStyle name="Normal 4 5 2 4 2 2" xfId="6220" xr:uid="{00000000-0005-0000-0000-000067200000}"/>
    <cellStyle name="Normal 4 5 2 4 2 2 2" xfId="9570" xr:uid="{00000000-0005-0000-0000-000068200000}"/>
    <cellStyle name="Normal 4 5 2 4 2 3" xfId="11245" xr:uid="{00000000-0005-0000-0000-000069200000}"/>
    <cellStyle name="Normal 4 5 2 4 2 4" xfId="7895" xr:uid="{00000000-0005-0000-0000-00006A200000}"/>
    <cellStyle name="Normal 4 5 2 4 3" xfId="5253" xr:uid="{00000000-0005-0000-0000-00006B200000}"/>
    <cellStyle name="Normal 4 5 2 4 3 2" xfId="8603" xr:uid="{00000000-0005-0000-0000-00006C200000}"/>
    <cellStyle name="Normal 4 5 2 4 4" xfId="10278" xr:uid="{00000000-0005-0000-0000-00006D200000}"/>
    <cellStyle name="Normal 4 5 2 4 5" xfId="6928" xr:uid="{00000000-0005-0000-0000-00006E200000}"/>
    <cellStyle name="Normal 4 5 2 5" xfId="3814" xr:uid="{00000000-0005-0000-0000-00006F200000}"/>
    <cellStyle name="Normal 4 5 2 5 2" xfId="5489" xr:uid="{00000000-0005-0000-0000-000070200000}"/>
    <cellStyle name="Normal 4 5 2 5 2 2" xfId="8839" xr:uid="{00000000-0005-0000-0000-000071200000}"/>
    <cellStyle name="Normal 4 5 2 5 3" xfId="10514" xr:uid="{00000000-0005-0000-0000-000072200000}"/>
    <cellStyle name="Normal 4 5 2 5 4" xfId="7164" xr:uid="{00000000-0005-0000-0000-000073200000}"/>
    <cellStyle name="Normal 4 5 2 6" xfId="4073" xr:uid="{00000000-0005-0000-0000-000074200000}"/>
    <cellStyle name="Normal 4 5 2 6 2" xfId="5748" xr:uid="{00000000-0005-0000-0000-000075200000}"/>
    <cellStyle name="Normal 4 5 2 6 2 2" xfId="9098" xr:uid="{00000000-0005-0000-0000-000076200000}"/>
    <cellStyle name="Normal 4 5 2 6 3" xfId="10773" xr:uid="{00000000-0005-0000-0000-000077200000}"/>
    <cellStyle name="Normal 4 5 2 6 4" xfId="7423" xr:uid="{00000000-0005-0000-0000-000078200000}"/>
    <cellStyle name="Normal 4 5 2 7" xfId="4781" xr:uid="{00000000-0005-0000-0000-000079200000}"/>
    <cellStyle name="Normal 4 5 2 7 2" xfId="8131" xr:uid="{00000000-0005-0000-0000-00007A200000}"/>
    <cellStyle name="Normal 4 5 2 8" xfId="9806" xr:uid="{00000000-0005-0000-0000-00007B200000}"/>
    <cellStyle name="Normal 4 5 2 9" xfId="6456" xr:uid="{00000000-0005-0000-0000-00007C200000}"/>
    <cellStyle name="Normal 4 5 3" xfId="3131" xr:uid="{00000000-0005-0000-0000-00007D200000}"/>
    <cellStyle name="Normal 4 5 3 2" xfId="3248" xr:uid="{00000000-0005-0000-0000-00007E200000}"/>
    <cellStyle name="Normal 4 5 3 2 2" xfId="3484" xr:uid="{00000000-0005-0000-0000-00007F200000}"/>
    <cellStyle name="Normal 4 5 3 2 2 2" xfId="4450" xr:uid="{00000000-0005-0000-0000-000080200000}"/>
    <cellStyle name="Normal 4 5 3 2 2 2 2" xfId="6125" xr:uid="{00000000-0005-0000-0000-000081200000}"/>
    <cellStyle name="Normal 4 5 3 2 2 2 2 2" xfId="9475" xr:uid="{00000000-0005-0000-0000-000082200000}"/>
    <cellStyle name="Normal 4 5 3 2 2 2 3" xfId="11150" xr:uid="{00000000-0005-0000-0000-000083200000}"/>
    <cellStyle name="Normal 4 5 3 2 2 2 4" xfId="7800" xr:uid="{00000000-0005-0000-0000-000084200000}"/>
    <cellStyle name="Normal 4 5 3 2 2 3" xfId="5158" xr:uid="{00000000-0005-0000-0000-000085200000}"/>
    <cellStyle name="Normal 4 5 3 2 2 3 2" xfId="8508" xr:uid="{00000000-0005-0000-0000-000086200000}"/>
    <cellStyle name="Normal 4 5 3 2 2 4" xfId="10183" xr:uid="{00000000-0005-0000-0000-000087200000}"/>
    <cellStyle name="Normal 4 5 3 2 2 5" xfId="6833" xr:uid="{00000000-0005-0000-0000-000088200000}"/>
    <cellStyle name="Normal 4 5 3 2 3" xfId="3719" xr:uid="{00000000-0005-0000-0000-000089200000}"/>
    <cellStyle name="Normal 4 5 3 2 3 2" xfId="4686" xr:uid="{00000000-0005-0000-0000-00008A200000}"/>
    <cellStyle name="Normal 4 5 3 2 3 2 2" xfId="6361" xr:uid="{00000000-0005-0000-0000-00008B200000}"/>
    <cellStyle name="Normal 4 5 3 2 3 2 2 2" xfId="9711" xr:uid="{00000000-0005-0000-0000-00008C200000}"/>
    <cellStyle name="Normal 4 5 3 2 3 2 3" xfId="11386" xr:uid="{00000000-0005-0000-0000-00008D200000}"/>
    <cellStyle name="Normal 4 5 3 2 3 2 4" xfId="8036" xr:uid="{00000000-0005-0000-0000-00008E200000}"/>
    <cellStyle name="Normal 4 5 3 2 3 3" xfId="5394" xr:uid="{00000000-0005-0000-0000-00008F200000}"/>
    <cellStyle name="Normal 4 5 3 2 3 3 2" xfId="8744" xr:uid="{00000000-0005-0000-0000-000090200000}"/>
    <cellStyle name="Normal 4 5 3 2 3 4" xfId="10419" xr:uid="{00000000-0005-0000-0000-000091200000}"/>
    <cellStyle name="Normal 4 5 3 2 3 5" xfId="7069" xr:uid="{00000000-0005-0000-0000-000092200000}"/>
    <cellStyle name="Normal 4 5 3 2 4" xfId="3955" xr:uid="{00000000-0005-0000-0000-000093200000}"/>
    <cellStyle name="Normal 4 5 3 2 4 2" xfId="5630" xr:uid="{00000000-0005-0000-0000-000094200000}"/>
    <cellStyle name="Normal 4 5 3 2 4 2 2" xfId="8980" xr:uid="{00000000-0005-0000-0000-000095200000}"/>
    <cellStyle name="Normal 4 5 3 2 4 3" xfId="10655" xr:uid="{00000000-0005-0000-0000-000096200000}"/>
    <cellStyle name="Normal 4 5 3 2 4 4" xfId="7305" xr:uid="{00000000-0005-0000-0000-000097200000}"/>
    <cellStyle name="Normal 4 5 3 2 5" xfId="4214" xr:uid="{00000000-0005-0000-0000-000098200000}"/>
    <cellStyle name="Normal 4 5 3 2 5 2" xfId="5889" xr:uid="{00000000-0005-0000-0000-000099200000}"/>
    <cellStyle name="Normal 4 5 3 2 5 2 2" xfId="9239" xr:uid="{00000000-0005-0000-0000-00009A200000}"/>
    <cellStyle name="Normal 4 5 3 2 5 3" xfId="10914" xr:uid="{00000000-0005-0000-0000-00009B200000}"/>
    <cellStyle name="Normal 4 5 3 2 5 4" xfId="7564" xr:uid="{00000000-0005-0000-0000-00009C200000}"/>
    <cellStyle name="Normal 4 5 3 2 6" xfId="4922" xr:uid="{00000000-0005-0000-0000-00009D200000}"/>
    <cellStyle name="Normal 4 5 3 2 6 2" xfId="8272" xr:uid="{00000000-0005-0000-0000-00009E200000}"/>
    <cellStyle name="Normal 4 5 3 2 7" xfId="9947" xr:uid="{00000000-0005-0000-0000-00009F200000}"/>
    <cellStyle name="Normal 4 5 3 2 8" xfId="6597" xr:uid="{00000000-0005-0000-0000-0000A0200000}"/>
    <cellStyle name="Normal 4 5 3 3" xfId="3366" xr:uid="{00000000-0005-0000-0000-0000A1200000}"/>
    <cellStyle name="Normal 4 5 3 3 2" xfId="4332" xr:uid="{00000000-0005-0000-0000-0000A2200000}"/>
    <cellStyle name="Normal 4 5 3 3 2 2" xfId="6007" xr:uid="{00000000-0005-0000-0000-0000A3200000}"/>
    <cellStyle name="Normal 4 5 3 3 2 2 2" xfId="9357" xr:uid="{00000000-0005-0000-0000-0000A4200000}"/>
    <cellStyle name="Normal 4 5 3 3 2 3" xfId="11032" xr:uid="{00000000-0005-0000-0000-0000A5200000}"/>
    <cellStyle name="Normal 4 5 3 3 2 4" xfId="7682" xr:uid="{00000000-0005-0000-0000-0000A6200000}"/>
    <cellStyle name="Normal 4 5 3 3 3" xfId="5040" xr:uid="{00000000-0005-0000-0000-0000A7200000}"/>
    <cellStyle name="Normal 4 5 3 3 3 2" xfId="8390" xr:uid="{00000000-0005-0000-0000-0000A8200000}"/>
    <cellStyle name="Normal 4 5 3 3 4" xfId="10065" xr:uid="{00000000-0005-0000-0000-0000A9200000}"/>
    <cellStyle name="Normal 4 5 3 3 5" xfId="6715" xr:uid="{00000000-0005-0000-0000-0000AA200000}"/>
    <cellStyle name="Normal 4 5 3 4" xfId="3601" xr:uid="{00000000-0005-0000-0000-0000AB200000}"/>
    <cellStyle name="Normal 4 5 3 4 2" xfId="4568" xr:uid="{00000000-0005-0000-0000-0000AC200000}"/>
    <cellStyle name="Normal 4 5 3 4 2 2" xfId="6243" xr:uid="{00000000-0005-0000-0000-0000AD200000}"/>
    <cellStyle name="Normal 4 5 3 4 2 2 2" xfId="9593" xr:uid="{00000000-0005-0000-0000-0000AE200000}"/>
    <cellStyle name="Normal 4 5 3 4 2 3" xfId="11268" xr:uid="{00000000-0005-0000-0000-0000AF200000}"/>
    <cellStyle name="Normal 4 5 3 4 2 4" xfId="7918" xr:uid="{00000000-0005-0000-0000-0000B0200000}"/>
    <cellStyle name="Normal 4 5 3 4 3" xfId="5276" xr:uid="{00000000-0005-0000-0000-0000B1200000}"/>
    <cellStyle name="Normal 4 5 3 4 3 2" xfId="8626" xr:uid="{00000000-0005-0000-0000-0000B2200000}"/>
    <cellStyle name="Normal 4 5 3 4 4" xfId="10301" xr:uid="{00000000-0005-0000-0000-0000B3200000}"/>
    <cellStyle name="Normal 4 5 3 4 5" xfId="6951" xr:uid="{00000000-0005-0000-0000-0000B4200000}"/>
    <cellStyle name="Normal 4 5 3 5" xfId="3837" xr:uid="{00000000-0005-0000-0000-0000B5200000}"/>
    <cellStyle name="Normal 4 5 3 5 2" xfId="5512" xr:uid="{00000000-0005-0000-0000-0000B6200000}"/>
    <cellStyle name="Normal 4 5 3 5 2 2" xfId="8862" xr:uid="{00000000-0005-0000-0000-0000B7200000}"/>
    <cellStyle name="Normal 4 5 3 5 3" xfId="10537" xr:uid="{00000000-0005-0000-0000-0000B8200000}"/>
    <cellStyle name="Normal 4 5 3 5 4" xfId="7187" xr:uid="{00000000-0005-0000-0000-0000B9200000}"/>
    <cellStyle name="Normal 4 5 3 6" xfId="4096" xr:uid="{00000000-0005-0000-0000-0000BA200000}"/>
    <cellStyle name="Normal 4 5 3 6 2" xfId="5771" xr:uid="{00000000-0005-0000-0000-0000BB200000}"/>
    <cellStyle name="Normal 4 5 3 6 2 2" xfId="9121" xr:uid="{00000000-0005-0000-0000-0000BC200000}"/>
    <cellStyle name="Normal 4 5 3 6 3" xfId="10796" xr:uid="{00000000-0005-0000-0000-0000BD200000}"/>
    <cellStyle name="Normal 4 5 3 6 4" xfId="7446" xr:uid="{00000000-0005-0000-0000-0000BE200000}"/>
    <cellStyle name="Normal 4 5 3 7" xfId="4804" xr:uid="{00000000-0005-0000-0000-0000BF200000}"/>
    <cellStyle name="Normal 4 5 3 7 2" xfId="8154" xr:uid="{00000000-0005-0000-0000-0000C0200000}"/>
    <cellStyle name="Normal 4 5 3 8" xfId="9829" xr:uid="{00000000-0005-0000-0000-0000C1200000}"/>
    <cellStyle name="Normal 4 5 3 9" xfId="6479" xr:uid="{00000000-0005-0000-0000-0000C2200000}"/>
    <cellStyle name="Normal 4 5 4" xfId="3154" xr:uid="{00000000-0005-0000-0000-0000C3200000}"/>
    <cellStyle name="Normal 4 5 4 2" xfId="3272" xr:uid="{00000000-0005-0000-0000-0000C4200000}"/>
    <cellStyle name="Normal 4 5 4 2 2" xfId="3508" xr:uid="{00000000-0005-0000-0000-0000C5200000}"/>
    <cellStyle name="Normal 4 5 4 2 2 2" xfId="4474" xr:uid="{00000000-0005-0000-0000-0000C6200000}"/>
    <cellStyle name="Normal 4 5 4 2 2 2 2" xfId="6149" xr:uid="{00000000-0005-0000-0000-0000C7200000}"/>
    <cellStyle name="Normal 4 5 4 2 2 2 2 2" xfId="9499" xr:uid="{00000000-0005-0000-0000-0000C8200000}"/>
    <cellStyle name="Normal 4 5 4 2 2 2 3" xfId="11174" xr:uid="{00000000-0005-0000-0000-0000C9200000}"/>
    <cellStyle name="Normal 4 5 4 2 2 2 4" xfId="7824" xr:uid="{00000000-0005-0000-0000-0000CA200000}"/>
    <cellStyle name="Normal 4 5 4 2 2 3" xfId="5182" xr:uid="{00000000-0005-0000-0000-0000CB200000}"/>
    <cellStyle name="Normal 4 5 4 2 2 3 2" xfId="8532" xr:uid="{00000000-0005-0000-0000-0000CC200000}"/>
    <cellStyle name="Normal 4 5 4 2 2 4" xfId="10207" xr:uid="{00000000-0005-0000-0000-0000CD200000}"/>
    <cellStyle name="Normal 4 5 4 2 2 5" xfId="6857" xr:uid="{00000000-0005-0000-0000-0000CE200000}"/>
    <cellStyle name="Normal 4 5 4 2 3" xfId="3743" xr:uid="{00000000-0005-0000-0000-0000CF200000}"/>
    <cellStyle name="Normal 4 5 4 2 3 2" xfId="4710" xr:uid="{00000000-0005-0000-0000-0000D0200000}"/>
    <cellStyle name="Normal 4 5 4 2 3 2 2" xfId="6385" xr:uid="{00000000-0005-0000-0000-0000D1200000}"/>
    <cellStyle name="Normal 4 5 4 2 3 2 2 2" xfId="9735" xr:uid="{00000000-0005-0000-0000-0000D2200000}"/>
    <cellStyle name="Normal 4 5 4 2 3 2 3" xfId="11410" xr:uid="{00000000-0005-0000-0000-0000D3200000}"/>
    <cellStyle name="Normal 4 5 4 2 3 2 4" xfId="8060" xr:uid="{00000000-0005-0000-0000-0000D4200000}"/>
    <cellStyle name="Normal 4 5 4 2 3 3" xfId="5418" xr:uid="{00000000-0005-0000-0000-0000D5200000}"/>
    <cellStyle name="Normal 4 5 4 2 3 3 2" xfId="8768" xr:uid="{00000000-0005-0000-0000-0000D6200000}"/>
    <cellStyle name="Normal 4 5 4 2 3 4" xfId="10443" xr:uid="{00000000-0005-0000-0000-0000D7200000}"/>
    <cellStyle name="Normal 4 5 4 2 3 5" xfId="7093" xr:uid="{00000000-0005-0000-0000-0000D8200000}"/>
    <cellStyle name="Normal 4 5 4 2 4" xfId="3979" xr:uid="{00000000-0005-0000-0000-0000D9200000}"/>
    <cellStyle name="Normal 4 5 4 2 4 2" xfId="5654" xr:uid="{00000000-0005-0000-0000-0000DA200000}"/>
    <cellStyle name="Normal 4 5 4 2 4 2 2" xfId="9004" xr:uid="{00000000-0005-0000-0000-0000DB200000}"/>
    <cellStyle name="Normal 4 5 4 2 4 3" xfId="10679" xr:uid="{00000000-0005-0000-0000-0000DC200000}"/>
    <cellStyle name="Normal 4 5 4 2 4 4" xfId="7329" xr:uid="{00000000-0005-0000-0000-0000DD200000}"/>
    <cellStyle name="Normal 4 5 4 2 5" xfId="4238" xr:uid="{00000000-0005-0000-0000-0000DE200000}"/>
    <cellStyle name="Normal 4 5 4 2 5 2" xfId="5913" xr:uid="{00000000-0005-0000-0000-0000DF200000}"/>
    <cellStyle name="Normal 4 5 4 2 5 2 2" xfId="9263" xr:uid="{00000000-0005-0000-0000-0000E0200000}"/>
    <cellStyle name="Normal 4 5 4 2 5 3" xfId="10938" xr:uid="{00000000-0005-0000-0000-0000E1200000}"/>
    <cellStyle name="Normal 4 5 4 2 5 4" xfId="7588" xr:uid="{00000000-0005-0000-0000-0000E2200000}"/>
    <cellStyle name="Normal 4 5 4 2 6" xfId="4946" xr:uid="{00000000-0005-0000-0000-0000E3200000}"/>
    <cellStyle name="Normal 4 5 4 2 6 2" xfId="8296" xr:uid="{00000000-0005-0000-0000-0000E4200000}"/>
    <cellStyle name="Normal 4 5 4 2 7" xfId="9971" xr:uid="{00000000-0005-0000-0000-0000E5200000}"/>
    <cellStyle name="Normal 4 5 4 2 8" xfId="6621" xr:uid="{00000000-0005-0000-0000-0000E6200000}"/>
    <cellStyle name="Normal 4 5 4 3" xfId="3390" xr:uid="{00000000-0005-0000-0000-0000E7200000}"/>
    <cellStyle name="Normal 4 5 4 3 2" xfId="4356" xr:uid="{00000000-0005-0000-0000-0000E8200000}"/>
    <cellStyle name="Normal 4 5 4 3 2 2" xfId="6031" xr:uid="{00000000-0005-0000-0000-0000E9200000}"/>
    <cellStyle name="Normal 4 5 4 3 2 2 2" xfId="9381" xr:uid="{00000000-0005-0000-0000-0000EA200000}"/>
    <cellStyle name="Normal 4 5 4 3 2 3" xfId="11056" xr:uid="{00000000-0005-0000-0000-0000EB200000}"/>
    <cellStyle name="Normal 4 5 4 3 2 4" xfId="7706" xr:uid="{00000000-0005-0000-0000-0000EC200000}"/>
    <cellStyle name="Normal 4 5 4 3 3" xfId="5064" xr:uid="{00000000-0005-0000-0000-0000ED200000}"/>
    <cellStyle name="Normal 4 5 4 3 3 2" xfId="8414" xr:uid="{00000000-0005-0000-0000-0000EE200000}"/>
    <cellStyle name="Normal 4 5 4 3 4" xfId="10089" xr:uid="{00000000-0005-0000-0000-0000EF200000}"/>
    <cellStyle name="Normal 4 5 4 3 5" xfId="6739" xr:uid="{00000000-0005-0000-0000-0000F0200000}"/>
    <cellStyle name="Normal 4 5 4 4" xfId="3625" xr:uid="{00000000-0005-0000-0000-0000F1200000}"/>
    <cellStyle name="Normal 4 5 4 4 2" xfId="4592" xr:uid="{00000000-0005-0000-0000-0000F2200000}"/>
    <cellStyle name="Normal 4 5 4 4 2 2" xfId="6267" xr:uid="{00000000-0005-0000-0000-0000F3200000}"/>
    <cellStyle name="Normal 4 5 4 4 2 2 2" xfId="9617" xr:uid="{00000000-0005-0000-0000-0000F4200000}"/>
    <cellStyle name="Normal 4 5 4 4 2 3" xfId="11292" xr:uid="{00000000-0005-0000-0000-0000F5200000}"/>
    <cellStyle name="Normal 4 5 4 4 2 4" xfId="7942" xr:uid="{00000000-0005-0000-0000-0000F6200000}"/>
    <cellStyle name="Normal 4 5 4 4 3" xfId="5300" xr:uid="{00000000-0005-0000-0000-0000F7200000}"/>
    <cellStyle name="Normal 4 5 4 4 3 2" xfId="8650" xr:uid="{00000000-0005-0000-0000-0000F8200000}"/>
    <cellStyle name="Normal 4 5 4 4 4" xfId="10325" xr:uid="{00000000-0005-0000-0000-0000F9200000}"/>
    <cellStyle name="Normal 4 5 4 4 5" xfId="6975" xr:uid="{00000000-0005-0000-0000-0000FA200000}"/>
    <cellStyle name="Normal 4 5 4 5" xfId="3861" xr:uid="{00000000-0005-0000-0000-0000FB200000}"/>
    <cellStyle name="Normal 4 5 4 5 2" xfId="5536" xr:uid="{00000000-0005-0000-0000-0000FC200000}"/>
    <cellStyle name="Normal 4 5 4 5 2 2" xfId="8886" xr:uid="{00000000-0005-0000-0000-0000FD200000}"/>
    <cellStyle name="Normal 4 5 4 5 3" xfId="10561" xr:uid="{00000000-0005-0000-0000-0000FE200000}"/>
    <cellStyle name="Normal 4 5 4 5 4" xfId="7211" xr:uid="{00000000-0005-0000-0000-0000FF200000}"/>
    <cellStyle name="Normal 4 5 4 6" xfId="4120" xr:uid="{00000000-0005-0000-0000-000000210000}"/>
    <cellStyle name="Normal 4 5 4 6 2" xfId="5795" xr:uid="{00000000-0005-0000-0000-000001210000}"/>
    <cellStyle name="Normal 4 5 4 6 2 2" xfId="9145" xr:uid="{00000000-0005-0000-0000-000002210000}"/>
    <cellStyle name="Normal 4 5 4 6 3" xfId="10820" xr:uid="{00000000-0005-0000-0000-000003210000}"/>
    <cellStyle name="Normal 4 5 4 6 4" xfId="7470" xr:uid="{00000000-0005-0000-0000-000004210000}"/>
    <cellStyle name="Normal 4 5 4 7" xfId="4828" xr:uid="{00000000-0005-0000-0000-000005210000}"/>
    <cellStyle name="Normal 4 5 4 7 2" xfId="8178" xr:uid="{00000000-0005-0000-0000-000006210000}"/>
    <cellStyle name="Normal 4 5 4 8" xfId="9853" xr:uid="{00000000-0005-0000-0000-000007210000}"/>
    <cellStyle name="Normal 4 5 4 9" xfId="6503" xr:uid="{00000000-0005-0000-0000-000008210000}"/>
    <cellStyle name="Normal 4 5 5" xfId="3178" xr:uid="{00000000-0005-0000-0000-000009210000}"/>
    <cellStyle name="Normal 4 5 5 2" xfId="3296" xr:uid="{00000000-0005-0000-0000-00000A210000}"/>
    <cellStyle name="Normal 4 5 5 2 2" xfId="3532" xr:uid="{00000000-0005-0000-0000-00000B210000}"/>
    <cellStyle name="Normal 4 5 5 2 2 2" xfId="4498" xr:uid="{00000000-0005-0000-0000-00000C210000}"/>
    <cellStyle name="Normal 4 5 5 2 2 2 2" xfId="6173" xr:uid="{00000000-0005-0000-0000-00000D210000}"/>
    <cellStyle name="Normal 4 5 5 2 2 2 2 2" xfId="9523" xr:uid="{00000000-0005-0000-0000-00000E210000}"/>
    <cellStyle name="Normal 4 5 5 2 2 2 3" xfId="11198" xr:uid="{00000000-0005-0000-0000-00000F210000}"/>
    <cellStyle name="Normal 4 5 5 2 2 2 4" xfId="7848" xr:uid="{00000000-0005-0000-0000-000010210000}"/>
    <cellStyle name="Normal 4 5 5 2 2 3" xfId="5206" xr:uid="{00000000-0005-0000-0000-000011210000}"/>
    <cellStyle name="Normal 4 5 5 2 2 3 2" xfId="8556" xr:uid="{00000000-0005-0000-0000-000012210000}"/>
    <cellStyle name="Normal 4 5 5 2 2 4" xfId="10231" xr:uid="{00000000-0005-0000-0000-000013210000}"/>
    <cellStyle name="Normal 4 5 5 2 2 5" xfId="6881" xr:uid="{00000000-0005-0000-0000-000014210000}"/>
    <cellStyle name="Normal 4 5 5 2 3" xfId="3767" xr:uid="{00000000-0005-0000-0000-000015210000}"/>
    <cellStyle name="Normal 4 5 5 2 3 2" xfId="4734" xr:uid="{00000000-0005-0000-0000-000016210000}"/>
    <cellStyle name="Normal 4 5 5 2 3 2 2" xfId="6409" xr:uid="{00000000-0005-0000-0000-000017210000}"/>
    <cellStyle name="Normal 4 5 5 2 3 2 2 2" xfId="9759" xr:uid="{00000000-0005-0000-0000-000018210000}"/>
    <cellStyle name="Normal 4 5 5 2 3 2 3" xfId="11434" xr:uid="{00000000-0005-0000-0000-000019210000}"/>
    <cellStyle name="Normal 4 5 5 2 3 2 4" xfId="8084" xr:uid="{00000000-0005-0000-0000-00001A210000}"/>
    <cellStyle name="Normal 4 5 5 2 3 3" xfId="5442" xr:uid="{00000000-0005-0000-0000-00001B210000}"/>
    <cellStyle name="Normal 4 5 5 2 3 3 2" xfId="8792" xr:uid="{00000000-0005-0000-0000-00001C210000}"/>
    <cellStyle name="Normal 4 5 5 2 3 4" xfId="10467" xr:uid="{00000000-0005-0000-0000-00001D210000}"/>
    <cellStyle name="Normal 4 5 5 2 3 5" xfId="7117" xr:uid="{00000000-0005-0000-0000-00001E210000}"/>
    <cellStyle name="Normal 4 5 5 2 4" xfId="4003" xr:uid="{00000000-0005-0000-0000-00001F210000}"/>
    <cellStyle name="Normal 4 5 5 2 4 2" xfId="5678" xr:uid="{00000000-0005-0000-0000-000020210000}"/>
    <cellStyle name="Normal 4 5 5 2 4 2 2" xfId="9028" xr:uid="{00000000-0005-0000-0000-000021210000}"/>
    <cellStyle name="Normal 4 5 5 2 4 3" xfId="10703" xr:uid="{00000000-0005-0000-0000-000022210000}"/>
    <cellStyle name="Normal 4 5 5 2 4 4" xfId="7353" xr:uid="{00000000-0005-0000-0000-000023210000}"/>
    <cellStyle name="Normal 4 5 5 2 5" xfId="4262" xr:uid="{00000000-0005-0000-0000-000024210000}"/>
    <cellStyle name="Normal 4 5 5 2 5 2" xfId="5937" xr:uid="{00000000-0005-0000-0000-000025210000}"/>
    <cellStyle name="Normal 4 5 5 2 5 2 2" xfId="9287" xr:uid="{00000000-0005-0000-0000-000026210000}"/>
    <cellStyle name="Normal 4 5 5 2 5 3" xfId="10962" xr:uid="{00000000-0005-0000-0000-000027210000}"/>
    <cellStyle name="Normal 4 5 5 2 5 4" xfId="7612" xr:uid="{00000000-0005-0000-0000-000028210000}"/>
    <cellStyle name="Normal 4 5 5 2 6" xfId="4970" xr:uid="{00000000-0005-0000-0000-000029210000}"/>
    <cellStyle name="Normal 4 5 5 2 6 2" xfId="8320" xr:uid="{00000000-0005-0000-0000-00002A210000}"/>
    <cellStyle name="Normal 4 5 5 2 7" xfId="9995" xr:uid="{00000000-0005-0000-0000-00002B210000}"/>
    <cellStyle name="Normal 4 5 5 2 8" xfId="6645" xr:uid="{00000000-0005-0000-0000-00002C210000}"/>
    <cellStyle name="Normal 4 5 5 3" xfId="3414" xr:uid="{00000000-0005-0000-0000-00002D210000}"/>
    <cellStyle name="Normal 4 5 5 3 2" xfId="4380" xr:uid="{00000000-0005-0000-0000-00002E210000}"/>
    <cellStyle name="Normal 4 5 5 3 2 2" xfId="6055" xr:uid="{00000000-0005-0000-0000-00002F210000}"/>
    <cellStyle name="Normal 4 5 5 3 2 2 2" xfId="9405" xr:uid="{00000000-0005-0000-0000-000030210000}"/>
    <cellStyle name="Normal 4 5 5 3 2 3" xfId="11080" xr:uid="{00000000-0005-0000-0000-000031210000}"/>
    <cellStyle name="Normal 4 5 5 3 2 4" xfId="7730" xr:uid="{00000000-0005-0000-0000-000032210000}"/>
    <cellStyle name="Normal 4 5 5 3 3" xfId="5088" xr:uid="{00000000-0005-0000-0000-000033210000}"/>
    <cellStyle name="Normal 4 5 5 3 3 2" xfId="8438" xr:uid="{00000000-0005-0000-0000-000034210000}"/>
    <cellStyle name="Normal 4 5 5 3 4" xfId="10113" xr:uid="{00000000-0005-0000-0000-000035210000}"/>
    <cellStyle name="Normal 4 5 5 3 5" xfId="6763" xr:uid="{00000000-0005-0000-0000-000036210000}"/>
    <cellStyle name="Normal 4 5 5 4" xfId="3649" xr:uid="{00000000-0005-0000-0000-000037210000}"/>
    <cellStyle name="Normal 4 5 5 4 2" xfId="4616" xr:uid="{00000000-0005-0000-0000-000038210000}"/>
    <cellStyle name="Normal 4 5 5 4 2 2" xfId="6291" xr:uid="{00000000-0005-0000-0000-000039210000}"/>
    <cellStyle name="Normal 4 5 5 4 2 2 2" xfId="9641" xr:uid="{00000000-0005-0000-0000-00003A210000}"/>
    <cellStyle name="Normal 4 5 5 4 2 3" xfId="11316" xr:uid="{00000000-0005-0000-0000-00003B210000}"/>
    <cellStyle name="Normal 4 5 5 4 2 4" xfId="7966" xr:uid="{00000000-0005-0000-0000-00003C210000}"/>
    <cellStyle name="Normal 4 5 5 4 3" xfId="5324" xr:uid="{00000000-0005-0000-0000-00003D210000}"/>
    <cellStyle name="Normal 4 5 5 4 3 2" xfId="8674" xr:uid="{00000000-0005-0000-0000-00003E210000}"/>
    <cellStyle name="Normal 4 5 5 4 4" xfId="10349" xr:uid="{00000000-0005-0000-0000-00003F210000}"/>
    <cellStyle name="Normal 4 5 5 4 5" xfId="6999" xr:uid="{00000000-0005-0000-0000-000040210000}"/>
    <cellStyle name="Normal 4 5 5 5" xfId="3885" xr:uid="{00000000-0005-0000-0000-000041210000}"/>
    <cellStyle name="Normal 4 5 5 5 2" xfId="5560" xr:uid="{00000000-0005-0000-0000-000042210000}"/>
    <cellStyle name="Normal 4 5 5 5 2 2" xfId="8910" xr:uid="{00000000-0005-0000-0000-000043210000}"/>
    <cellStyle name="Normal 4 5 5 5 3" xfId="10585" xr:uid="{00000000-0005-0000-0000-000044210000}"/>
    <cellStyle name="Normal 4 5 5 5 4" xfId="7235" xr:uid="{00000000-0005-0000-0000-000045210000}"/>
    <cellStyle name="Normal 4 5 5 6" xfId="4144" xr:uid="{00000000-0005-0000-0000-000046210000}"/>
    <cellStyle name="Normal 4 5 5 6 2" xfId="5819" xr:uid="{00000000-0005-0000-0000-000047210000}"/>
    <cellStyle name="Normal 4 5 5 6 2 2" xfId="9169" xr:uid="{00000000-0005-0000-0000-000048210000}"/>
    <cellStyle name="Normal 4 5 5 6 3" xfId="10844" xr:uid="{00000000-0005-0000-0000-000049210000}"/>
    <cellStyle name="Normal 4 5 5 6 4" xfId="7494" xr:uid="{00000000-0005-0000-0000-00004A210000}"/>
    <cellStyle name="Normal 4 5 5 7" xfId="4852" xr:uid="{00000000-0005-0000-0000-00004B210000}"/>
    <cellStyle name="Normal 4 5 5 7 2" xfId="8202" xr:uid="{00000000-0005-0000-0000-00004C210000}"/>
    <cellStyle name="Normal 4 5 5 8" xfId="9877" xr:uid="{00000000-0005-0000-0000-00004D210000}"/>
    <cellStyle name="Normal 4 5 5 9" xfId="6527" xr:uid="{00000000-0005-0000-0000-00004E210000}"/>
    <cellStyle name="Normal 4 5 6" xfId="3202" xr:uid="{00000000-0005-0000-0000-00004F210000}"/>
    <cellStyle name="Normal 4 5 6 2" xfId="3438" xr:uid="{00000000-0005-0000-0000-000050210000}"/>
    <cellStyle name="Normal 4 5 6 2 2" xfId="4404" xr:uid="{00000000-0005-0000-0000-000051210000}"/>
    <cellStyle name="Normal 4 5 6 2 2 2" xfId="6079" xr:uid="{00000000-0005-0000-0000-000052210000}"/>
    <cellStyle name="Normal 4 5 6 2 2 2 2" xfId="9429" xr:uid="{00000000-0005-0000-0000-000053210000}"/>
    <cellStyle name="Normal 4 5 6 2 2 3" xfId="11104" xr:uid="{00000000-0005-0000-0000-000054210000}"/>
    <cellStyle name="Normal 4 5 6 2 2 4" xfId="7754" xr:uid="{00000000-0005-0000-0000-000055210000}"/>
    <cellStyle name="Normal 4 5 6 2 3" xfId="5112" xr:uid="{00000000-0005-0000-0000-000056210000}"/>
    <cellStyle name="Normal 4 5 6 2 3 2" xfId="8462" xr:uid="{00000000-0005-0000-0000-000057210000}"/>
    <cellStyle name="Normal 4 5 6 2 4" xfId="10137" xr:uid="{00000000-0005-0000-0000-000058210000}"/>
    <cellStyle name="Normal 4 5 6 2 5" xfId="6787" xr:uid="{00000000-0005-0000-0000-000059210000}"/>
    <cellStyle name="Normal 4 5 6 3" xfId="3673" xr:uid="{00000000-0005-0000-0000-00005A210000}"/>
    <cellStyle name="Normal 4 5 6 3 2" xfId="4640" xr:uid="{00000000-0005-0000-0000-00005B210000}"/>
    <cellStyle name="Normal 4 5 6 3 2 2" xfId="6315" xr:uid="{00000000-0005-0000-0000-00005C210000}"/>
    <cellStyle name="Normal 4 5 6 3 2 2 2" xfId="9665" xr:uid="{00000000-0005-0000-0000-00005D210000}"/>
    <cellStyle name="Normal 4 5 6 3 2 3" xfId="11340" xr:uid="{00000000-0005-0000-0000-00005E210000}"/>
    <cellStyle name="Normal 4 5 6 3 2 4" xfId="7990" xr:uid="{00000000-0005-0000-0000-00005F210000}"/>
    <cellStyle name="Normal 4 5 6 3 3" xfId="5348" xr:uid="{00000000-0005-0000-0000-000060210000}"/>
    <cellStyle name="Normal 4 5 6 3 3 2" xfId="8698" xr:uid="{00000000-0005-0000-0000-000061210000}"/>
    <cellStyle name="Normal 4 5 6 3 4" xfId="10373" xr:uid="{00000000-0005-0000-0000-000062210000}"/>
    <cellStyle name="Normal 4 5 6 3 5" xfId="7023" xr:uid="{00000000-0005-0000-0000-000063210000}"/>
    <cellStyle name="Normal 4 5 6 4" xfId="3909" xr:uid="{00000000-0005-0000-0000-000064210000}"/>
    <cellStyle name="Normal 4 5 6 4 2" xfId="5584" xr:uid="{00000000-0005-0000-0000-000065210000}"/>
    <cellStyle name="Normal 4 5 6 4 2 2" xfId="8934" xr:uid="{00000000-0005-0000-0000-000066210000}"/>
    <cellStyle name="Normal 4 5 6 4 3" xfId="10609" xr:uid="{00000000-0005-0000-0000-000067210000}"/>
    <cellStyle name="Normal 4 5 6 4 4" xfId="7259" xr:uid="{00000000-0005-0000-0000-000068210000}"/>
    <cellStyle name="Normal 4 5 6 5" xfId="4168" xr:uid="{00000000-0005-0000-0000-000069210000}"/>
    <cellStyle name="Normal 4 5 6 5 2" xfId="5843" xr:uid="{00000000-0005-0000-0000-00006A210000}"/>
    <cellStyle name="Normal 4 5 6 5 2 2" xfId="9193" xr:uid="{00000000-0005-0000-0000-00006B210000}"/>
    <cellStyle name="Normal 4 5 6 5 3" xfId="10868" xr:uid="{00000000-0005-0000-0000-00006C210000}"/>
    <cellStyle name="Normal 4 5 6 5 4" xfId="7518" xr:uid="{00000000-0005-0000-0000-00006D210000}"/>
    <cellStyle name="Normal 4 5 6 6" xfId="4876" xr:uid="{00000000-0005-0000-0000-00006E210000}"/>
    <cellStyle name="Normal 4 5 6 6 2" xfId="8226" xr:uid="{00000000-0005-0000-0000-00006F210000}"/>
    <cellStyle name="Normal 4 5 6 7" xfId="9901" xr:uid="{00000000-0005-0000-0000-000070210000}"/>
    <cellStyle name="Normal 4 5 6 8" xfId="6551" xr:uid="{00000000-0005-0000-0000-000071210000}"/>
    <cellStyle name="Normal 4 5 7" xfId="3320" xr:uid="{00000000-0005-0000-0000-000072210000}"/>
    <cellStyle name="Normal 4 5 7 2" xfId="4286" xr:uid="{00000000-0005-0000-0000-000073210000}"/>
    <cellStyle name="Normal 4 5 7 2 2" xfId="5961" xr:uid="{00000000-0005-0000-0000-000074210000}"/>
    <cellStyle name="Normal 4 5 7 2 2 2" xfId="9311" xr:uid="{00000000-0005-0000-0000-000075210000}"/>
    <cellStyle name="Normal 4 5 7 2 3" xfId="10986" xr:uid="{00000000-0005-0000-0000-000076210000}"/>
    <cellStyle name="Normal 4 5 7 2 4" xfId="7636" xr:uid="{00000000-0005-0000-0000-000077210000}"/>
    <cellStyle name="Normal 4 5 7 3" xfId="4994" xr:uid="{00000000-0005-0000-0000-000078210000}"/>
    <cellStyle name="Normal 4 5 7 3 2" xfId="8344" xr:uid="{00000000-0005-0000-0000-000079210000}"/>
    <cellStyle name="Normal 4 5 7 4" xfId="10019" xr:uid="{00000000-0005-0000-0000-00007A210000}"/>
    <cellStyle name="Normal 4 5 7 5" xfId="6669" xr:uid="{00000000-0005-0000-0000-00007B210000}"/>
    <cellStyle name="Normal 4 5 8" xfId="3555" xr:uid="{00000000-0005-0000-0000-00007C210000}"/>
    <cellStyle name="Normal 4 5 8 2" xfId="4522" xr:uid="{00000000-0005-0000-0000-00007D210000}"/>
    <cellStyle name="Normal 4 5 8 2 2" xfId="6197" xr:uid="{00000000-0005-0000-0000-00007E210000}"/>
    <cellStyle name="Normal 4 5 8 2 2 2" xfId="9547" xr:uid="{00000000-0005-0000-0000-00007F210000}"/>
    <cellStyle name="Normal 4 5 8 2 3" xfId="11222" xr:uid="{00000000-0005-0000-0000-000080210000}"/>
    <cellStyle name="Normal 4 5 8 2 4" xfId="7872" xr:uid="{00000000-0005-0000-0000-000081210000}"/>
    <cellStyle name="Normal 4 5 8 3" xfId="5230" xr:uid="{00000000-0005-0000-0000-000082210000}"/>
    <cellStyle name="Normal 4 5 8 3 2" xfId="8580" xr:uid="{00000000-0005-0000-0000-000083210000}"/>
    <cellStyle name="Normal 4 5 8 4" xfId="10255" xr:uid="{00000000-0005-0000-0000-000084210000}"/>
    <cellStyle name="Normal 4 5 8 5" xfId="6905" xr:uid="{00000000-0005-0000-0000-000085210000}"/>
    <cellStyle name="Normal 4 5 9" xfId="3791" xr:uid="{00000000-0005-0000-0000-000086210000}"/>
    <cellStyle name="Normal 4 5 9 2" xfId="4050" xr:uid="{00000000-0005-0000-0000-000087210000}"/>
    <cellStyle name="Normal 4 5 9 2 2" xfId="5725" xr:uid="{00000000-0005-0000-0000-000088210000}"/>
    <cellStyle name="Normal 4 5 9 2 2 2" xfId="9075" xr:uid="{00000000-0005-0000-0000-000089210000}"/>
    <cellStyle name="Normal 4 5 9 2 3" xfId="10750" xr:uid="{00000000-0005-0000-0000-00008A210000}"/>
    <cellStyle name="Normal 4 5 9 2 4" xfId="7400" xr:uid="{00000000-0005-0000-0000-00008B210000}"/>
    <cellStyle name="Normal 4 5 9 3" xfId="5466" xr:uid="{00000000-0005-0000-0000-00008C210000}"/>
    <cellStyle name="Normal 4 5 9 3 2" xfId="8816" xr:uid="{00000000-0005-0000-0000-00008D210000}"/>
    <cellStyle name="Normal 4 5 9 4" xfId="10491" xr:uid="{00000000-0005-0000-0000-00008E210000}"/>
    <cellStyle name="Normal 4 5 9 5" xfId="7141" xr:uid="{00000000-0005-0000-0000-00008F210000}"/>
    <cellStyle name="Normal 4 6" xfId="2137" xr:uid="{00000000-0005-0000-0000-0000FE080000}"/>
    <cellStyle name="Normal 4 7" xfId="58" xr:uid="{00000000-0005-0000-0000-0000ED080000}"/>
    <cellStyle name="Normal 5" xfId="57" xr:uid="{00000000-0005-0000-0000-0000FF080000}"/>
    <cellStyle name="Normal 5 2" xfId="279" xr:uid="{00000000-0005-0000-0000-000000090000}"/>
    <cellStyle name="Normal 5 2 2" xfId="374" xr:uid="{00000000-0005-0000-0000-000001090000}"/>
    <cellStyle name="Normal 5 2 2 2" xfId="2429" xr:uid="{00000000-0005-0000-0000-000002090000}"/>
    <cellStyle name="Normal 5 2 2 2 2" xfId="2659" xr:uid="{00000000-0005-0000-0000-000003090000}"/>
    <cellStyle name="Normal 5 2 2 2 2 2" xfId="2850" xr:uid="{00000000-0005-0000-0000-000003090000}"/>
    <cellStyle name="Normal 5 2 2 3" xfId="2787" xr:uid="{00000000-0005-0000-0000-000010010000}"/>
    <cellStyle name="Normal 5 2 2 4" xfId="12102" xr:uid="{00000000-0005-0000-0000-0000150B0000}"/>
    <cellStyle name="Normal 5 2 3" xfId="2148" xr:uid="{00000000-0005-0000-0000-000004090000}"/>
    <cellStyle name="Normal 5 2 4" xfId="2149" xr:uid="{00000000-0005-0000-0000-000005090000}"/>
    <cellStyle name="Normal 5 2 5" xfId="2660" xr:uid="{00000000-0005-0000-0000-000006090000}"/>
    <cellStyle name="Normal 5 2 5 2" xfId="2851" xr:uid="{00000000-0005-0000-0000-000006090000}"/>
    <cellStyle name="Normal 5 2 6" xfId="2763" xr:uid="{00000000-0005-0000-0000-00000F010000}"/>
    <cellStyle name="Normal 5 2 7" xfId="12103" xr:uid="{00000000-0005-0000-0000-00001B0B0000}"/>
    <cellStyle name="Normal 5 2 8" xfId="12104" xr:uid="{00000000-0005-0000-0000-00001C0B0000}"/>
    <cellStyle name="Normal 5 3" xfId="358" xr:uid="{00000000-0005-0000-0000-000007090000}"/>
    <cellStyle name="Normal 5 3 2" xfId="2661" xr:uid="{00000000-0005-0000-0000-000008090000}"/>
    <cellStyle name="Normal 5 3 2 2" xfId="2852" xr:uid="{00000000-0005-0000-0000-000008090000}"/>
    <cellStyle name="Normal 5 3 3" xfId="2662" xr:uid="{00000000-0005-0000-0000-000009090000}"/>
    <cellStyle name="Normal 5 3 4" xfId="2771" xr:uid="{00000000-0005-0000-0000-000011010000}"/>
    <cellStyle name="Normal 5 3 5" xfId="12105" xr:uid="{00000000-0005-0000-0000-0000220B0000}"/>
    <cellStyle name="Normal 5 4" xfId="2150" xr:uid="{00000000-0005-0000-0000-00000A090000}"/>
    <cellStyle name="Normal 5 4 10" xfId="4028" xr:uid="{00000000-0005-0000-0000-000097210000}"/>
    <cellStyle name="Normal 5 4 10 2" xfId="5703" xr:uid="{00000000-0005-0000-0000-000098210000}"/>
    <cellStyle name="Normal 5 4 10 2 2" xfId="9053" xr:uid="{00000000-0005-0000-0000-000099210000}"/>
    <cellStyle name="Normal 5 4 10 3" xfId="10728" xr:uid="{00000000-0005-0000-0000-00009A210000}"/>
    <cellStyle name="Normal 5 4 10 4" xfId="7378" xr:uid="{00000000-0005-0000-0000-00009B210000}"/>
    <cellStyle name="Normal 5 4 11" xfId="4759" xr:uid="{00000000-0005-0000-0000-00009C210000}"/>
    <cellStyle name="Normal 5 4 11 2" xfId="8109" xr:uid="{00000000-0005-0000-0000-00009D210000}"/>
    <cellStyle name="Normal 5 4 12" xfId="9784" xr:uid="{00000000-0005-0000-0000-00009E210000}"/>
    <cellStyle name="Normal 5 4 13" xfId="6434" xr:uid="{00000000-0005-0000-0000-00009F210000}"/>
    <cellStyle name="Normal 5 4 14" xfId="12241" xr:uid="{00000000-0005-0000-0000-000096210000}"/>
    <cellStyle name="Normal 5 4 2" xfId="2430" xr:uid="{00000000-0005-0000-0000-00000B090000}"/>
    <cellStyle name="Normal 5 4 2 10" xfId="3109" xr:uid="{00000000-0005-0000-0000-0000A0210000}"/>
    <cellStyle name="Normal 5 4 2 2" xfId="3226" xr:uid="{00000000-0005-0000-0000-0000A1210000}"/>
    <cellStyle name="Normal 5 4 2 2 2" xfId="3462" xr:uid="{00000000-0005-0000-0000-0000A2210000}"/>
    <cellStyle name="Normal 5 4 2 2 2 2" xfId="4428" xr:uid="{00000000-0005-0000-0000-0000A3210000}"/>
    <cellStyle name="Normal 5 4 2 2 2 2 2" xfId="6103" xr:uid="{00000000-0005-0000-0000-0000A4210000}"/>
    <cellStyle name="Normal 5 4 2 2 2 2 2 2" xfId="9453" xr:uid="{00000000-0005-0000-0000-0000A5210000}"/>
    <cellStyle name="Normal 5 4 2 2 2 2 3" xfId="11128" xr:uid="{00000000-0005-0000-0000-0000A6210000}"/>
    <cellStyle name="Normal 5 4 2 2 2 2 4" xfId="7778" xr:uid="{00000000-0005-0000-0000-0000A7210000}"/>
    <cellStyle name="Normal 5 4 2 2 2 3" xfId="5136" xr:uid="{00000000-0005-0000-0000-0000A8210000}"/>
    <cellStyle name="Normal 5 4 2 2 2 3 2" xfId="8486" xr:uid="{00000000-0005-0000-0000-0000A9210000}"/>
    <cellStyle name="Normal 5 4 2 2 2 4" xfId="10161" xr:uid="{00000000-0005-0000-0000-0000AA210000}"/>
    <cellStyle name="Normal 5 4 2 2 2 5" xfId="6811" xr:uid="{00000000-0005-0000-0000-0000AB210000}"/>
    <cellStyle name="Normal 5 4 2 2 3" xfId="3697" xr:uid="{00000000-0005-0000-0000-0000AC210000}"/>
    <cellStyle name="Normal 5 4 2 2 3 2" xfId="4664" xr:uid="{00000000-0005-0000-0000-0000AD210000}"/>
    <cellStyle name="Normal 5 4 2 2 3 2 2" xfId="6339" xr:uid="{00000000-0005-0000-0000-0000AE210000}"/>
    <cellStyle name="Normal 5 4 2 2 3 2 2 2" xfId="9689" xr:uid="{00000000-0005-0000-0000-0000AF210000}"/>
    <cellStyle name="Normal 5 4 2 2 3 2 3" xfId="11364" xr:uid="{00000000-0005-0000-0000-0000B0210000}"/>
    <cellStyle name="Normal 5 4 2 2 3 2 4" xfId="8014" xr:uid="{00000000-0005-0000-0000-0000B1210000}"/>
    <cellStyle name="Normal 5 4 2 2 3 3" xfId="5372" xr:uid="{00000000-0005-0000-0000-0000B2210000}"/>
    <cellStyle name="Normal 5 4 2 2 3 3 2" xfId="8722" xr:uid="{00000000-0005-0000-0000-0000B3210000}"/>
    <cellStyle name="Normal 5 4 2 2 3 4" xfId="10397" xr:uid="{00000000-0005-0000-0000-0000B4210000}"/>
    <cellStyle name="Normal 5 4 2 2 3 5" xfId="7047" xr:uid="{00000000-0005-0000-0000-0000B5210000}"/>
    <cellStyle name="Normal 5 4 2 2 4" xfId="3933" xr:uid="{00000000-0005-0000-0000-0000B6210000}"/>
    <cellStyle name="Normal 5 4 2 2 4 2" xfId="5608" xr:uid="{00000000-0005-0000-0000-0000B7210000}"/>
    <cellStyle name="Normal 5 4 2 2 4 2 2" xfId="8958" xr:uid="{00000000-0005-0000-0000-0000B8210000}"/>
    <cellStyle name="Normal 5 4 2 2 4 3" xfId="10633" xr:uid="{00000000-0005-0000-0000-0000B9210000}"/>
    <cellStyle name="Normal 5 4 2 2 4 4" xfId="7283" xr:uid="{00000000-0005-0000-0000-0000BA210000}"/>
    <cellStyle name="Normal 5 4 2 2 5" xfId="4192" xr:uid="{00000000-0005-0000-0000-0000BB210000}"/>
    <cellStyle name="Normal 5 4 2 2 5 2" xfId="5867" xr:uid="{00000000-0005-0000-0000-0000BC210000}"/>
    <cellStyle name="Normal 5 4 2 2 5 2 2" xfId="9217" xr:uid="{00000000-0005-0000-0000-0000BD210000}"/>
    <cellStyle name="Normal 5 4 2 2 5 3" xfId="10892" xr:uid="{00000000-0005-0000-0000-0000BE210000}"/>
    <cellStyle name="Normal 5 4 2 2 5 4" xfId="7542" xr:uid="{00000000-0005-0000-0000-0000BF210000}"/>
    <cellStyle name="Normal 5 4 2 2 6" xfId="4900" xr:uid="{00000000-0005-0000-0000-0000C0210000}"/>
    <cellStyle name="Normal 5 4 2 2 6 2" xfId="8250" xr:uid="{00000000-0005-0000-0000-0000C1210000}"/>
    <cellStyle name="Normal 5 4 2 2 7" xfId="9925" xr:uid="{00000000-0005-0000-0000-0000C2210000}"/>
    <cellStyle name="Normal 5 4 2 2 8" xfId="6575" xr:uid="{00000000-0005-0000-0000-0000C3210000}"/>
    <cellStyle name="Normal 5 4 2 3" xfId="3344" xr:uid="{00000000-0005-0000-0000-0000C4210000}"/>
    <cellStyle name="Normal 5 4 2 3 2" xfId="4310" xr:uid="{00000000-0005-0000-0000-0000C5210000}"/>
    <cellStyle name="Normal 5 4 2 3 2 2" xfId="5985" xr:uid="{00000000-0005-0000-0000-0000C6210000}"/>
    <cellStyle name="Normal 5 4 2 3 2 2 2" xfId="9335" xr:uid="{00000000-0005-0000-0000-0000C7210000}"/>
    <cellStyle name="Normal 5 4 2 3 2 3" xfId="11010" xr:uid="{00000000-0005-0000-0000-0000C8210000}"/>
    <cellStyle name="Normal 5 4 2 3 2 4" xfId="7660" xr:uid="{00000000-0005-0000-0000-0000C9210000}"/>
    <cellStyle name="Normal 5 4 2 3 3" xfId="5018" xr:uid="{00000000-0005-0000-0000-0000CA210000}"/>
    <cellStyle name="Normal 5 4 2 3 3 2" xfId="8368" xr:uid="{00000000-0005-0000-0000-0000CB210000}"/>
    <cellStyle name="Normal 5 4 2 3 4" xfId="10043" xr:uid="{00000000-0005-0000-0000-0000CC210000}"/>
    <cellStyle name="Normal 5 4 2 3 5" xfId="6693" xr:uid="{00000000-0005-0000-0000-0000CD210000}"/>
    <cellStyle name="Normal 5 4 2 4" xfId="3579" xr:uid="{00000000-0005-0000-0000-0000CE210000}"/>
    <cellStyle name="Normal 5 4 2 4 2" xfId="4546" xr:uid="{00000000-0005-0000-0000-0000CF210000}"/>
    <cellStyle name="Normal 5 4 2 4 2 2" xfId="6221" xr:uid="{00000000-0005-0000-0000-0000D0210000}"/>
    <cellStyle name="Normal 5 4 2 4 2 2 2" xfId="9571" xr:uid="{00000000-0005-0000-0000-0000D1210000}"/>
    <cellStyle name="Normal 5 4 2 4 2 3" xfId="11246" xr:uid="{00000000-0005-0000-0000-0000D2210000}"/>
    <cellStyle name="Normal 5 4 2 4 2 4" xfId="7896" xr:uid="{00000000-0005-0000-0000-0000D3210000}"/>
    <cellStyle name="Normal 5 4 2 4 3" xfId="5254" xr:uid="{00000000-0005-0000-0000-0000D4210000}"/>
    <cellStyle name="Normal 5 4 2 4 3 2" xfId="8604" xr:uid="{00000000-0005-0000-0000-0000D5210000}"/>
    <cellStyle name="Normal 5 4 2 4 4" xfId="10279" xr:uid="{00000000-0005-0000-0000-0000D6210000}"/>
    <cellStyle name="Normal 5 4 2 4 5" xfId="6929" xr:uid="{00000000-0005-0000-0000-0000D7210000}"/>
    <cellStyle name="Normal 5 4 2 5" xfId="3815" xr:uid="{00000000-0005-0000-0000-0000D8210000}"/>
    <cellStyle name="Normal 5 4 2 5 2" xfId="5490" xr:uid="{00000000-0005-0000-0000-0000D9210000}"/>
    <cellStyle name="Normal 5 4 2 5 2 2" xfId="8840" xr:uid="{00000000-0005-0000-0000-0000DA210000}"/>
    <cellStyle name="Normal 5 4 2 5 3" xfId="10515" xr:uid="{00000000-0005-0000-0000-0000DB210000}"/>
    <cellStyle name="Normal 5 4 2 5 4" xfId="7165" xr:uid="{00000000-0005-0000-0000-0000DC210000}"/>
    <cellStyle name="Normal 5 4 2 6" xfId="4074" xr:uid="{00000000-0005-0000-0000-0000DD210000}"/>
    <cellStyle name="Normal 5 4 2 6 2" xfId="5749" xr:uid="{00000000-0005-0000-0000-0000DE210000}"/>
    <cellStyle name="Normal 5 4 2 6 2 2" xfId="9099" xr:uid="{00000000-0005-0000-0000-0000DF210000}"/>
    <cellStyle name="Normal 5 4 2 6 3" xfId="10774" xr:uid="{00000000-0005-0000-0000-0000E0210000}"/>
    <cellStyle name="Normal 5 4 2 6 4" xfId="7424" xr:uid="{00000000-0005-0000-0000-0000E1210000}"/>
    <cellStyle name="Normal 5 4 2 7" xfId="4782" xr:uid="{00000000-0005-0000-0000-0000E2210000}"/>
    <cellStyle name="Normal 5 4 2 7 2" xfId="8132" xr:uid="{00000000-0005-0000-0000-0000E3210000}"/>
    <cellStyle name="Normal 5 4 2 8" xfId="9807" xr:uid="{00000000-0005-0000-0000-0000E4210000}"/>
    <cellStyle name="Normal 5 4 2 9" xfId="6457" xr:uid="{00000000-0005-0000-0000-0000E5210000}"/>
    <cellStyle name="Normal 5 4 3" xfId="3132" xr:uid="{00000000-0005-0000-0000-0000E6210000}"/>
    <cellStyle name="Normal 5 4 3 2" xfId="3249" xr:uid="{00000000-0005-0000-0000-0000E7210000}"/>
    <cellStyle name="Normal 5 4 3 2 2" xfId="3485" xr:uid="{00000000-0005-0000-0000-0000E8210000}"/>
    <cellStyle name="Normal 5 4 3 2 2 2" xfId="4451" xr:uid="{00000000-0005-0000-0000-0000E9210000}"/>
    <cellStyle name="Normal 5 4 3 2 2 2 2" xfId="6126" xr:uid="{00000000-0005-0000-0000-0000EA210000}"/>
    <cellStyle name="Normal 5 4 3 2 2 2 2 2" xfId="9476" xr:uid="{00000000-0005-0000-0000-0000EB210000}"/>
    <cellStyle name="Normal 5 4 3 2 2 2 3" xfId="11151" xr:uid="{00000000-0005-0000-0000-0000EC210000}"/>
    <cellStyle name="Normal 5 4 3 2 2 2 4" xfId="7801" xr:uid="{00000000-0005-0000-0000-0000ED210000}"/>
    <cellStyle name="Normal 5 4 3 2 2 3" xfId="5159" xr:uid="{00000000-0005-0000-0000-0000EE210000}"/>
    <cellStyle name="Normal 5 4 3 2 2 3 2" xfId="8509" xr:uid="{00000000-0005-0000-0000-0000EF210000}"/>
    <cellStyle name="Normal 5 4 3 2 2 4" xfId="10184" xr:uid="{00000000-0005-0000-0000-0000F0210000}"/>
    <cellStyle name="Normal 5 4 3 2 2 5" xfId="6834" xr:uid="{00000000-0005-0000-0000-0000F1210000}"/>
    <cellStyle name="Normal 5 4 3 2 3" xfId="3720" xr:uid="{00000000-0005-0000-0000-0000F2210000}"/>
    <cellStyle name="Normal 5 4 3 2 3 2" xfId="4687" xr:uid="{00000000-0005-0000-0000-0000F3210000}"/>
    <cellStyle name="Normal 5 4 3 2 3 2 2" xfId="6362" xr:uid="{00000000-0005-0000-0000-0000F4210000}"/>
    <cellStyle name="Normal 5 4 3 2 3 2 2 2" xfId="9712" xr:uid="{00000000-0005-0000-0000-0000F5210000}"/>
    <cellStyle name="Normal 5 4 3 2 3 2 3" xfId="11387" xr:uid="{00000000-0005-0000-0000-0000F6210000}"/>
    <cellStyle name="Normal 5 4 3 2 3 2 4" xfId="8037" xr:uid="{00000000-0005-0000-0000-0000F7210000}"/>
    <cellStyle name="Normal 5 4 3 2 3 3" xfId="5395" xr:uid="{00000000-0005-0000-0000-0000F8210000}"/>
    <cellStyle name="Normal 5 4 3 2 3 3 2" xfId="8745" xr:uid="{00000000-0005-0000-0000-0000F9210000}"/>
    <cellStyle name="Normal 5 4 3 2 3 4" xfId="10420" xr:uid="{00000000-0005-0000-0000-0000FA210000}"/>
    <cellStyle name="Normal 5 4 3 2 3 5" xfId="7070" xr:uid="{00000000-0005-0000-0000-0000FB210000}"/>
    <cellStyle name="Normal 5 4 3 2 4" xfId="3956" xr:uid="{00000000-0005-0000-0000-0000FC210000}"/>
    <cellStyle name="Normal 5 4 3 2 4 2" xfId="5631" xr:uid="{00000000-0005-0000-0000-0000FD210000}"/>
    <cellStyle name="Normal 5 4 3 2 4 2 2" xfId="8981" xr:uid="{00000000-0005-0000-0000-0000FE210000}"/>
    <cellStyle name="Normal 5 4 3 2 4 3" xfId="10656" xr:uid="{00000000-0005-0000-0000-0000FF210000}"/>
    <cellStyle name="Normal 5 4 3 2 4 4" xfId="7306" xr:uid="{00000000-0005-0000-0000-000000220000}"/>
    <cellStyle name="Normal 5 4 3 2 5" xfId="4215" xr:uid="{00000000-0005-0000-0000-000001220000}"/>
    <cellStyle name="Normal 5 4 3 2 5 2" xfId="5890" xr:uid="{00000000-0005-0000-0000-000002220000}"/>
    <cellStyle name="Normal 5 4 3 2 5 2 2" xfId="9240" xr:uid="{00000000-0005-0000-0000-000003220000}"/>
    <cellStyle name="Normal 5 4 3 2 5 3" xfId="10915" xr:uid="{00000000-0005-0000-0000-000004220000}"/>
    <cellStyle name="Normal 5 4 3 2 5 4" xfId="7565" xr:uid="{00000000-0005-0000-0000-000005220000}"/>
    <cellStyle name="Normal 5 4 3 2 6" xfId="4923" xr:uid="{00000000-0005-0000-0000-000006220000}"/>
    <cellStyle name="Normal 5 4 3 2 6 2" xfId="8273" xr:uid="{00000000-0005-0000-0000-000007220000}"/>
    <cellStyle name="Normal 5 4 3 2 7" xfId="9948" xr:uid="{00000000-0005-0000-0000-000008220000}"/>
    <cellStyle name="Normal 5 4 3 2 8" xfId="6598" xr:uid="{00000000-0005-0000-0000-000009220000}"/>
    <cellStyle name="Normal 5 4 3 3" xfId="3367" xr:uid="{00000000-0005-0000-0000-00000A220000}"/>
    <cellStyle name="Normal 5 4 3 3 2" xfId="4333" xr:uid="{00000000-0005-0000-0000-00000B220000}"/>
    <cellStyle name="Normal 5 4 3 3 2 2" xfId="6008" xr:uid="{00000000-0005-0000-0000-00000C220000}"/>
    <cellStyle name="Normal 5 4 3 3 2 2 2" xfId="9358" xr:uid="{00000000-0005-0000-0000-00000D220000}"/>
    <cellStyle name="Normal 5 4 3 3 2 3" xfId="11033" xr:uid="{00000000-0005-0000-0000-00000E220000}"/>
    <cellStyle name="Normal 5 4 3 3 2 4" xfId="7683" xr:uid="{00000000-0005-0000-0000-00000F220000}"/>
    <cellStyle name="Normal 5 4 3 3 3" xfId="5041" xr:uid="{00000000-0005-0000-0000-000010220000}"/>
    <cellStyle name="Normal 5 4 3 3 3 2" xfId="8391" xr:uid="{00000000-0005-0000-0000-000011220000}"/>
    <cellStyle name="Normal 5 4 3 3 4" xfId="10066" xr:uid="{00000000-0005-0000-0000-000012220000}"/>
    <cellStyle name="Normal 5 4 3 3 5" xfId="6716" xr:uid="{00000000-0005-0000-0000-000013220000}"/>
    <cellStyle name="Normal 5 4 3 4" xfId="3602" xr:uid="{00000000-0005-0000-0000-000014220000}"/>
    <cellStyle name="Normal 5 4 3 4 2" xfId="4569" xr:uid="{00000000-0005-0000-0000-000015220000}"/>
    <cellStyle name="Normal 5 4 3 4 2 2" xfId="6244" xr:uid="{00000000-0005-0000-0000-000016220000}"/>
    <cellStyle name="Normal 5 4 3 4 2 2 2" xfId="9594" xr:uid="{00000000-0005-0000-0000-000017220000}"/>
    <cellStyle name="Normal 5 4 3 4 2 3" xfId="11269" xr:uid="{00000000-0005-0000-0000-000018220000}"/>
    <cellStyle name="Normal 5 4 3 4 2 4" xfId="7919" xr:uid="{00000000-0005-0000-0000-000019220000}"/>
    <cellStyle name="Normal 5 4 3 4 3" xfId="5277" xr:uid="{00000000-0005-0000-0000-00001A220000}"/>
    <cellStyle name="Normal 5 4 3 4 3 2" xfId="8627" xr:uid="{00000000-0005-0000-0000-00001B220000}"/>
    <cellStyle name="Normal 5 4 3 4 4" xfId="10302" xr:uid="{00000000-0005-0000-0000-00001C220000}"/>
    <cellStyle name="Normal 5 4 3 4 5" xfId="6952" xr:uid="{00000000-0005-0000-0000-00001D220000}"/>
    <cellStyle name="Normal 5 4 3 5" xfId="3838" xr:uid="{00000000-0005-0000-0000-00001E220000}"/>
    <cellStyle name="Normal 5 4 3 5 2" xfId="5513" xr:uid="{00000000-0005-0000-0000-00001F220000}"/>
    <cellStyle name="Normal 5 4 3 5 2 2" xfId="8863" xr:uid="{00000000-0005-0000-0000-000020220000}"/>
    <cellStyle name="Normal 5 4 3 5 3" xfId="10538" xr:uid="{00000000-0005-0000-0000-000021220000}"/>
    <cellStyle name="Normal 5 4 3 5 4" xfId="7188" xr:uid="{00000000-0005-0000-0000-000022220000}"/>
    <cellStyle name="Normal 5 4 3 6" xfId="4097" xr:uid="{00000000-0005-0000-0000-000023220000}"/>
    <cellStyle name="Normal 5 4 3 6 2" xfId="5772" xr:uid="{00000000-0005-0000-0000-000024220000}"/>
    <cellStyle name="Normal 5 4 3 6 2 2" xfId="9122" xr:uid="{00000000-0005-0000-0000-000025220000}"/>
    <cellStyle name="Normal 5 4 3 6 3" xfId="10797" xr:uid="{00000000-0005-0000-0000-000026220000}"/>
    <cellStyle name="Normal 5 4 3 6 4" xfId="7447" xr:uid="{00000000-0005-0000-0000-000027220000}"/>
    <cellStyle name="Normal 5 4 3 7" xfId="4805" xr:uid="{00000000-0005-0000-0000-000028220000}"/>
    <cellStyle name="Normal 5 4 3 7 2" xfId="8155" xr:uid="{00000000-0005-0000-0000-000029220000}"/>
    <cellStyle name="Normal 5 4 3 8" xfId="9830" xr:uid="{00000000-0005-0000-0000-00002A220000}"/>
    <cellStyle name="Normal 5 4 3 9" xfId="6480" xr:uid="{00000000-0005-0000-0000-00002B220000}"/>
    <cellStyle name="Normal 5 4 4" xfId="3155" xr:uid="{00000000-0005-0000-0000-00002C220000}"/>
    <cellStyle name="Normal 5 4 4 2" xfId="3273" xr:uid="{00000000-0005-0000-0000-00002D220000}"/>
    <cellStyle name="Normal 5 4 4 2 2" xfId="3509" xr:uid="{00000000-0005-0000-0000-00002E220000}"/>
    <cellStyle name="Normal 5 4 4 2 2 2" xfId="4475" xr:uid="{00000000-0005-0000-0000-00002F220000}"/>
    <cellStyle name="Normal 5 4 4 2 2 2 2" xfId="6150" xr:uid="{00000000-0005-0000-0000-000030220000}"/>
    <cellStyle name="Normal 5 4 4 2 2 2 2 2" xfId="9500" xr:uid="{00000000-0005-0000-0000-000031220000}"/>
    <cellStyle name="Normal 5 4 4 2 2 2 3" xfId="11175" xr:uid="{00000000-0005-0000-0000-000032220000}"/>
    <cellStyle name="Normal 5 4 4 2 2 2 4" xfId="7825" xr:uid="{00000000-0005-0000-0000-000033220000}"/>
    <cellStyle name="Normal 5 4 4 2 2 3" xfId="5183" xr:uid="{00000000-0005-0000-0000-000034220000}"/>
    <cellStyle name="Normal 5 4 4 2 2 3 2" xfId="8533" xr:uid="{00000000-0005-0000-0000-000035220000}"/>
    <cellStyle name="Normal 5 4 4 2 2 4" xfId="10208" xr:uid="{00000000-0005-0000-0000-000036220000}"/>
    <cellStyle name="Normal 5 4 4 2 2 5" xfId="6858" xr:uid="{00000000-0005-0000-0000-000037220000}"/>
    <cellStyle name="Normal 5 4 4 2 3" xfId="3744" xr:uid="{00000000-0005-0000-0000-000038220000}"/>
    <cellStyle name="Normal 5 4 4 2 3 2" xfId="4711" xr:uid="{00000000-0005-0000-0000-000039220000}"/>
    <cellStyle name="Normal 5 4 4 2 3 2 2" xfId="6386" xr:uid="{00000000-0005-0000-0000-00003A220000}"/>
    <cellStyle name="Normal 5 4 4 2 3 2 2 2" xfId="9736" xr:uid="{00000000-0005-0000-0000-00003B220000}"/>
    <cellStyle name="Normal 5 4 4 2 3 2 3" xfId="11411" xr:uid="{00000000-0005-0000-0000-00003C220000}"/>
    <cellStyle name="Normal 5 4 4 2 3 2 4" xfId="8061" xr:uid="{00000000-0005-0000-0000-00003D220000}"/>
    <cellStyle name="Normal 5 4 4 2 3 3" xfId="5419" xr:uid="{00000000-0005-0000-0000-00003E220000}"/>
    <cellStyle name="Normal 5 4 4 2 3 3 2" xfId="8769" xr:uid="{00000000-0005-0000-0000-00003F220000}"/>
    <cellStyle name="Normal 5 4 4 2 3 4" xfId="10444" xr:uid="{00000000-0005-0000-0000-000040220000}"/>
    <cellStyle name="Normal 5 4 4 2 3 5" xfId="7094" xr:uid="{00000000-0005-0000-0000-000041220000}"/>
    <cellStyle name="Normal 5 4 4 2 4" xfId="3980" xr:uid="{00000000-0005-0000-0000-000042220000}"/>
    <cellStyle name="Normal 5 4 4 2 4 2" xfId="5655" xr:uid="{00000000-0005-0000-0000-000043220000}"/>
    <cellStyle name="Normal 5 4 4 2 4 2 2" xfId="9005" xr:uid="{00000000-0005-0000-0000-000044220000}"/>
    <cellStyle name="Normal 5 4 4 2 4 3" xfId="10680" xr:uid="{00000000-0005-0000-0000-000045220000}"/>
    <cellStyle name="Normal 5 4 4 2 4 4" xfId="7330" xr:uid="{00000000-0005-0000-0000-000046220000}"/>
    <cellStyle name="Normal 5 4 4 2 5" xfId="4239" xr:uid="{00000000-0005-0000-0000-000047220000}"/>
    <cellStyle name="Normal 5 4 4 2 5 2" xfId="5914" xr:uid="{00000000-0005-0000-0000-000048220000}"/>
    <cellStyle name="Normal 5 4 4 2 5 2 2" xfId="9264" xr:uid="{00000000-0005-0000-0000-000049220000}"/>
    <cellStyle name="Normal 5 4 4 2 5 3" xfId="10939" xr:uid="{00000000-0005-0000-0000-00004A220000}"/>
    <cellStyle name="Normal 5 4 4 2 5 4" xfId="7589" xr:uid="{00000000-0005-0000-0000-00004B220000}"/>
    <cellStyle name="Normal 5 4 4 2 6" xfId="4947" xr:uid="{00000000-0005-0000-0000-00004C220000}"/>
    <cellStyle name="Normal 5 4 4 2 6 2" xfId="8297" xr:uid="{00000000-0005-0000-0000-00004D220000}"/>
    <cellStyle name="Normal 5 4 4 2 7" xfId="9972" xr:uid="{00000000-0005-0000-0000-00004E220000}"/>
    <cellStyle name="Normal 5 4 4 2 8" xfId="6622" xr:uid="{00000000-0005-0000-0000-00004F220000}"/>
    <cellStyle name="Normal 5 4 4 3" xfId="3391" xr:uid="{00000000-0005-0000-0000-000050220000}"/>
    <cellStyle name="Normal 5 4 4 3 2" xfId="4357" xr:uid="{00000000-0005-0000-0000-000051220000}"/>
    <cellStyle name="Normal 5 4 4 3 2 2" xfId="6032" xr:uid="{00000000-0005-0000-0000-000052220000}"/>
    <cellStyle name="Normal 5 4 4 3 2 2 2" xfId="9382" xr:uid="{00000000-0005-0000-0000-000053220000}"/>
    <cellStyle name="Normal 5 4 4 3 2 3" xfId="11057" xr:uid="{00000000-0005-0000-0000-000054220000}"/>
    <cellStyle name="Normal 5 4 4 3 2 4" xfId="7707" xr:uid="{00000000-0005-0000-0000-000055220000}"/>
    <cellStyle name="Normal 5 4 4 3 3" xfId="5065" xr:uid="{00000000-0005-0000-0000-000056220000}"/>
    <cellStyle name="Normal 5 4 4 3 3 2" xfId="8415" xr:uid="{00000000-0005-0000-0000-000057220000}"/>
    <cellStyle name="Normal 5 4 4 3 4" xfId="10090" xr:uid="{00000000-0005-0000-0000-000058220000}"/>
    <cellStyle name="Normal 5 4 4 3 5" xfId="6740" xr:uid="{00000000-0005-0000-0000-000059220000}"/>
    <cellStyle name="Normal 5 4 4 4" xfId="3626" xr:uid="{00000000-0005-0000-0000-00005A220000}"/>
    <cellStyle name="Normal 5 4 4 4 2" xfId="4593" xr:uid="{00000000-0005-0000-0000-00005B220000}"/>
    <cellStyle name="Normal 5 4 4 4 2 2" xfId="6268" xr:uid="{00000000-0005-0000-0000-00005C220000}"/>
    <cellStyle name="Normal 5 4 4 4 2 2 2" xfId="9618" xr:uid="{00000000-0005-0000-0000-00005D220000}"/>
    <cellStyle name="Normal 5 4 4 4 2 3" xfId="11293" xr:uid="{00000000-0005-0000-0000-00005E220000}"/>
    <cellStyle name="Normal 5 4 4 4 2 4" xfId="7943" xr:uid="{00000000-0005-0000-0000-00005F220000}"/>
    <cellStyle name="Normal 5 4 4 4 3" xfId="5301" xr:uid="{00000000-0005-0000-0000-000060220000}"/>
    <cellStyle name="Normal 5 4 4 4 3 2" xfId="8651" xr:uid="{00000000-0005-0000-0000-000061220000}"/>
    <cellStyle name="Normal 5 4 4 4 4" xfId="10326" xr:uid="{00000000-0005-0000-0000-000062220000}"/>
    <cellStyle name="Normal 5 4 4 4 5" xfId="6976" xr:uid="{00000000-0005-0000-0000-000063220000}"/>
    <cellStyle name="Normal 5 4 4 5" xfId="3862" xr:uid="{00000000-0005-0000-0000-000064220000}"/>
    <cellStyle name="Normal 5 4 4 5 2" xfId="5537" xr:uid="{00000000-0005-0000-0000-000065220000}"/>
    <cellStyle name="Normal 5 4 4 5 2 2" xfId="8887" xr:uid="{00000000-0005-0000-0000-000066220000}"/>
    <cellStyle name="Normal 5 4 4 5 3" xfId="10562" xr:uid="{00000000-0005-0000-0000-000067220000}"/>
    <cellStyle name="Normal 5 4 4 5 4" xfId="7212" xr:uid="{00000000-0005-0000-0000-000068220000}"/>
    <cellStyle name="Normal 5 4 4 6" xfId="4121" xr:uid="{00000000-0005-0000-0000-000069220000}"/>
    <cellStyle name="Normal 5 4 4 6 2" xfId="5796" xr:uid="{00000000-0005-0000-0000-00006A220000}"/>
    <cellStyle name="Normal 5 4 4 6 2 2" xfId="9146" xr:uid="{00000000-0005-0000-0000-00006B220000}"/>
    <cellStyle name="Normal 5 4 4 6 3" xfId="10821" xr:uid="{00000000-0005-0000-0000-00006C220000}"/>
    <cellStyle name="Normal 5 4 4 6 4" xfId="7471" xr:uid="{00000000-0005-0000-0000-00006D220000}"/>
    <cellStyle name="Normal 5 4 4 7" xfId="4829" xr:uid="{00000000-0005-0000-0000-00006E220000}"/>
    <cellStyle name="Normal 5 4 4 7 2" xfId="8179" xr:uid="{00000000-0005-0000-0000-00006F220000}"/>
    <cellStyle name="Normal 5 4 4 8" xfId="9854" xr:uid="{00000000-0005-0000-0000-000070220000}"/>
    <cellStyle name="Normal 5 4 4 9" xfId="6504" xr:uid="{00000000-0005-0000-0000-000071220000}"/>
    <cellStyle name="Normal 5 4 5" xfId="3179" xr:uid="{00000000-0005-0000-0000-000072220000}"/>
    <cellStyle name="Normal 5 4 5 2" xfId="3297" xr:uid="{00000000-0005-0000-0000-000073220000}"/>
    <cellStyle name="Normal 5 4 5 2 2" xfId="3533" xr:uid="{00000000-0005-0000-0000-000074220000}"/>
    <cellStyle name="Normal 5 4 5 2 2 2" xfId="4499" xr:uid="{00000000-0005-0000-0000-000075220000}"/>
    <cellStyle name="Normal 5 4 5 2 2 2 2" xfId="6174" xr:uid="{00000000-0005-0000-0000-000076220000}"/>
    <cellStyle name="Normal 5 4 5 2 2 2 2 2" xfId="9524" xr:uid="{00000000-0005-0000-0000-000077220000}"/>
    <cellStyle name="Normal 5 4 5 2 2 2 3" xfId="11199" xr:uid="{00000000-0005-0000-0000-000078220000}"/>
    <cellStyle name="Normal 5 4 5 2 2 2 4" xfId="7849" xr:uid="{00000000-0005-0000-0000-000079220000}"/>
    <cellStyle name="Normal 5 4 5 2 2 3" xfId="5207" xr:uid="{00000000-0005-0000-0000-00007A220000}"/>
    <cellStyle name="Normal 5 4 5 2 2 3 2" xfId="8557" xr:uid="{00000000-0005-0000-0000-00007B220000}"/>
    <cellStyle name="Normal 5 4 5 2 2 4" xfId="10232" xr:uid="{00000000-0005-0000-0000-00007C220000}"/>
    <cellStyle name="Normal 5 4 5 2 2 5" xfId="6882" xr:uid="{00000000-0005-0000-0000-00007D220000}"/>
    <cellStyle name="Normal 5 4 5 2 3" xfId="3768" xr:uid="{00000000-0005-0000-0000-00007E220000}"/>
    <cellStyle name="Normal 5 4 5 2 3 2" xfId="4735" xr:uid="{00000000-0005-0000-0000-00007F220000}"/>
    <cellStyle name="Normal 5 4 5 2 3 2 2" xfId="6410" xr:uid="{00000000-0005-0000-0000-000080220000}"/>
    <cellStyle name="Normal 5 4 5 2 3 2 2 2" xfId="9760" xr:uid="{00000000-0005-0000-0000-000081220000}"/>
    <cellStyle name="Normal 5 4 5 2 3 2 3" xfId="11435" xr:uid="{00000000-0005-0000-0000-000082220000}"/>
    <cellStyle name="Normal 5 4 5 2 3 2 4" xfId="8085" xr:uid="{00000000-0005-0000-0000-000083220000}"/>
    <cellStyle name="Normal 5 4 5 2 3 3" xfId="5443" xr:uid="{00000000-0005-0000-0000-000084220000}"/>
    <cellStyle name="Normal 5 4 5 2 3 3 2" xfId="8793" xr:uid="{00000000-0005-0000-0000-000085220000}"/>
    <cellStyle name="Normal 5 4 5 2 3 4" xfId="10468" xr:uid="{00000000-0005-0000-0000-000086220000}"/>
    <cellStyle name="Normal 5 4 5 2 3 5" xfId="7118" xr:uid="{00000000-0005-0000-0000-000087220000}"/>
    <cellStyle name="Normal 5 4 5 2 4" xfId="4004" xr:uid="{00000000-0005-0000-0000-000088220000}"/>
    <cellStyle name="Normal 5 4 5 2 4 2" xfId="5679" xr:uid="{00000000-0005-0000-0000-000089220000}"/>
    <cellStyle name="Normal 5 4 5 2 4 2 2" xfId="9029" xr:uid="{00000000-0005-0000-0000-00008A220000}"/>
    <cellStyle name="Normal 5 4 5 2 4 3" xfId="10704" xr:uid="{00000000-0005-0000-0000-00008B220000}"/>
    <cellStyle name="Normal 5 4 5 2 4 4" xfId="7354" xr:uid="{00000000-0005-0000-0000-00008C220000}"/>
    <cellStyle name="Normal 5 4 5 2 5" xfId="4263" xr:uid="{00000000-0005-0000-0000-00008D220000}"/>
    <cellStyle name="Normal 5 4 5 2 5 2" xfId="5938" xr:uid="{00000000-0005-0000-0000-00008E220000}"/>
    <cellStyle name="Normal 5 4 5 2 5 2 2" xfId="9288" xr:uid="{00000000-0005-0000-0000-00008F220000}"/>
    <cellStyle name="Normal 5 4 5 2 5 3" xfId="10963" xr:uid="{00000000-0005-0000-0000-000090220000}"/>
    <cellStyle name="Normal 5 4 5 2 5 4" xfId="7613" xr:uid="{00000000-0005-0000-0000-000091220000}"/>
    <cellStyle name="Normal 5 4 5 2 6" xfId="4971" xr:uid="{00000000-0005-0000-0000-000092220000}"/>
    <cellStyle name="Normal 5 4 5 2 6 2" xfId="8321" xr:uid="{00000000-0005-0000-0000-000093220000}"/>
    <cellStyle name="Normal 5 4 5 2 7" xfId="9996" xr:uid="{00000000-0005-0000-0000-000094220000}"/>
    <cellStyle name="Normal 5 4 5 2 8" xfId="6646" xr:uid="{00000000-0005-0000-0000-000095220000}"/>
    <cellStyle name="Normal 5 4 5 3" xfId="3415" xr:uid="{00000000-0005-0000-0000-000096220000}"/>
    <cellStyle name="Normal 5 4 5 3 2" xfId="4381" xr:uid="{00000000-0005-0000-0000-000097220000}"/>
    <cellStyle name="Normal 5 4 5 3 2 2" xfId="6056" xr:uid="{00000000-0005-0000-0000-000098220000}"/>
    <cellStyle name="Normal 5 4 5 3 2 2 2" xfId="9406" xr:uid="{00000000-0005-0000-0000-000099220000}"/>
    <cellStyle name="Normal 5 4 5 3 2 3" xfId="11081" xr:uid="{00000000-0005-0000-0000-00009A220000}"/>
    <cellStyle name="Normal 5 4 5 3 2 4" xfId="7731" xr:uid="{00000000-0005-0000-0000-00009B220000}"/>
    <cellStyle name="Normal 5 4 5 3 3" xfId="5089" xr:uid="{00000000-0005-0000-0000-00009C220000}"/>
    <cellStyle name="Normal 5 4 5 3 3 2" xfId="8439" xr:uid="{00000000-0005-0000-0000-00009D220000}"/>
    <cellStyle name="Normal 5 4 5 3 4" xfId="10114" xr:uid="{00000000-0005-0000-0000-00009E220000}"/>
    <cellStyle name="Normal 5 4 5 3 5" xfId="6764" xr:uid="{00000000-0005-0000-0000-00009F220000}"/>
    <cellStyle name="Normal 5 4 5 4" xfId="3650" xr:uid="{00000000-0005-0000-0000-0000A0220000}"/>
    <cellStyle name="Normal 5 4 5 4 2" xfId="4617" xr:uid="{00000000-0005-0000-0000-0000A1220000}"/>
    <cellStyle name="Normal 5 4 5 4 2 2" xfId="6292" xr:uid="{00000000-0005-0000-0000-0000A2220000}"/>
    <cellStyle name="Normal 5 4 5 4 2 2 2" xfId="9642" xr:uid="{00000000-0005-0000-0000-0000A3220000}"/>
    <cellStyle name="Normal 5 4 5 4 2 3" xfId="11317" xr:uid="{00000000-0005-0000-0000-0000A4220000}"/>
    <cellStyle name="Normal 5 4 5 4 2 4" xfId="7967" xr:uid="{00000000-0005-0000-0000-0000A5220000}"/>
    <cellStyle name="Normal 5 4 5 4 3" xfId="5325" xr:uid="{00000000-0005-0000-0000-0000A6220000}"/>
    <cellStyle name="Normal 5 4 5 4 3 2" xfId="8675" xr:uid="{00000000-0005-0000-0000-0000A7220000}"/>
    <cellStyle name="Normal 5 4 5 4 4" xfId="10350" xr:uid="{00000000-0005-0000-0000-0000A8220000}"/>
    <cellStyle name="Normal 5 4 5 4 5" xfId="7000" xr:uid="{00000000-0005-0000-0000-0000A9220000}"/>
    <cellStyle name="Normal 5 4 5 5" xfId="3886" xr:uid="{00000000-0005-0000-0000-0000AA220000}"/>
    <cellStyle name="Normal 5 4 5 5 2" xfId="5561" xr:uid="{00000000-0005-0000-0000-0000AB220000}"/>
    <cellStyle name="Normal 5 4 5 5 2 2" xfId="8911" xr:uid="{00000000-0005-0000-0000-0000AC220000}"/>
    <cellStyle name="Normal 5 4 5 5 3" xfId="10586" xr:uid="{00000000-0005-0000-0000-0000AD220000}"/>
    <cellStyle name="Normal 5 4 5 5 4" xfId="7236" xr:uid="{00000000-0005-0000-0000-0000AE220000}"/>
    <cellStyle name="Normal 5 4 5 6" xfId="4145" xr:uid="{00000000-0005-0000-0000-0000AF220000}"/>
    <cellStyle name="Normal 5 4 5 6 2" xfId="5820" xr:uid="{00000000-0005-0000-0000-0000B0220000}"/>
    <cellStyle name="Normal 5 4 5 6 2 2" xfId="9170" xr:uid="{00000000-0005-0000-0000-0000B1220000}"/>
    <cellStyle name="Normal 5 4 5 6 3" xfId="10845" xr:uid="{00000000-0005-0000-0000-0000B2220000}"/>
    <cellStyle name="Normal 5 4 5 6 4" xfId="7495" xr:uid="{00000000-0005-0000-0000-0000B3220000}"/>
    <cellStyle name="Normal 5 4 5 7" xfId="4853" xr:uid="{00000000-0005-0000-0000-0000B4220000}"/>
    <cellStyle name="Normal 5 4 5 7 2" xfId="8203" xr:uid="{00000000-0005-0000-0000-0000B5220000}"/>
    <cellStyle name="Normal 5 4 5 8" xfId="9878" xr:uid="{00000000-0005-0000-0000-0000B6220000}"/>
    <cellStyle name="Normal 5 4 5 9" xfId="6528" xr:uid="{00000000-0005-0000-0000-0000B7220000}"/>
    <cellStyle name="Normal 5 4 6" xfId="3203" xr:uid="{00000000-0005-0000-0000-0000B8220000}"/>
    <cellStyle name="Normal 5 4 6 2" xfId="3439" xr:uid="{00000000-0005-0000-0000-0000B9220000}"/>
    <cellStyle name="Normal 5 4 6 2 2" xfId="4405" xr:uid="{00000000-0005-0000-0000-0000BA220000}"/>
    <cellStyle name="Normal 5 4 6 2 2 2" xfId="6080" xr:uid="{00000000-0005-0000-0000-0000BB220000}"/>
    <cellStyle name="Normal 5 4 6 2 2 2 2" xfId="9430" xr:uid="{00000000-0005-0000-0000-0000BC220000}"/>
    <cellStyle name="Normal 5 4 6 2 2 3" xfId="11105" xr:uid="{00000000-0005-0000-0000-0000BD220000}"/>
    <cellStyle name="Normal 5 4 6 2 2 4" xfId="7755" xr:uid="{00000000-0005-0000-0000-0000BE220000}"/>
    <cellStyle name="Normal 5 4 6 2 3" xfId="5113" xr:uid="{00000000-0005-0000-0000-0000BF220000}"/>
    <cellStyle name="Normal 5 4 6 2 3 2" xfId="8463" xr:uid="{00000000-0005-0000-0000-0000C0220000}"/>
    <cellStyle name="Normal 5 4 6 2 4" xfId="10138" xr:uid="{00000000-0005-0000-0000-0000C1220000}"/>
    <cellStyle name="Normal 5 4 6 2 5" xfId="6788" xr:uid="{00000000-0005-0000-0000-0000C2220000}"/>
    <cellStyle name="Normal 5 4 6 3" xfId="3674" xr:uid="{00000000-0005-0000-0000-0000C3220000}"/>
    <cellStyle name="Normal 5 4 6 3 2" xfId="4641" xr:uid="{00000000-0005-0000-0000-0000C4220000}"/>
    <cellStyle name="Normal 5 4 6 3 2 2" xfId="6316" xr:uid="{00000000-0005-0000-0000-0000C5220000}"/>
    <cellStyle name="Normal 5 4 6 3 2 2 2" xfId="9666" xr:uid="{00000000-0005-0000-0000-0000C6220000}"/>
    <cellStyle name="Normal 5 4 6 3 2 3" xfId="11341" xr:uid="{00000000-0005-0000-0000-0000C7220000}"/>
    <cellStyle name="Normal 5 4 6 3 2 4" xfId="7991" xr:uid="{00000000-0005-0000-0000-0000C8220000}"/>
    <cellStyle name="Normal 5 4 6 3 3" xfId="5349" xr:uid="{00000000-0005-0000-0000-0000C9220000}"/>
    <cellStyle name="Normal 5 4 6 3 3 2" xfId="8699" xr:uid="{00000000-0005-0000-0000-0000CA220000}"/>
    <cellStyle name="Normal 5 4 6 3 4" xfId="10374" xr:uid="{00000000-0005-0000-0000-0000CB220000}"/>
    <cellStyle name="Normal 5 4 6 3 5" xfId="7024" xr:uid="{00000000-0005-0000-0000-0000CC220000}"/>
    <cellStyle name="Normal 5 4 6 4" xfId="3910" xr:uid="{00000000-0005-0000-0000-0000CD220000}"/>
    <cellStyle name="Normal 5 4 6 4 2" xfId="5585" xr:uid="{00000000-0005-0000-0000-0000CE220000}"/>
    <cellStyle name="Normal 5 4 6 4 2 2" xfId="8935" xr:uid="{00000000-0005-0000-0000-0000CF220000}"/>
    <cellStyle name="Normal 5 4 6 4 3" xfId="10610" xr:uid="{00000000-0005-0000-0000-0000D0220000}"/>
    <cellStyle name="Normal 5 4 6 4 4" xfId="7260" xr:uid="{00000000-0005-0000-0000-0000D1220000}"/>
    <cellStyle name="Normal 5 4 6 5" xfId="4169" xr:uid="{00000000-0005-0000-0000-0000D2220000}"/>
    <cellStyle name="Normal 5 4 6 5 2" xfId="5844" xr:uid="{00000000-0005-0000-0000-0000D3220000}"/>
    <cellStyle name="Normal 5 4 6 5 2 2" xfId="9194" xr:uid="{00000000-0005-0000-0000-0000D4220000}"/>
    <cellStyle name="Normal 5 4 6 5 3" xfId="10869" xr:uid="{00000000-0005-0000-0000-0000D5220000}"/>
    <cellStyle name="Normal 5 4 6 5 4" xfId="7519" xr:uid="{00000000-0005-0000-0000-0000D6220000}"/>
    <cellStyle name="Normal 5 4 6 6" xfId="4877" xr:uid="{00000000-0005-0000-0000-0000D7220000}"/>
    <cellStyle name="Normal 5 4 6 6 2" xfId="8227" xr:uid="{00000000-0005-0000-0000-0000D8220000}"/>
    <cellStyle name="Normal 5 4 6 7" xfId="9902" xr:uid="{00000000-0005-0000-0000-0000D9220000}"/>
    <cellStyle name="Normal 5 4 6 8" xfId="6552" xr:uid="{00000000-0005-0000-0000-0000DA220000}"/>
    <cellStyle name="Normal 5 4 7" xfId="3321" xr:uid="{00000000-0005-0000-0000-0000DB220000}"/>
    <cellStyle name="Normal 5 4 7 2" xfId="4287" xr:uid="{00000000-0005-0000-0000-0000DC220000}"/>
    <cellStyle name="Normal 5 4 7 2 2" xfId="5962" xr:uid="{00000000-0005-0000-0000-0000DD220000}"/>
    <cellStyle name="Normal 5 4 7 2 2 2" xfId="9312" xr:uid="{00000000-0005-0000-0000-0000DE220000}"/>
    <cellStyle name="Normal 5 4 7 2 3" xfId="10987" xr:uid="{00000000-0005-0000-0000-0000DF220000}"/>
    <cellStyle name="Normal 5 4 7 2 4" xfId="7637" xr:uid="{00000000-0005-0000-0000-0000E0220000}"/>
    <cellStyle name="Normal 5 4 7 3" xfId="4995" xr:uid="{00000000-0005-0000-0000-0000E1220000}"/>
    <cellStyle name="Normal 5 4 7 3 2" xfId="8345" xr:uid="{00000000-0005-0000-0000-0000E2220000}"/>
    <cellStyle name="Normal 5 4 7 4" xfId="10020" xr:uid="{00000000-0005-0000-0000-0000E3220000}"/>
    <cellStyle name="Normal 5 4 7 5" xfId="6670" xr:uid="{00000000-0005-0000-0000-0000E4220000}"/>
    <cellStyle name="Normal 5 4 8" xfId="3556" xr:uid="{00000000-0005-0000-0000-0000E5220000}"/>
    <cellStyle name="Normal 5 4 8 2" xfId="4523" xr:uid="{00000000-0005-0000-0000-0000E6220000}"/>
    <cellStyle name="Normal 5 4 8 2 2" xfId="6198" xr:uid="{00000000-0005-0000-0000-0000E7220000}"/>
    <cellStyle name="Normal 5 4 8 2 2 2" xfId="9548" xr:uid="{00000000-0005-0000-0000-0000E8220000}"/>
    <cellStyle name="Normal 5 4 8 2 3" xfId="11223" xr:uid="{00000000-0005-0000-0000-0000E9220000}"/>
    <cellStyle name="Normal 5 4 8 2 4" xfId="7873" xr:uid="{00000000-0005-0000-0000-0000EA220000}"/>
    <cellStyle name="Normal 5 4 8 3" xfId="5231" xr:uid="{00000000-0005-0000-0000-0000EB220000}"/>
    <cellStyle name="Normal 5 4 8 3 2" xfId="8581" xr:uid="{00000000-0005-0000-0000-0000EC220000}"/>
    <cellStyle name="Normal 5 4 8 4" xfId="10256" xr:uid="{00000000-0005-0000-0000-0000ED220000}"/>
    <cellStyle name="Normal 5 4 8 5" xfId="6906" xr:uid="{00000000-0005-0000-0000-0000EE220000}"/>
    <cellStyle name="Normal 5 4 9" xfId="3792" xr:uid="{00000000-0005-0000-0000-0000EF220000}"/>
    <cellStyle name="Normal 5 4 9 2" xfId="4051" xr:uid="{00000000-0005-0000-0000-0000F0220000}"/>
    <cellStyle name="Normal 5 4 9 2 2" xfId="5726" xr:uid="{00000000-0005-0000-0000-0000F1220000}"/>
    <cellStyle name="Normal 5 4 9 2 2 2" xfId="9076" xr:uid="{00000000-0005-0000-0000-0000F2220000}"/>
    <cellStyle name="Normal 5 4 9 2 3" xfId="10751" xr:uid="{00000000-0005-0000-0000-0000F3220000}"/>
    <cellStyle name="Normal 5 4 9 2 4" xfId="7401" xr:uid="{00000000-0005-0000-0000-0000F4220000}"/>
    <cellStyle name="Normal 5 4 9 3" xfId="5467" xr:uid="{00000000-0005-0000-0000-0000F5220000}"/>
    <cellStyle name="Normal 5 4 9 3 2" xfId="8817" xr:uid="{00000000-0005-0000-0000-0000F6220000}"/>
    <cellStyle name="Normal 5 4 9 4" xfId="10492" xr:uid="{00000000-0005-0000-0000-0000F7220000}"/>
    <cellStyle name="Normal 5 4 9 5" xfId="7142" xr:uid="{00000000-0005-0000-0000-0000F8220000}"/>
    <cellStyle name="Normal 5 5" xfId="2147" xr:uid="{00000000-0005-0000-0000-00000C090000}"/>
    <cellStyle name="Normal 5 6" xfId="2746" xr:uid="{00000000-0005-0000-0000-00000E010000}"/>
    <cellStyle name="Normal 5 7" xfId="2862" xr:uid="{00000000-0005-0000-0000-000090210000}"/>
    <cellStyle name="Normal 5 7 2" xfId="12106" xr:uid="{00000000-0005-0000-0000-0000270B0000}"/>
    <cellStyle name="Normal 5 8" xfId="12227" xr:uid="{00000000-0005-0000-0000-000090210000}"/>
    <cellStyle name="Normal 6" xfId="230" xr:uid="{00000000-0005-0000-0000-00000D090000}"/>
    <cellStyle name="Normal 6 2" xfId="280" xr:uid="{00000000-0005-0000-0000-00000E090000}"/>
    <cellStyle name="Normal 6 2 2" xfId="2151" xr:uid="{00000000-0005-0000-0000-00000F090000}"/>
    <cellStyle name="Normal 6 2 2 3" xfId="34" xr:uid="{35945FDA-A345-4B2A-80A4-23130F61F83B}"/>
    <cellStyle name="Normal 6 2 3" xfId="2152" xr:uid="{00000000-0005-0000-0000-000010090000}"/>
    <cellStyle name="Normal 6 2 3 2" xfId="2663" xr:uid="{00000000-0005-0000-0000-000011090000}"/>
    <cellStyle name="Normal 6 2 3 2 2" xfId="2853" xr:uid="{00000000-0005-0000-0000-000011090000}"/>
    <cellStyle name="Normal 6 2 3 3" xfId="2811" xr:uid="{00000000-0005-0000-0000-000010090000}"/>
    <cellStyle name="Normal 6 3" xfId="2153" xr:uid="{00000000-0005-0000-0000-000012090000}"/>
    <cellStyle name="Normal 6 3 2" xfId="2154" xr:uid="{00000000-0005-0000-0000-000013090000}"/>
    <cellStyle name="Normal 6 3 3" xfId="2155" xr:uid="{00000000-0005-0000-0000-000014090000}"/>
    <cellStyle name="Normal 6 4" xfId="2156" xr:uid="{00000000-0005-0000-0000-000015090000}"/>
    <cellStyle name="Normal 6 4 2" xfId="2664" xr:uid="{00000000-0005-0000-0000-000016090000}"/>
    <cellStyle name="Normal 6 4 2 2" xfId="2854" xr:uid="{00000000-0005-0000-0000-000016090000}"/>
    <cellStyle name="Normal 6 4 3" xfId="2812" xr:uid="{00000000-0005-0000-0000-000015090000}"/>
    <cellStyle name="Normal 6 5" xfId="2157" xr:uid="{00000000-0005-0000-0000-000017090000}"/>
    <cellStyle name="Normal 6 5 10" xfId="4029" xr:uid="{00000000-0005-0000-0000-000003230000}"/>
    <cellStyle name="Normal 6 5 10 2" xfId="5704" xr:uid="{00000000-0005-0000-0000-000004230000}"/>
    <cellStyle name="Normal 6 5 10 2 2" xfId="9054" xr:uid="{00000000-0005-0000-0000-000005230000}"/>
    <cellStyle name="Normal 6 5 10 3" xfId="10729" xr:uid="{00000000-0005-0000-0000-000006230000}"/>
    <cellStyle name="Normal 6 5 10 4" xfId="7379" xr:uid="{00000000-0005-0000-0000-000007230000}"/>
    <cellStyle name="Normal 6 5 11" xfId="4760" xr:uid="{00000000-0005-0000-0000-000008230000}"/>
    <cellStyle name="Normal 6 5 11 2" xfId="8110" xr:uid="{00000000-0005-0000-0000-000009230000}"/>
    <cellStyle name="Normal 6 5 12" xfId="9785" xr:uid="{00000000-0005-0000-0000-00000A230000}"/>
    <cellStyle name="Normal 6 5 13" xfId="6435" xr:uid="{00000000-0005-0000-0000-00000B230000}"/>
    <cellStyle name="Normal 6 5 14" xfId="12242" xr:uid="{00000000-0005-0000-0000-000002230000}"/>
    <cellStyle name="Normal 6 5 2" xfId="3110" xr:uid="{00000000-0005-0000-0000-00000C230000}"/>
    <cellStyle name="Normal 6 5 2 2" xfId="3227" xr:uid="{00000000-0005-0000-0000-00000D230000}"/>
    <cellStyle name="Normal 6 5 2 2 2" xfId="3463" xr:uid="{00000000-0005-0000-0000-00000E230000}"/>
    <cellStyle name="Normal 6 5 2 2 2 2" xfId="4429" xr:uid="{00000000-0005-0000-0000-00000F230000}"/>
    <cellStyle name="Normal 6 5 2 2 2 2 2" xfId="6104" xr:uid="{00000000-0005-0000-0000-000010230000}"/>
    <cellStyle name="Normal 6 5 2 2 2 2 2 2" xfId="9454" xr:uid="{00000000-0005-0000-0000-000011230000}"/>
    <cellStyle name="Normal 6 5 2 2 2 2 3" xfId="11129" xr:uid="{00000000-0005-0000-0000-000012230000}"/>
    <cellStyle name="Normal 6 5 2 2 2 2 4" xfId="7779" xr:uid="{00000000-0005-0000-0000-000013230000}"/>
    <cellStyle name="Normal 6 5 2 2 2 3" xfId="5137" xr:uid="{00000000-0005-0000-0000-000014230000}"/>
    <cellStyle name="Normal 6 5 2 2 2 3 2" xfId="8487" xr:uid="{00000000-0005-0000-0000-000015230000}"/>
    <cellStyle name="Normal 6 5 2 2 2 4" xfId="10162" xr:uid="{00000000-0005-0000-0000-000016230000}"/>
    <cellStyle name="Normal 6 5 2 2 2 5" xfId="6812" xr:uid="{00000000-0005-0000-0000-000017230000}"/>
    <cellStyle name="Normal 6 5 2 2 3" xfId="3698" xr:uid="{00000000-0005-0000-0000-000018230000}"/>
    <cellStyle name="Normal 6 5 2 2 3 2" xfId="4665" xr:uid="{00000000-0005-0000-0000-000019230000}"/>
    <cellStyle name="Normal 6 5 2 2 3 2 2" xfId="6340" xr:uid="{00000000-0005-0000-0000-00001A230000}"/>
    <cellStyle name="Normal 6 5 2 2 3 2 2 2" xfId="9690" xr:uid="{00000000-0005-0000-0000-00001B230000}"/>
    <cellStyle name="Normal 6 5 2 2 3 2 3" xfId="11365" xr:uid="{00000000-0005-0000-0000-00001C230000}"/>
    <cellStyle name="Normal 6 5 2 2 3 2 4" xfId="8015" xr:uid="{00000000-0005-0000-0000-00001D230000}"/>
    <cellStyle name="Normal 6 5 2 2 3 3" xfId="5373" xr:uid="{00000000-0005-0000-0000-00001E230000}"/>
    <cellStyle name="Normal 6 5 2 2 3 3 2" xfId="8723" xr:uid="{00000000-0005-0000-0000-00001F230000}"/>
    <cellStyle name="Normal 6 5 2 2 3 4" xfId="10398" xr:uid="{00000000-0005-0000-0000-000020230000}"/>
    <cellStyle name="Normal 6 5 2 2 3 5" xfId="7048" xr:uid="{00000000-0005-0000-0000-000021230000}"/>
    <cellStyle name="Normal 6 5 2 2 4" xfId="3934" xr:uid="{00000000-0005-0000-0000-000022230000}"/>
    <cellStyle name="Normal 6 5 2 2 4 2" xfId="5609" xr:uid="{00000000-0005-0000-0000-000023230000}"/>
    <cellStyle name="Normal 6 5 2 2 4 2 2" xfId="8959" xr:uid="{00000000-0005-0000-0000-000024230000}"/>
    <cellStyle name="Normal 6 5 2 2 4 3" xfId="10634" xr:uid="{00000000-0005-0000-0000-000025230000}"/>
    <cellStyle name="Normal 6 5 2 2 4 4" xfId="7284" xr:uid="{00000000-0005-0000-0000-000026230000}"/>
    <cellStyle name="Normal 6 5 2 2 5" xfId="4193" xr:uid="{00000000-0005-0000-0000-000027230000}"/>
    <cellStyle name="Normal 6 5 2 2 5 2" xfId="5868" xr:uid="{00000000-0005-0000-0000-000028230000}"/>
    <cellStyle name="Normal 6 5 2 2 5 2 2" xfId="9218" xr:uid="{00000000-0005-0000-0000-000029230000}"/>
    <cellStyle name="Normal 6 5 2 2 5 3" xfId="10893" xr:uid="{00000000-0005-0000-0000-00002A230000}"/>
    <cellStyle name="Normal 6 5 2 2 5 4" xfId="7543" xr:uid="{00000000-0005-0000-0000-00002B230000}"/>
    <cellStyle name="Normal 6 5 2 2 6" xfId="4901" xr:uid="{00000000-0005-0000-0000-00002C230000}"/>
    <cellStyle name="Normal 6 5 2 2 6 2" xfId="8251" xr:uid="{00000000-0005-0000-0000-00002D230000}"/>
    <cellStyle name="Normal 6 5 2 2 7" xfId="9926" xr:uid="{00000000-0005-0000-0000-00002E230000}"/>
    <cellStyle name="Normal 6 5 2 2 8" xfId="6576" xr:uid="{00000000-0005-0000-0000-00002F230000}"/>
    <cellStyle name="Normal 6 5 2 3" xfId="3345" xr:uid="{00000000-0005-0000-0000-000030230000}"/>
    <cellStyle name="Normal 6 5 2 3 2" xfId="4311" xr:uid="{00000000-0005-0000-0000-000031230000}"/>
    <cellStyle name="Normal 6 5 2 3 2 2" xfId="5986" xr:uid="{00000000-0005-0000-0000-000032230000}"/>
    <cellStyle name="Normal 6 5 2 3 2 2 2" xfId="9336" xr:uid="{00000000-0005-0000-0000-000033230000}"/>
    <cellStyle name="Normal 6 5 2 3 2 3" xfId="11011" xr:uid="{00000000-0005-0000-0000-000034230000}"/>
    <cellStyle name="Normal 6 5 2 3 2 4" xfId="7661" xr:uid="{00000000-0005-0000-0000-000035230000}"/>
    <cellStyle name="Normal 6 5 2 3 3" xfId="5019" xr:uid="{00000000-0005-0000-0000-000036230000}"/>
    <cellStyle name="Normal 6 5 2 3 3 2" xfId="8369" xr:uid="{00000000-0005-0000-0000-000037230000}"/>
    <cellStyle name="Normal 6 5 2 3 4" xfId="10044" xr:uid="{00000000-0005-0000-0000-000038230000}"/>
    <cellStyle name="Normal 6 5 2 3 5" xfId="6694" xr:uid="{00000000-0005-0000-0000-000039230000}"/>
    <cellStyle name="Normal 6 5 2 4" xfId="3580" xr:uid="{00000000-0005-0000-0000-00003A230000}"/>
    <cellStyle name="Normal 6 5 2 4 2" xfId="4547" xr:uid="{00000000-0005-0000-0000-00003B230000}"/>
    <cellStyle name="Normal 6 5 2 4 2 2" xfId="6222" xr:uid="{00000000-0005-0000-0000-00003C230000}"/>
    <cellStyle name="Normal 6 5 2 4 2 2 2" xfId="9572" xr:uid="{00000000-0005-0000-0000-00003D230000}"/>
    <cellStyle name="Normal 6 5 2 4 2 3" xfId="11247" xr:uid="{00000000-0005-0000-0000-00003E230000}"/>
    <cellStyle name="Normal 6 5 2 4 2 4" xfId="7897" xr:uid="{00000000-0005-0000-0000-00003F230000}"/>
    <cellStyle name="Normal 6 5 2 4 3" xfId="5255" xr:uid="{00000000-0005-0000-0000-000040230000}"/>
    <cellStyle name="Normal 6 5 2 4 3 2" xfId="8605" xr:uid="{00000000-0005-0000-0000-000041230000}"/>
    <cellStyle name="Normal 6 5 2 4 4" xfId="10280" xr:uid="{00000000-0005-0000-0000-000042230000}"/>
    <cellStyle name="Normal 6 5 2 4 5" xfId="6930" xr:uid="{00000000-0005-0000-0000-000043230000}"/>
    <cellStyle name="Normal 6 5 2 5" xfId="3816" xr:uid="{00000000-0005-0000-0000-000044230000}"/>
    <cellStyle name="Normal 6 5 2 5 2" xfId="5491" xr:uid="{00000000-0005-0000-0000-000045230000}"/>
    <cellStyle name="Normal 6 5 2 5 2 2" xfId="8841" xr:uid="{00000000-0005-0000-0000-000046230000}"/>
    <cellStyle name="Normal 6 5 2 5 3" xfId="10516" xr:uid="{00000000-0005-0000-0000-000047230000}"/>
    <cellStyle name="Normal 6 5 2 5 4" xfId="7166" xr:uid="{00000000-0005-0000-0000-000048230000}"/>
    <cellStyle name="Normal 6 5 2 6" xfId="4075" xr:uid="{00000000-0005-0000-0000-000049230000}"/>
    <cellStyle name="Normal 6 5 2 6 2" xfId="5750" xr:uid="{00000000-0005-0000-0000-00004A230000}"/>
    <cellStyle name="Normal 6 5 2 6 2 2" xfId="9100" xr:uid="{00000000-0005-0000-0000-00004B230000}"/>
    <cellStyle name="Normal 6 5 2 6 3" xfId="10775" xr:uid="{00000000-0005-0000-0000-00004C230000}"/>
    <cellStyle name="Normal 6 5 2 6 4" xfId="7425" xr:uid="{00000000-0005-0000-0000-00004D230000}"/>
    <cellStyle name="Normal 6 5 2 7" xfId="4783" xr:uid="{00000000-0005-0000-0000-00004E230000}"/>
    <cellStyle name="Normal 6 5 2 7 2" xfId="8133" xr:uid="{00000000-0005-0000-0000-00004F230000}"/>
    <cellStyle name="Normal 6 5 2 8" xfId="9808" xr:uid="{00000000-0005-0000-0000-000050230000}"/>
    <cellStyle name="Normal 6 5 2 9" xfId="6458" xr:uid="{00000000-0005-0000-0000-000051230000}"/>
    <cellStyle name="Normal 6 5 3" xfId="3133" xr:uid="{00000000-0005-0000-0000-000052230000}"/>
    <cellStyle name="Normal 6 5 3 2" xfId="3250" xr:uid="{00000000-0005-0000-0000-000053230000}"/>
    <cellStyle name="Normal 6 5 3 2 2" xfId="3486" xr:uid="{00000000-0005-0000-0000-000054230000}"/>
    <cellStyle name="Normal 6 5 3 2 2 2" xfId="4452" xr:uid="{00000000-0005-0000-0000-000055230000}"/>
    <cellStyle name="Normal 6 5 3 2 2 2 2" xfId="6127" xr:uid="{00000000-0005-0000-0000-000056230000}"/>
    <cellStyle name="Normal 6 5 3 2 2 2 2 2" xfId="9477" xr:uid="{00000000-0005-0000-0000-000057230000}"/>
    <cellStyle name="Normal 6 5 3 2 2 2 3" xfId="11152" xr:uid="{00000000-0005-0000-0000-000058230000}"/>
    <cellStyle name="Normal 6 5 3 2 2 2 4" xfId="7802" xr:uid="{00000000-0005-0000-0000-000059230000}"/>
    <cellStyle name="Normal 6 5 3 2 2 3" xfId="5160" xr:uid="{00000000-0005-0000-0000-00005A230000}"/>
    <cellStyle name="Normal 6 5 3 2 2 3 2" xfId="8510" xr:uid="{00000000-0005-0000-0000-00005B230000}"/>
    <cellStyle name="Normal 6 5 3 2 2 4" xfId="10185" xr:uid="{00000000-0005-0000-0000-00005C230000}"/>
    <cellStyle name="Normal 6 5 3 2 2 5" xfId="6835" xr:uid="{00000000-0005-0000-0000-00005D230000}"/>
    <cellStyle name="Normal 6 5 3 2 3" xfId="3721" xr:uid="{00000000-0005-0000-0000-00005E230000}"/>
    <cellStyle name="Normal 6 5 3 2 3 2" xfId="4688" xr:uid="{00000000-0005-0000-0000-00005F230000}"/>
    <cellStyle name="Normal 6 5 3 2 3 2 2" xfId="6363" xr:uid="{00000000-0005-0000-0000-000060230000}"/>
    <cellStyle name="Normal 6 5 3 2 3 2 2 2" xfId="9713" xr:uid="{00000000-0005-0000-0000-000061230000}"/>
    <cellStyle name="Normal 6 5 3 2 3 2 3" xfId="11388" xr:uid="{00000000-0005-0000-0000-000062230000}"/>
    <cellStyle name="Normal 6 5 3 2 3 2 4" xfId="8038" xr:uid="{00000000-0005-0000-0000-000063230000}"/>
    <cellStyle name="Normal 6 5 3 2 3 3" xfId="5396" xr:uid="{00000000-0005-0000-0000-000064230000}"/>
    <cellStyle name="Normal 6 5 3 2 3 3 2" xfId="8746" xr:uid="{00000000-0005-0000-0000-000065230000}"/>
    <cellStyle name="Normal 6 5 3 2 3 4" xfId="10421" xr:uid="{00000000-0005-0000-0000-000066230000}"/>
    <cellStyle name="Normal 6 5 3 2 3 5" xfId="7071" xr:uid="{00000000-0005-0000-0000-000067230000}"/>
    <cellStyle name="Normal 6 5 3 2 4" xfId="3957" xr:uid="{00000000-0005-0000-0000-000068230000}"/>
    <cellStyle name="Normal 6 5 3 2 4 2" xfId="5632" xr:uid="{00000000-0005-0000-0000-000069230000}"/>
    <cellStyle name="Normal 6 5 3 2 4 2 2" xfId="8982" xr:uid="{00000000-0005-0000-0000-00006A230000}"/>
    <cellStyle name="Normal 6 5 3 2 4 3" xfId="10657" xr:uid="{00000000-0005-0000-0000-00006B230000}"/>
    <cellStyle name="Normal 6 5 3 2 4 4" xfId="7307" xr:uid="{00000000-0005-0000-0000-00006C230000}"/>
    <cellStyle name="Normal 6 5 3 2 5" xfId="4216" xr:uid="{00000000-0005-0000-0000-00006D230000}"/>
    <cellStyle name="Normal 6 5 3 2 5 2" xfId="5891" xr:uid="{00000000-0005-0000-0000-00006E230000}"/>
    <cellStyle name="Normal 6 5 3 2 5 2 2" xfId="9241" xr:uid="{00000000-0005-0000-0000-00006F230000}"/>
    <cellStyle name="Normal 6 5 3 2 5 3" xfId="10916" xr:uid="{00000000-0005-0000-0000-000070230000}"/>
    <cellStyle name="Normal 6 5 3 2 5 4" xfId="7566" xr:uid="{00000000-0005-0000-0000-000071230000}"/>
    <cellStyle name="Normal 6 5 3 2 6" xfId="4924" xr:uid="{00000000-0005-0000-0000-000072230000}"/>
    <cellStyle name="Normal 6 5 3 2 6 2" xfId="8274" xr:uid="{00000000-0005-0000-0000-000073230000}"/>
    <cellStyle name="Normal 6 5 3 2 7" xfId="9949" xr:uid="{00000000-0005-0000-0000-000074230000}"/>
    <cellStyle name="Normal 6 5 3 2 8" xfId="6599" xr:uid="{00000000-0005-0000-0000-000075230000}"/>
    <cellStyle name="Normal 6 5 3 3" xfId="3368" xr:uid="{00000000-0005-0000-0000-000076230000}"/>
    <cellStyle name="Normal 6 5 3 3 2" xfId="4334" xr:uid="{00000000-0005-0000-0000-000077230000}"/>
    <cellStyle name="Normal 6 5 3 3 2 2" xfId="6009" xr:uid="{00000000-0005-0000-0000-000078230000}"/>
    <cellStyle name="Normal 6 5 3 3 2 2 2" xfId="9359" xr:uid="{00000000-0005-0000-0000-000079230000}"/>
    <cellStyle name="Normal 6 5 3 3 2 3" xfId="11034" xr:uid="{00000000-0005-0000-0000-00007A230000}"/>
    <cellStyle name="Normal 6 5 3 3 2 4" xfId="7684" xr:uid="{00000000-0005-0000-0000-00007B230000}"/>
    <cellStyle name="Normal 6 5 3 3 3" xfId="5042" xr:uid="{00000000-0005-0000-0000-00007C230000}"/>
    <cellStyle name="Normal 6 5 3 3 3 2" xfId="8392" xr:uid="{00000000-0005-0000-0000-00007D230000}"/>
    <cellStyle name="Normal 6 5 3 3 4" xfId="10067" xr:uid="{00000000-0005-0000-0000-00007E230000}"/>
    <cellStyle name="Normal 6 5 3 3 5" xfId="6717" xr:uid="{00000000-0005-0000-0000-00007F230000}"/>
    <cellStyle name="Normal 6 5 3 4" xfId="3603" xr:uid="{00000000-0005-0000-0000-000080230000}"/>
    <cellStyle name="Normal 6 5 3 4 2" xfId="4570" xr:uid="{00000000-0005-0000-0000-000081230000}"/>
    <cellStyle name="Normal 6 5 3 4 2 2" xfId="6245" xr:uid="{00000000-0005-0000-0000-000082230000}"/>
    <cellStyle name="Normal 6 5 3 4 2 2 2" xfId="9595" xr:uid="{00000000-0005-0000-0000-000083230000}"/>
    <cellStyle name="Normal 6 5 3 4 2 3" xfId="11270" xr:uid="{00000000-0005-0000-0000-000084230000}"/>
    <cellStyle name="Normal 6 5 3 4 2 4" xfId="7920" xr:uid="{00000000-0005-0000-0000-000085230000}"/>
    <cellStyle name="Normal 6 5 3 4 3" xfId="5278" xr:uid="{00000000-0005-0000-0000-000086230000}"/>
    <cellStyle name="Normal 6 5 3 4 3 2" xfId="8628" xr:uid="{00000000-0005-0000-0000-000087230000}"/>
    <cellStyle name="Normal 6 5 3 4 4" xfId="10303" xr:uid="{00000000-0005-0000-0000-000088230000}"/>
    <cellStyle name="Normal 6 5 3 4 5" xfId="6953" xr:uid="{00000000-0005-0000-0000-000089230000}"/>
    <cellStyle name="Normal 6 5 3 5" xfId="3839" xr:uid="{00000000-0005-0000-0000-00008A230000}"/>
    <cellStyle name="Normal 6 5 3 5 2" xfId="5514" xr:uid="{00000000-0005-0000-0000-00008B230000}"/>
    <cellStyle name="Normal 6 5 3 5 2 2" xfId="8864" xr:uid="{00000000-0005-0000-0000-00008C230000}"/>
    <cellStyle name="Normal 6 5 3 5 3" xfId="10539" xr:uid="{00000000-0005-0000-0000-00008D230000}"/>
    <cellStyle name="Normal 6 5 3 5 4" xfId="7189" xr:uid="{00000000-0005-0000-0000-00008E230000}"/>
    <cellStyle name="Normal 6 5 3 6" xfId="4098" xr:uid="{00000000-0005-0000-0000-00008F230000}"/>
    <cellStyle name="Normal 6 5 3 6 2" xfId="5773" xr:uid="{00000000-0005-0000-0000-000090230000}"/>
    <cellStyle name="Normal 6 5 3 6 2 2" xfId="9123" xr:uid="{00000000-0005-0000-0000-000091230000}"/>
    <cellStyle name="Normal 6 5 3 6 3" xfId="10798" xr:uid="{00000000-0005-0000-0000-000092230000}"/>
    <cellStyle name="Normal 6 5 3 6 4" xfId="7448" xr:uid="{00000000-0005-0000-0000-000093230000}"/>
    <cellStyle name="Normal 6 5 3 7" xfId="4806" xr:uid="{00000000-0005-0000-0000-000094230000}"/>
    <cellStyle name="Normal 6 5 3 7 2" xfId="8156" xr:uid="{00000000-0005-0000-0000-000095230000}"/>
    <cellStyle name="Normal 6 5 3 8" xfId="9831" xr:uid="{00000000-0005-0000-0000-000096230000}"/>
    <cellStyle name="Normal 6 5 3 9" xfId="6481" xr:uid="{00000000-0005-0000-0000-000097230000}"/>
    <cellStyle name="Normal 6 5 4" xfId="3156" xr:uid="{00000000-0005-0000-0000-000098230000}"/>
    <cellStyle name="Normal 6 5 4 2" xfId="3274" xr:uid="{00000000-0005-0000-0000-000099230000}"/>
    <cellStyle name="Normal 6 5 4 2 2" xfId="3510" xr:uid="{00000000-0005-0000-0000-00009A230000}"/>
    <cellStyle name="Normal 6 5 4 2 2 2" xfId="4476" xr:uid="{00000000-0005-0000-0000-00009B230000}"/>
    <cellStyle name="Normal 6 5 4 2 2 2 2" xfId="6151" xr:uid="{00000000-0005-0000-0000-00009C230000}"/>
    <cellStyle name="Normal 6 5 4 2 2 2 2 2" xfId="9501" xr:uid="{00000000-0005-0000-0000-00009D230000}"/>
    <cellStyle name="Normal 6 5 4 2 2 2 3" xfId="11176" xr:uid="{00000000-0005-0000-0000-00009E230000}"/>
    <cellStyle name="Normal 6 5 4 2 2 2 4" xfId="7826" xr:uid="{00000000-0005-0000-0000-00009F230000}"/>
    <cellStyle name="Normal 6 5 4 2 2 3" xfId="5184" xr:uid="{00000000-0005-0000-0000-0000A0230000}"/>
    <cellStyle name="Normal 6 5 4 2 2 3 2" xfId="8534" xr:uid="{00000000-0005-0000-0000-0000A1230000}"/>
    <cellStyle name="Normal 6 5 4 2 2 4" xfId="10209" xr:uid="{00000000-0005-0000-0000-0000A2230000}"/>
    <cellStyle name="Normal 6 5 4 2 2 5" xfId="6859" xr:uid="{00000000-0005-0000-0000-0000A3230000}"/>
    <cellStyle name="Normal 6 5 4 2 3" xfId="3745" xr:uid="{00000000-0005-0000-0000-0000A4230000}"/>
    <cellStyle name="Normal 6 5 4 2 3 2" xfId="4712" xr:uid="{00000000-0005-0000-0000-0000A5230000}"/>
    <cellStyle name="Normal 6 5 4 2 3 2 2" xfId="6387" xr:uid="{00000000-0005-0000-0000-0000A6230000}"/>
    <cellStyle name="Normal 6 5 4 2 3 2 2 2" xfId="9737" xr:uid="{00000000-0005-0000-0000-0000A7230000}"/>
    <cellStyle name="Normal 6 5 4 2 3 2 3" xfId="11412" xr:uid="{00000000-0005-0000-0000-0000A8230000}"/>
    <cellStyle name="Normal 6 5 4 2 3 2 4" xfId="8062" xr:uid="{00000000-0005-0000-0000-0000A9230000}"/>
    <cellStyle name="Normal 6 5 4 2 3 3" xfId="5420" xr:uid="{00000000-0005-0000-0000-0000AA230000}"/>
    <cellStyle name="Normal 6 5 4 2 3 3 2" xfId="8770" xr:uid="{00000000-0005-0000-0000-0000AB230000}"/>
    <cellStyle name="Normal 6 5 4 2 3 4" xfId="10445" xr:uid="{00000000-0005-0000-0000-0000AC230000}"/>
    <cellStyle name="Normal 6 5 4 2 3 5" xfId="7095" xr:uid="{00000000-0005-0000-0000-0000AD230000}"/>
    <cellStyle name="Normal 6 5 4 2 4" xfId="3981" xr:uid="{00000000-0005-0000-0000-0000AE230000}"/>
    <cellStyle name="Normal 6 5 4 2 4 2" xfId="5656" xr:uid="{00000000-0005-0000-0000-0000AF230000}"/>
    <cellStyle name="Normal 6 5 4 2 4 2 2" xfId="9006" xr:uid="{00000000-0005-0000-0000-0000B0230000}"/>
    <cellStyle name="Normal 6 5 4 2 4 3" xfId="10681" xr:uid="{00000000-0005-0000-0000-0000B1230000}"/>
    <cellStyle name="Normal 6 5 4 2 4 4" xfId="7331" xr:uid="{00000000-0005-0000-0000-0000B2230000}"/>
    <cellStyle name="Normal 6 5 4 2 5" xfId="4240" xr:uid="{00000000-0005-0000-0000-0000B3230000}"/>
    <cellStyle name="Normal 6 5 4 2 5 2" xfId="5915" xr:uid="{00000000-0005-0000-0000-0000B4230000}"/>
    <cellStyle name="Normal 6 5 4 2 5 2 2" xfId="9265" xr:uid="{00000000-0005-0000-0000-0000B5230000}"/>
    <cellStyle name="Normal 6 5 4 2 5 3" xfId="10940" xr:uid="{00000000-0005-0000-0000-0000B6230000}"/>
    <cellStyle name="Normal 6 5 4 2 5 4" xfId="7590" xr:uid="{00000000-0005-0000-0000-0000B7230000}"/>
    <cellStyle name="Normal 6 5 4 2 6" xfId="4948" xr:uid="{00000000-0005-0000-0000-0000B8230000}"/>
    <cellStyle name="Normal 6 5 4 2 6 2" xfId="8298" xr:uid="{00000000-0005-0000-0000-0000B9230000}"/>
    <cellStyle name="Normal 6 5 4 2 7" xfId="9973" xr:uid="{00000000-0005-0000-0000-0000BA230000}"/>
    <cellStyle name="Normal 6 5 4 2 8" xfId="6623" xr:uid="{00000000-0005-0000-0000-0000BB230000}"/>
    <cellStyle name="Normal 6 5 4 3" xfId="3392" xr:uid="{00000000-0005-0000-0000-0000BC230000}"/>
    <cellStyle name="Normal 6 5 4 3 2" xfId="4358" xr:uid="{00000000-0005-0000-0000-0000BD230000}"/>
    <cellStyle name="Normal 6 5 4 3 2 2" xfId="6033" xr:uid="{00000000-0005-0000-0000-0000BE230000}"/>
    <cellStyle name="Normal 6 5 4 3 2 2 2" xfId="9383" xr:uid="{00000000-0005-0000-0000-0000BF230000}"/>
    <cellStyle name="Normal 6 5 4 3 2 3" xfId="11058" xr:uid="{00000000-0005-0000-0000-0000C0230000}"/>
    <cellStyle name="Normal 6 5 4 3 2 4" xfId="7708" xr:uid="{00000000-0005-0000-0000-0000C1230000}"/>
    <cellStyle name="Normal 6 5 4 3 3" xfId="5066" xr:uid="{00000000-0005-0000-0000-0000C2230000}"/>
    <cellStyle name="Normal 6 5 4 3 3 2" xfId="8416" xr:uid="{00000000-0005-0000-0000-0000C3230000}"/>
    <cellStyle name="Normal 6 5 4 3 4" xfId="10091" xr:uid="{00000000-0005-0000-0000-0000C4230000}"/>
    <cellStyle name="Normal 6 5 4 3 5" xfId="6741" xr:uid="{00000000-0005-0000-0000-0000C5230000}"/>
    <cellStyle name="Normal 6 5 4 4" xfId="3627" xr:uid="{00000000-0005-0000-0000-0000C6230000}"/>
    <cellStyle name="Normal 6 5 4 4 2" xfId="4594" xr:uid="{00000000-0005-0000-0000-0000C7230000}"/>
    <cellStyle name="Normal 6 5 4 4 2 2" xfId="6269" xr:uid="{00000000-0005-0000-0000-0000C8230000}"/>
    <cellStyle name="Normal 6 5 4 4 2 2 2" xfId="9619" xr:uid="{00000000-0005-0000-0000-0000C9230000}"/>
    <cellStyle name="Normal 6 5 4 4 2 3" xfId="11294" xr:uid="{00000000-0005-0000-0000-0000CA230000}"/>
    <cellStyle name="Normal 6 5 4 4 2 4" xfId="7944" xr:uid="{00000000-0005-0000-0000-0000CB230000}"/>
    <cellStyle name="Normal 6 5 4 4 3" xfId="5302" xr:uid="{00000000-0005-0000-0000-0000CC230000}"/>
    <cellStyle name="Normal 6 5 4 4 3 2" xfId="8652" xr:uid="{00000000-0005-0000-0000-0000CD230000}"/>
    <cellStyle name="Normal 6 5 4 4 4" xfId="10327" xr:uid="{00000000-0005-0000-0000-0000CE230000}"/>
    <cellStyle name="Normal 6 5 4 4 5" xfId="6977" xr:uid="{00000000-0005-0000-0000-0000CF230000}"/>
    <cellStyle name="Normal 6 5 4 5" xfId="3863" xr:uid="{00000000-0005-0000-0000-0000D0230000}"/>
    <cellStyle name="Normal 6 5 4 5 2" xfId="5538" xr:uid="{00000000-0005-0000-0000-0000D1230000}"/>
    <cellStyle name="Normal 6 5 4 5 2 2" xfId="8888" xr:uid="{00000000-0005-0000-0000-0000D2230000}"/>
    <cellStyle name="Normal 6 5 4 5 3" xfId="10563" xr:uid="{00000000-0005-0000-0000-0000D3230000}"/>
    <cellStyle name="Normal 6 5 4 5 4" xfId="7213" xr:uid="{00000000-0005-0000-0000-0000D4230000}"/>
    <cellStyle name="Normal 6 5 4 6" xfId="4122" xr:uid="{00000000-0005-0000-0000-0000D5230000}"/>
    <cellStyle name="Normal 6 5 4 6 2" xfId="5797" xr:uid="{00000000-0005-0000-0000-0000D6230000}"/>
    <cellStyle name="Normal 6 5 4 6 2 2" xfId="9147" xr:uid="{00000000-0005-0000-0000-0000D7230000}"/>
    <cellStyle name="Normal 6 5 4 6 3" xfId="10822" xr:uid="{00000000-0005-0000-0000-0000D8230000}"/>
    <cellStyle name="Normal 6 5 4 6 4" xfId="7472" xr:uid="{00000000-0005-0000-0000-0000D9230000}"/>
    <cellStyle name="Normal 6 5 4 7" xfId="4830" xr:uid="{00000000-0005-0000-0000-0000DA230000}"/>
    <cellStyle name="Normal 6 5 4 7 2" xfId="8180" xr:uid="{00000000-0005-0000-0000-0000DB230000}"/>
    <cellStyle name="Normal 6 5 4 8" xfId="9855" xr:uid="{00000000-0005-0000-0000-0000DC230000}"/>
    <cellStyle name="Normal 6 5 4 9" xfId="6505" xr:uid="{00000000-0005-0000-0000-0000DD230000}"/>
    <cellStyle name="Normal 6 5 5" xfId="3180" xr:uid="{00000000-0005-0000-0000-0000DE230000}"/>
    <cellStyle name="Normal 6 5 5 2" xfId="3298" xr:uid="{00000000-0005-0000-0000-0000DF230000}"/>
    <cellStyle name="Normal 6 5 5 2 2" xfId="3534" xr:uid="{00000000-0005-0000-0000-0000E0230000}"/>
    <cellStyle name="Normal 6 5 5 2 2 2" xfId="4500" xr:uid="{00000000-0005-0000-0000-0000E1230000}"/>
    <cellStyle name="Normal 6 5 5 2 2 2 2" xfId="6175" xr:uid="{00000000-0005-0000-0000-0000E2230000}"/>
    <cellStyle name="Normal 6 5 5 2 2 2 2 2" xfId="9525" xr:uid="{00000000-0005-0000-0000-0000E3230000}"/>
    <cellStyle name="Normal 6 5 5 2 2 2 3" xfId="11200" xr:uid="{00000000-0005-0000-0000-0000E4230000}"/>
    <cellStyle name="Normal 6 5 5 2 2 2 4" xfId="7850" xr:uid="{00000000-0005-0000-0000-0000E5230000}"/>
    <cellStyle name="Normal 6 5 5 2 2 3" xfId="5208" xr:uid="{00000000-0005-0000-0000-0000E6230000}"/>
    <cellStyle name="Normal 6 5 5 2 2 3 2" xfId="8558" xr:uid="{00000000-0005-0000-0000-0000E7230000}"/>
    <cellStyle name="Normal 6 5 5 2 2 4" xfId="10233" xr:uid="{00000000-0005-0000-0000-0000E8230000}"/>
    <cellStyle name="Normal 6 5 5 2 2 5" xfId="6883" xr:uid="{00000000-0005-0000-0000-0000E9230000}"/>
    <cellStyle name="Normal 6 5 5 2 3" xfId="3769" xr:uid="{00000000-0005-0000-0000-0000EA230000}"/>
    <cellStyle name="Normal 6 5 5 2 3 2" xfId="4736" xr:uid="{00000000-0005-0000-0000-0000EB230000}"/>
    <cellStyle name="Normal 6 5 5 2 3 2 2" xfId="6411" xr:uid="{00000000-0005-0000-0000-0000EC230000}"/>
    <cellStyle name="Normal 6 5 5 2 3 2 2 2" xfId="9761" xr:uid="{00000000-0005-0000-0000-0000ED230000}"/>
    <cellStyle name="Normal 6 5 5 2 3 2 3" xfId="11436" xr:uid="{00000000-0005-0000-0000-0000EE230000}"/>
    <cellStyle name="Normal 6 5 5 2 3 2 4" xfId="8086" xr:uid="{00000000-0005-0000-0000-0000EF230000}"/>
    <cellStyle name="Normal 6 5 5 2 3 3" xfId="5444" xr:uid="{00000000-0005-0000-0000-0000F0230000}"/>
    <cellStyle name="Normal 6 5 5 2 3 3 2" xfId="8794" xr:uid="{00000000-0005-0000-0000-0000F1230000}"/>
    <cellStyle name="Normal 6 5 5 2 3 4" xfId="10469" xr:uid="{00000000-0005-0000-0000-0000F2230000}"/>
    <cellStyle name="Normal 6 5 5 2 3 5" xfId="7119" xr:uid="{00000000-0005-0000-0000-0000F3230000}"/>
    <cellStyle name="Normal 6 5 5 2 4" xfId="4005" xr:uid="{00000000-0005-0000-0000-0000F4230000}"/>
    <cellStyle name="Normal 6 5 5 2 4 2" xfId="5680" xr:uid="{00000000-0005-0000-0000-0000F5230000}"/>
    <cellStyle name="Normal 6 5 5 2 4 2 2" xfId="9030" xr:uid="{00000000-0005-0000-0000-0000F6230000}"/>
    <cellStyle name="Normal 6 5 5 2 4 3" xfId="10705" xr:uid="{00000000-0005-0000-0000-0000F7230000}"/>
    <cellStyle name="Normal 6 5 5 2 4 4" xfId="7355" xr:uid="{00000000-0005-0000-0000-0000F8230000}"/>
    <cellStyle name="Normal 6 5 5 2 5" xfId="4264" xr:uid="{00000000-0005-0000-0000-0000F9230000}"/>
    <cellStyle name="Normal 6 5 5 2 5 2" xfId="5939" xr:uid="{00000000-0005-0000-0000-0000FA230000}"/>
    <cellStyle name="Normal 6 5 5 2 5 2 2" xfId="9289" xr:uid="{00000000-0005-0000-0000-0000FB230000}"/>
    <cellStyle name="Normal 6 5 5 2 5 3" xfId="10964" xr:uid="{00000000-0005-0000-0000-0000FC230000}"/>
    <cellStyle name="Normal 6 5 5 2 5 4" xfId="7614" xr:uid="{00000000-0005-0000-0000-0000FD230000}"/>
    <cellStyle name="Normal 6 5 5 2 6" xfId="4972" xr:uid="{00000000-0005-0000-0000-0000FE230000}"/>
    <cellStyle name="Normal 6 5 5 2 6 2" xfId="8322" xr:uid="{00000000-0005-0000-0000-0000FF230000}"/>
    <cellStyle name="Normal 6 5 5 2 7" xfId="9997" xr:uid="{00000000-0005-0000-0000-000000240000}"/>
    <cellStyle name="Normal 6 5 5 2 8" xfId="6647" xr:uid="{00000000-0005-0000-0000-000001240000}"/>
    <cellStyle name="Normal 6 5 5 3" xfId="3416" xr:uid="{00000000-0005-0000-0000-000002240000}"/>
    <cellStyle name="Normal 6 5 5 3 2" xfId="4382" xr:uid="{00000000-0005-0000-0000-000003240000}"/>
    <cellStyle name="Normal 6 5 5 3 2 2" xfId="6057" xr:uid="{00000000-0005-0000-0000-000004240000}"/>
    <cellStyle name="Normal 6 5 5 3 2 2 2" xfId="9407" xr:uid="{00000000-0005-0000-0000-000005240000}"/>
    <cellStyle name="Normal 6 5 5 3 2 3" xfId="11082" xr:uid="{00000000-0005-0000-0000-000006240000}"/>
    <cellStyle name="Normal 6 5 5 3 2 4" xfId="7732" xr:uid="{00000000-0005-0000-0000-000007240000}"/>
    <cellStyle name="Normal 6 5 5 3 3" xfId="5090" xr:uid="{00000000-0005-0000-0000-000008240000}"/>
    <cellStyle name="Normal 6 5 5 3 3 2" xfId="8440" xr:uid="{00000000-0005-0000-0000-000009240000}"/>
    <cellStyle name="Normal 6 5 5 3 4" xfId="10115" xr:uid="{00000000-0005-0000-0000-00000A240000}"/>
    <cellStyle name="Normal 6 5 5 3 5" xfId="6765" xr:uid="{00000000-0005-0000-0000-00000B240000}"/>
    <cellStyle name="Normal 6 5 5 4" xfId="3651" xr:uid="{00000000-0005-0000-0000-00000C240000}"/>
    <cellStyle name="Normal 6 5 5 4 2" xfId="4618" xr:uid="{00000000-0005-0000-0000-00000D240000}"/>
    <cellStyle name="Normal 6 5 5 4 2 2" xfId="6293" xr:uid="{00000000-0005-0000-0000-00000E240000}"/>
    <cellStyle name="Normal 6 5 5 4 2 2 2" xfId="9643" xr:uid="{00000000-0005-0000-0000-00000F240000}"/>
    <cellStyle name="Normal 6 5 5 4 2 3" xfId="11318" xr:uid="{00000000-0005-0000-0000-000010240000}"/>
    <cellStyle name="Normal 6 5 5 4 2 4" xfId="7968" xr:uid="{00000000-0005-0000-0000-000011240000}"/>
    <cellStyle name="Normal 6 5 5 4 3" xfId="5326" xr:uid="{00000000-0005-0000-0000-000012240000}"/>
    <cellStyle name="Normal 6 5 5 4 3 2" xfId="8676" xr:uid="{00000000-0005-0000-0000-000013240000}"/>
    <cellStyle name="Normal 6 5 5 4 4" xfId="10351" xr:uid="{00000000-0005-0000-0000-000014240000}"/>
    <cellStyle name="Normal 6 5 5 4 5" xfId="7001" xr:uid="{00000000-0005-0000-0000-000015240000}"/>
    <cellStyle name="Normal 6 5 5 5" xfId="3887" xr:uid="{00000000-0005-0000-0000-000016240000}"/>
    <cellStyle name="Normal 6 5 5 5 2" xfId="5562" xr:uid="{00000000-0005-0000-0000-000017240000}"/>
    <cellStyle name="Normal 6 5 5 5 2 2" xfId="8912" xr:uid="{00000000-0005-0000-0000-000018240000}"/>
    <cellStyle name="Normal 6 5 5 5 3" xfId="10587" xr:uid="{00000000-0005-0000-0000-000019240000}"/>
    <cellStyle name="Normal 6 5 5 5 4" xfId="7237" xr:uid="{00000000-0005-0000-0000-00001A240000}"/>
    <cellStyle name="Normal 6 5 5 6" xfId="4146" xr:uid="{00000000-0005-0000-0000-00001B240000}"/>
    <cellStyle name="Normal 6 5 5 6 2" xfId="5821" xr:uid="{00000000-0005-0000-0000-00001C240000}"/>
    <cellStyle name="Normal 6 5 5 6 2 2" xfId="9171" xr:uid="{00000000-0005-0000-0000-00001D240000}"/>
    <cellStyle name="Normal 6 5 5 6 3" xfId="10846" xr:uid="{00000000-0005-0000-0000-00001E240000}"/>
    <cellStyle name="Normal 6 5 5 6 4" xfId="7496" xr:uid="{00000000-0005-0000-0000-00001F240000}"/>
    <cellStyle name="Normal 6 5 5 7" xfId="4854" xr:uid="{00000000-0005-0000-0000-000020240000}"/>
    <cellStyle name="Normal 6 5 5 7 2" xfId="8204" xr:uid="{00000000-0005-0000-0000-000021240000}"/>
    <cellStyle name="Normal 6 5 5 8" xfId="9879" xr:uid="{00000000-0005-0000-0000-000022240000}"/>
    <cellStyle name="Normal 6 5 5 9" xfId="6529" xr:uid="{00000000-0005-0000-0000-000023240000}"/>
    <cellStyle name="Normal 6 5 6" xfId="3204" xr:uid="{00000000-0005-0000-0000-000024240000}"/>
    <cellStyle name="Normal 6 5 6 2" xfId="3440" xr:uid="{00000000-0005-0000-0000-000025240000}"/>
    <cellStyle name="Normal 6 5 6 2 2" xfId="4406" xr:uid="{00000000-0005-0000-0000-000026240000}"/>
    <cellStyle name="Normal 6 5 6 2 2 2" xfId="6081" xr:uid="{00000000-0005-0000-0000-000027240000}"/>
    <cellStyle name="Normal 6 5 6 2 2 2 2" xfId="9431" xr:uid="{00000000-0005-0000-0000-000028240000}"/>
    <cellStyle name="Normal 6 5 6 2 2 3" xfId="11106" xr:uid="{00000000-0005-0000-0000-000029240000}"/>
    <cellStyle name="Normal 6 5 6 2 2 4" xfId="7756" xr:uid="{00000000-0005-0000-0000-00002A240000}"/>
    <cellStyle name="Normal 6 5 6 2 3" xfId="5114" xr:uid="{00000000-0005-0000-0000-00002B240000}"/>
    <cellStyle name="Normal 6 5 6 2 3 2" xfId="8464" xr:uid="{00000000-0005-0000-0000-00002C240000}"/>
    <cellStyle name="Normal 6 5 6 2 4" xfId="10139" xr:uid="{00000000-0005-0000-0000-00002D240000}"/>
    <cellStyle name="Normal 6 5 6 2 5" xfId="6789" xr:uid="{00000000-0005-0000-0000-00002E240000}"/>
    <cellStyle name="Normal 6 5 6 3" xfId="3675" xr:uid="{00000000-0005-0000-0000-00002F240000}"/>
    <cellStyle name="Normal 6 5 6 3 2" xfId="4642" xr:uid="{00000000-0005-0000-0000-000030240000}"/>
    <cellStyle name="Normal 6 5 6 3 2 2" xfId="6317" xr:uid="{00000000-0005-0000-0000-000031240000}"/>
    <cellStyle name="Normal 6 5 6 3 2 2 2" xfId="9667" xr:uid="{00000000-0005-0000-0000-000032240000}"/>
    <cellStyle name="Normal 6 5 6 3 2 3" xfId="11342" xr:uid="{00000000-0005-0000-0000-000033240000}"/>
    <cellStyle name="Normal 6 5 6 3 2 4" xfId="7992" xr:uid="{00000000-0005-0000-0000-000034240000}"/>
    <cellStyle name="Normal 6 5 6 3 3" xfId="5350" xr:uid="{00000000-0005-0000-0000-000035240000}"/>
    <cellStyle name="Normal 6 5 6 3 3 2" xfId="8700" xr:uid="{00000000-0005-0000-0000-000036240000}"/>
    <cellStyle name="Normal 6 5 6 3 4" xfId="10375" xr:uid="{00000000-0005-0000-0000-000037240000}"/>
    <cellStyle name="Normal 6 5 6 3 5" xfId="7025" xr:uid="{00000000-0005-0000-0000-000038240000}"/>
    <cellStyle name="Normal 6 5 6 4" xfId="3911" xr:uid="{00000000-0005-0000-0000-000039240000}"/>
    <cellStyle name="Normal 6 5 6 4 2" xfId="5586" xr:uid="{00000000-0005-0000-0000-00003A240000}"/>
    <cellStyle name="Normal 6 5 6 4 2 2" xfId="8936" xr:uid="{00000000-0005-0000-0000-00003B240000}"/>
    <cellStyle name="Normal 6 5 6 4 3" xfId="10611" xr:uid="{00000000-0005-0000-0000-00003C240000}"/>
    <cellStyle name="Normal 6 5 6 4 4" xfId="7261" xr:uid="{00000000-0005-0000-0000-00003D240000}"/>
    <cellStyle name="Normal 6 5 6 5" xfId="4170" xr:uid="{00000000-0005-0000-0000-00003E240000}"/>
    <cellStyle name="Normal 6 5 6 5 2" xfId="5845" xr:uid="{00000000-0005-0000-0000-00003F240000}"/>
    <cellStyle name="Normal 6 5 6 5 2 2" xfId="9195" xr:uid="{00000000-0005-0000-0000-000040240000}"/>
    <cellStyle name="Normal 6 5 6 5 3" xfId="10870" xr:uid="{00000000-0005-0000-0000-000041240000}"/>
    <cellStyle name="Normal 6 5 6 5 4" xfId="7520" xr:uid="{00000000-0005-0000-0000-000042240000}"/>
    <cellStyle name="Normal 6 5 6 6" xfId="4878" xr:uid="{00000000-0005-0000-0000-000043240000}"/>
    <cellStyle name="Normal 6 5 6 6 2" xfId="8228" xr:uid="{00000000-0005-0000-0000-000044240000}"/>
    <cellStyle name="Normal 6 5 6 7" xfId="9903" xr:uid="{00000000-0005-0000-0000-000045240000}"/>
    <cellStyle name="Normal 6 5 6 8" xfId="6553" xr:uid="{00000000-0005-0000-0000-000046240000}"/>
    <cellStyle name="Normal 6 5 7" xfId="3322" xr:uid="{00000000-0005-0000-0000-000047240000}"/>
    <cellStyle name="Normal 6 5 7 2" xfId="4288" xr:uid="{00000000-0005-0000-0000-000048240000}"/>
    <cellStyle name="Normal 6 5 7 2 2" xfId="5963" xr:uid="{00000000-0005-0000-0000-000049240000}"/>
    <cellStyle name="Normal 6 5 7 2 2 2" xfId="9313" xr:uid="{00000000-0005-0000-0000-00004A240000}"/>
    <cellStyle name="Normal 6 5 7 2 3" xfId="10988" xr:uid="{00000000-0005-0000-0000-00004B240000}"/>
    <cellStyle name="Normal 6 5 7 2 4" xfId="7638" xr:uid="{00000000-0005-0000-0000-00004C240000}"/>
    <cellStyle name="Normal 6 5 7 3" xfId="4996" xr:uid="{00000000-0005-0000-0000-00004D240000}"/>
    <cellStyle name="Normal 6 5 7 3 2" xfId="8346" xr:uid="{00000000-0005-0000-0000-00004E240000}"/>
    <cellStyle name="Normal 6 5 7 4" xfId="10021" xr:uid="{00000000-0005-0000-0000-00004F240000}"/>
    <cellStyle name="Normal 6 5 7 5" xfId="6671" xr:uid="{00000000-0005-0000-0000-000050240000}"/>
    <cellStyle name="Normal 6 5 8" xfId="3557" xr:uid="{00000000-0005-0000-0000-000051240000}"/>
    <cellStyle name="Normal 6 5 8 2" xfId="4524" xr:uid="{00000000-0005-0000-0000-000052240000}"/>
    <cellStyle name="Normal 6 5 8 2 2" xfId="6199" xr:uid="{00000000-0005-0000-0000-000053240000}"/>
    <cellStyle name="Normal 6 5 8 2 2 2" xfId="9549" xr:uid="{00000000-0005-0000-0000-000054240000}"/>
    <cellStyle name="Normal 6 5 8 2 3" xfId="11224" xr:uid="{00000000-0005-0000-0000-000055240000}"/>
    <cellStyle name="Normal 6 5 8 2 4" xfId="7874" xr:uid="{00000000-0005-0000-0000-000056240000}"/>
    <cellStyle name="Normal 6 5 8 3" xfId="5232" xr:uid="{00000000-0005-0000-0000-000057240000}"/>
    <cellStyle name="Normal 6 5 8 3 2" xfId="8582" xr:uid="{00000000-0005-0000-0000-000058240000}"/>
    <cellStyle name="Normal 6 5 8 4" xfId="10257" xr:uid="{00000000-0005-0000-0000-000059240000}"/>
    <cellStyle name="Normal 6 5 8 5" xfId="6907" xr:uid="{00000000-0005-0000-0000-00005A240000}"/>
    <cellStyle name="Normal 6 5 9" xfId="3793" xr:uid="{00000000-0005-0000-0000-00005B240000}"/>
    <cellStyle name="Normal 6 5 9 2" xfId="4052" xr:uid="{00000000-0005-0000-0000-00005C240000}"/>
    <cellStyle name="Normal 6 5 9 2 2" xfId="5727" xr:uid="{00000000-0005-0000-0000-00005D240000}"/>
    <cellStyle name="Normal 6 5 9 2 2 2" xfId="9077" xr:uid="{00000000-0005-0000-0000-00005E240000}"/>
    <cellStyle name="Normal 6 5 9 2 3" xfId="10752" xr:uid="{00000000-0005-0000-0000-00005F240000}"/>
    <cellStyle name="Normal 6 5 9 2 4" xfId="7402" xr:uid="{00000000-0005-0000-0000-000060240000}"/>
    <cellStyle name="Normal 6 5 9 3" xfId="5468" xr:uid="{00000000-0005-0000-0000-000061240000}"/>
    <cellStyle name="Normal 6 5 9 3 2" xfId="8818" xr:uid="{00000000-0005-0000-0000-000062240000}"/>
    <cellStyle name="Normal 6 5 9 4" xfId="10493" xr:uid="{00000000-0005-0000-0000-000063240000}"/>
    <cellStyle name="Normal 6 5 9 5" xfId="7143" xr:uid="{00000000-0005-0000-0000-000064240000}"/>
    <cellStyle name="Normal 6 6" xfId="2665" xr:uid="{00000000-0005-0000-0000-000018090000}"/>
    <cellStyle name="Normal 7" xfId="54" xr:uid="{00000000-0005-0000-0000-000019090000}"/>
    <cellStyle name="Normal 7 2" xfId="283" xr:uid="{00000000-0005-0000-0000-00001A090000}"/>
    <cellStyle name="Normal 7 2 2" xfId="2159" xr:uid="{00000000-0005-0000-0000-00001B090000}"/>
    <cellStyle name="Normal 7 2 2 2" xfId="2666" xr:uid="{00000000-0005-0000-0000-00001C090000}"/>
    <cellStyle name="Normal 7 2 2 2 2" xfId="2855" xr:uid="{00000000-0005-0000-0000-00001C090000}"/>
    <cellStyle name="Normal 7 2 2 3" xfId="2814" xr:uid="{00000000-0005-0000-0000-00001B090000}"/>
    <cellStyle name="Normal 7 2 3" xfId="2160" xr:uid="{00000000-0005-0000-0000-00001D090000}"/>
    <cellStyle name="Normal 7 2 3 2" xfId="2431" xr:uid="{00000000-0005-0000-0000-00001E090000}"/>
    <cellStyle name="Normal 7 2 4" xfId="2161" xr:uid="{00000000-0005-0000-0000-00001F090000}"/>
    <cellStyle name="Normal 7 2 5" xfId="2158" xr:uid="{00000000-0005-0000-0000-000020090000}"/>
    <cellStyle name="Normal 7 2 5 2" xfId="2813" xr:uid="{00000000-0005-0000-0000-000020090000}"/>
    <cellStyle name="Normal 7 2 6" xfId="2667" xr:uid="{00000000-0005-0000-0000-000021090000}"/>
    <cellStyle name="Normal 7 3" xfId="351" xr:uid="{00000000-0005-0000-0000-000022090000}"/>
    <cellStyle name="Normal 7 3 2" xfId="2163" xr:uid="{00000000-0005-0000-0000-000023090000}"/>
    <cellStyle name="Normal 7 3 3" xfId="2162" xr:uid="{00000000-0005-0000-0000-000024090000}"/>
    <cellStyle name="Normal 7 4" xfId="8" xr:uid="{FCFAC550-9297-439F-9982-6C6E3414314F}"/>
    <cellStyle name="Normal 7 4 10" xfId="4030" xr:uid="{00000000-0005-0000-0000-00006C240000}"/>
    <cellStyle name="Normal 7 4 10 2" xfId="5705" xr:uid="{00000000-0005-0000-0000-00006D240000}"/>
    <cellStyle name="Normal 7 4 10 2 2" xfId="9055" xr:uid="{00000000-0005-0000-0000-00006E240000}"/>
    <cellStyle name="Normal 7 4 10 3" xfId="10730" xr:uid="{00000000-0005-0000-0000-00006F240000}"/>
    <cellStyle name="Normal 7 4 10 4" xfId="7380" xr:uid="{00000000-0005-0000-0000-000070240000}"/>
    <cellStyle name="Normal 7 4 11" xfId="4761" xr:uid="{00000000-0005-0000-0000-000071240000}"/>
    <cellStyle name="Normal 7 4 11 2" xfId="8111" xr:uid="{00000000-0005-0000-0000-000072240000}"/>
    <cellStyle name="Normal 7 4 12" xfId="9786" xr:uid="{00000000-0005-0000-0000-000073240000}"/>
    <cellStyle name="Normal 7 4 13" xfId="6436" xr:uid="{00000000-0005-0000-0000-000074240000}"/>
    <cellStyle name="Normal 7 4 14" xfId="12243" xr:uid="{00000000-0005-0000-0000-00006B240000}"/>
    <cellStyle name="Normal 7 4 2" xfId="3111" xr:uid="{00000000-0005-0000-0000-000075240000}"/>
    <cellStyle name="Normal 7 4 2 10" xfId="12275" xr:uid="{00000000-0005-0000-0000-000075240000}"/>
    <cellStyle name="Normal 7 4 2 2" xfId="3228" xr:uid="{00000000-0005-0000-0000-000076240000}"/>
    <cellStyle name="Normal 7 4 2 2 2" xfId="3464" xr:uid="{00000000-0005-0000-0000-000077240000}"/>
    <cellStyle name="Normal 7 4 2 2 2 2" xfId="4430" xr:uid="{00000000-0005-0000-0000-000078240000}"/>
    <cellStyle name="Normal 7 4 2 2 2 2 2" xfId="6105" xr:uid="{00000000-0005-0000-0000-000079240000}"/>
    <cellStyle name="Normal 7 4 2 2 2 2 2 2" xfId="9455" xr:uid="{00000000-0005-0000-0000-00007A240000}"/>
    <cellStyle name="Normal 7 4 2 2 2 2 3" xfId="11130" xr:uid="{00000000-0005-0000-0000-00007B240000}"/>
    <cellStyle name="Normal 7 4 2 2 2 2 4" xfId="7780" xr:uid="{00000000-0005-0000-0000-00007C240000}"/>
    <cellStyle name="Normal 7 4 2 2 2 3" xfId="5138" xr:uid="{00000000-0005-0000-0000-00007D240000}"/>
    <cellStyle name="Normal 7 4 2 2 2 3 2" xfId="8488" xr:uid="{00000000-0005-0000-0000-00007E240000}"/>
    <cellStyle name="Normal 7 4 2 2 2 4" xfId="10163" xr:uid="{00000000-0005-0000-0000-00007F240000}"/>
    <cellStyle name="Normal 7 4 2 2 2 5" xfId="6813" xr:uid="{00000000-0005-0000-0000-000080240000}"/>
    <cellStyle name="Normal 7 4 2 2 3" xfId="3699" xr:uid="{00000000-0005-0000-0000-000081240000}"/>
    <cellStyle name="Normal 7 4 2 2 3 2" xfId="4666" xr:uid="{00000000-0005-0000-0000-000082240000}"/>
    <cellStyle name="Normal 7 4 2 2 3 2 2" xfId="6341" xr:uid="{00000000-0005-0000-0000-000083240000}"/>
    <cellStyle name="Normal 7 4 2 2 3 2 2 2" xfId="9691" xr:uid="{00000000-0005-0000-0000-000084240000}"/>
    <cellStyle name="Normal 7 4 2 2 3 2 3" xfId="11366" xr:uid="{00000000-0005-0000-0000-000085240000}"/>
    <cellStyle name="Normal 7 4 2 2 3 2 4" xfId="8016" xr:uid="{00000000-0005-0000-0000-000086240000}"/>
    <cellStyle name="Normal 7 4 2 2 3 3" xfId="5374" xr:uid="{00000000-0005-0000-0000-000087240000}"/>
    <cellStyle name="Normal 7 4 2 2 3 3 2" xfId="8724" xr:uid="{00000000-0005-0000-0000-000088240000}"/>
    <cellStyle name="Normal 7 4 2 2 3 4" xfId="10399" xr:uid="{00000000-0005-0000-0000-000089240000}"/>
    <cellStyle name="Normal 7 4 2 2 3 5" xfId="7049" xr:uid="{00000000-0005-0000-0000-00008A240000}"/>
    <cellStyle name="Normal 7 4 2 2 4" xfId="3935" xr:uid="{00000000-0005-0000-0000-00008B240000}"/>
    <cellStyle name="Normal 7 4 2 2 4 2" xfId="5610" xr:uid="{00000000-0005-0000-0000-00008C240000}"/>
    <cellStyle name="Normal 7 4 2 2 4 2 2" xfId="8960" xr:uid="{00000000-0005-0000-0000-00008D240000}"/>
    <cellStyle name="Normal 7 4 2 2 4 3" xfId="10635" xr:uid="{00000000-0005-0000-0000-00008E240000}"/>
    <cellStyle name="Normal 7 4 2 2 4 4" xfId="7285" xr:uid="{00000000-0005-0000-0000-00008F240000}"/>
    <cellStyle name="Normal 7 4 2 2 5" xfId="4194" xr:uid="{00000000-0005-0000-0000-000090240000}"/>
    <cellStyle name="Normal 7 4 2 2 5 2" xfId="5869" xr:uid="{00000000-0005-0000-0000-000091240000}"/>
    <cellStyle name="Normal 7 4 2 2 5 2 2" xfId="9219" xr:uid="{00000000-0005-0000-0000-000092240000}"/>
    <cellStyle name="Normal 7 4 2 2 5 3" xfId="10894" xr:uid="{00000000-0005-0000-0000-000093240000}"/>
    <cellStyle name="Normal 7 4 2 2 5 4" xfId="7544" xr:uid="{00000000-0005-0000-0000-000094240000}"/>
    <cellStyle name="Normal 7 4 2 2 6" xfId="4902" xr:uid="{00000000-0005-0000-0000-000095240000}"/>
    <cellStyle name="Normal 7 4 2 2 6 2" xfId="8252" xr:uid="{00000000-0005-0000-0000-000096240000}"/>
    <cellStyle name="Normal 7 4 2 2 7" xfId="9927" xr:uid="{00000000-0005-0000-0000-000097240000}"/>
    <cellStyle name="Normal 7 4 2 2 8" xfId="6577" xr:uid="{00000000-0005-0000-0000-000098240000}"/>
    <cellStyle name="Normal 7 4 2 3" xfId="3346" xr:uid="{00000000-0005-0000-0000-000099240000}"/>
    <cellStyle name="Normal 7 4 2 3 2" xfId="4312" xr:uid="{00000000-0005-0000-0000-00009A240000}"/>
    <cellStyle name="Normal 7 4 2 3 2 2" xfId="5987" xr:uid="{00000000-0005-0000-0000-00009B240000}"/>
    <cellStyle name="Normal 7 4 2 3 2 2 2" xfId="9337" xr:uid="{00000000-0005-0000-0000-00009C240000}"/>
    <cellStyle name="Normal 7 4 2 3 2 3" xfId="11012" xr:uid="{00000000-0005-0000-0000-00009D240000}"/>
    <cellStyle name="Normal 7 4 2 3 2 4" xfId="7662" xr:uid="{00000000-0005-0000-0000-00009E240000}"/>
    <cellStyle name="Normal 7 4 2 3 3" xfId="5020" xr:uid="{00000000-0005-0000-0000-00009F240000}"/>
    <cellStyle name="Normal 7 4 2 3 3 2" xfId="8370" xr:uid="{00000000-0005-0000-0000-0000A0240000}"/>
    <cellStyle name="Normal 7 4 2 3 4" xfId="10045" xr:uid="{00000000-0005-0000-0000-0000A1240000}"/>
    <cellStyle name="Normal 7 4 2 3 5" xfId="6695" xr:uid="{00000000-0005-0000-0000-0000A2240000}"/>
    <cellStyle name="Normal 7 4 2 4" xfId="3581" xr:uid="{00000000-0005-0000-0000-0000A3240000}"/>
    <cellStyle name="Normal 7 4 2 4 2" xfId="4548" xr:uid="{00000000-0005-0000-0000-0000A4240000}"/>
    <cellStyle name="Normal 7 4 2 4 2 2" xfId="6223" xr:uid="{00000000-0005-0000-0000-0000A5240000}"/>
    <cellStyle name="Normal 7 4 2 4 2 2 2" xfId="9573" xr:uid="{00000000-0005-0000-0000-0000A6240000}"/>
    <cellStyle name="Normal 7 4 2 4 2 3" xfId="11248" xr:uid="{00000000-0005-0000-0000-0000A7240000}"/>
    <cellStyle name="Normal 7 4 2 4 2 4" xfId="7898" xr:uid="{00000000-0005-0000-0000-0000A8240000}"/>
    <cellStyle name="Normal 7 4 2 4 3" xfId="5256" xr:uid="{00000000-0005-0000-0000-0000A9240000}"/>
    <cellStyle name="Normal 7 4 2 4 3 2" xfId="8606" xr:uid="{00000000-0005-0000-0000-0000AA240000}"/>
    <cellStyle name="Normal 7 4 2 4 4" xfId="10281" xr:uid="{00000000-0005-0000-0000-0000AB240000}"/>
    <cellStyle name="Normal 7 4 2 4 5" xfId="6931" xr:uid="{00000000-0005-0000-0000-0000AC240000}"/>
    <cellStyle name="Normal 7 4 2 5" xfId="3817" xr:uid="{00000000-0005-0000-0000-0000AD240000}"/>
    <cellStyle name="Normal 7 4 2 5 2" xfId="5492" xr:uid="{00000000-0005-0000-0000-0000AE240000}"/>
    <cellStyle name="Normal 7 4 2 5 2 2" xfId="8842" xr:uid="{00000000-0005-0000-0000-0000AF240000}"/>
    <cellStyle name="Normal 7 4 2 5 3" xfId="10517" xr:uid="{00000000-0005-0000-0000-0000B0240000}"/>
    <cellStyle name="Normal 7 4 2 5 4" xfId="7167" xr:uid="{00000000-0005-0000-0000-0000B1240000}"/>
    <cellStyle name="Normal 7 4 2 6" xfId="4076" xr:uid="{00000000-0005-0000-0000-0000B2240000}"/>
    <cellStyle name="Normal 7 4 2 6 2" xfId="5751" xr:uid="{00000000-0005-0000-0000-0000B3240000}"/>
    <cellStyle name="Normal 7 4 2 6 2 2" xfId="9101" xr:uid="{00000000-0005-0000-0000-0000B4240000}"/>
    <cellStyle name="Normal 7 4 2 6 3" xfId="10776" xr:uid="{00000000-0005-0000-0000-0000B5240000}"/>
    <cellStyle name="Normal 7 4 2 6 4" xfId="7426" xr:uid="{00000000-0005-0000-0000-0000B6240000}"/>
    <cellStyle name="Normal 7 4 2 7" xfId="4784" xr:uid="{00000000-0005-0000-0000-0000B7240000}"/>
    <cellStyle name="Normal 7 4 2 7 2" xfId="8134" xr:uid="{00000000-0005-0000-0000-0000B8240000}"/>
    <cellStyle name="Normal 7 4 2 8" xfId="9809" xr:uid="{00000000-0005-0000-0000-0000B9240000}"/>
    <cellStyle name="Normal 7 4 2 9" xfId="6459" xr:uid="{00000000-0005-0000-0000-0000BA240000}"/>
    <cellStyle name="Normal 7 4 3" xfId="3134" xr:uid="{00000000-0005-0000-0000-0000BB240000}"/>
    <cellStyle name="Normal 7 4 3 2" xfId="3251" xr:uid="{00000000-0005-0000-0000-0000BC240000}"/>
    <cellStyle name="Normal 7 4 3 2 2" xfId="3487" xr:uid="{00000000-0005-0000-0000-0000BD240000}"/>
    <cellStyle name="Normal 7 4 3 2 2 2" xfId="4453" xr:uid="{00000000-0005-0000-0000-0000BE240000}"/>
    <cellStyle name="Normal 7 4 3 2 2 2 2" xfId="6128" xr:uid="{00000000-0005-0000-0000-0000BF240000}"/>
    <cellStyle name="Normal 7 4 3 2 2 2 2 2" xfId="9478" xr:uid="{00000000-0005-0000-0000-0000C0240000}"/>
    <cellStyle name="Normal 7 4 3 2 2 2 3" xfId="11153" xr:uid="{00000000-0005-0000-0000-0000C1240000}"/>
    <cellStyle name="Normal 7 4 3 2 2 2 4" xfId="7803" xr:uid="{00000000-0005-0000-0000-0000C2240000}"/>
    <cellStyle name="Normal 7 4 3 2 2 3" xfId="5161" xr:uid="{00000000-0005-0000-0000-0000C3240000}"/>
    <cellStyle name="Normal 7 4 3 2 2 3 2" xfId="8511" xr:uid="{00000000-0005-0000-0000-0000C4240000}"/>
    <cellStyle name="Normal 7 4 3 2 2 4" xfId="10186" xr:uid="{00000000-0005-0000-0000-0000C5240000}"/>
    <cellStyle name="Normal 7 4 3 2 2 5" xfId="6836" xr:uid="{00000000-0005-0000-0000-0000C6240000}"/>
    <cellStyle name="Normal 7 4 3 2 3" xfId="3722" xr:uid="{00000000-0005-0000-0000-0000C7240000}"/>
    <cellStyle name="Normal 7 4 3 2 3 2" xfId="4689" xr:uid="{00000000-0005-0000-0000-0000C8240000}"/>
    <cellStyle name="Normal 7 4 3 2 3 2 2" xfId="6364" xr:uid="{00000000-0005-0000-0000-0000C9240000}"/>
    <cellStyle name="Normal 7 4 3 2 3 2 2 2" xfId="9714" xr:uid="{00000000-0005-0000-0000-0000CA240000}"/>
    <cellStyle name="Normal 7 4 3 2 3 2 3" xfId="11389" xr:uid="{00000000-0005-0000-0000-0000CB240000}"/>
    <cellStyle name="Normal 7 4 3 2 3 2 4" xfId="8039" xr:uid="{00000000-0005-0000-0000-0000CC240000}"/>
    <cellStyle name="Normal 7 4 3 2 3 3" xfId="5397" xr:uid="{00000000-0005-0000-0000-0000CD240000}"/>
    <cellStyle name="Normal 7 4 3 2 3 3 2" xfId="8747" xr:uid="{00000000-0005-0000-0000-0000CE240000}"/>
    <cellStyle name="Normal 7 4 3 2 3 4" xfId="10422" xr:uid="{00000000-0005-0000-0000-0000CF240000}"/>
    <cellStyle name="Normal 7 4 3 2 3 5" xfId="7072" xr:uid="{00000000-0005-0000-0000-0000D0240000}"/>
    <cellStyle name="Normal 7 4 3 2 4" xfId="3958" xr:uid="{00000000-0005-0000-0000-0000D1240000}"/>
    <cellStyle name="Normal 7 4 3 2 4 2" xfId="5633" xr:uid="{00000000-0005-0000-0000-0000D2240000}"/>
    <cellStyle name="Normal 7 4 3 2 4 2 2" xfId="8983" xr:uid="{00000000-0005-0000-0000-0000D3240000}"/>
    <cellStyle name="Normal 7 4 3 2 4 3" xfId="10658" xr:uid="{00000000-0005-0000-0000-0000D4240000}"/>
    <cellStyle name="Normal 7 4 3 2 4 4" xfId="7308" xr:uid="{00000000-0005-0000-0000-0000D5240000}"/>
    <cellStyle name="Normal 7 4 3 2 5" xfId="4217" xr:uid="{00000000-0005-0000-0000-0000D6240000}"/>
    <cellStyle name="Normal 7 4 3 2 5 2" xfId="5892" xr:uid="{00000000-0005-0000-0000-0000D7240000}"/>
    <cellStyle name="Normal 7 4 3 2 5 2 2" xfId="9242" xr:uid="{00000000-0005-0000-0000-0000D8240000}"/>
    <cellStyle name="Normal 7 4 3 2 5 3" xfId="10917" xr:uid="{00000000-0005-0000-0000-0000D9240000}"/>
    <cellStyle name="Normal 7 4 3 2 5 4" xfId="7567" xr:uid="{00000000-0005-0000-0000-0000DA240000}"/>
    <cellStyle name="Normal 7 4 3 2 6" xfId="4925" xr:uid="{00000000-0005-0000-0000-0000DB240000}"/>
    <cellStyle name="Normal 7 4 3 2 6 2" xfId="8275" xr:uid="{00000000-0005-0000-0000-0000DC240000}"/>
    <cellStyle name="Normal 7 4 3 2 7" xfId="9950" xr:uid="{00000000-0005-0000-0000-0000DD240000}"/>
    <cellStyle name="Normal 7 4 3 2 8" xfId="6600" xr:uid="{00000000-0005-0000-0000-0000DE240000}"/>
    <cellStyle name="Normal 7 4 3 3" xfId="3369" xr:uid="{00000000-0005-0000-0000-0000DF240000}"/>
    <cellStyle name="Normal 7 4 3 3 2" xfId="4335" xr:uid="{00000000-0005-0000-0000-0000E0240000}"/>
    <cellStyle name="Normal 7 4 3 3 2 2" xfId="6010" xr:uid="{00000000-0005-0000-0000-0000E1240000}"/>
    <cellStyle name="Normal 7 4 3 3 2 2 2" xfId="9360" xr:uid="{00000000-0005-0000-0000-0000E2240000}"/>
    <cellStyle name="Normal 7 4 3 3 2 3" xfId="11035" xr:uid="{00000000-0005-0000-0000-0000E3240000}"/>
    <cellStyle name="Normal 7 4 3 3 2 4" xfId="7685" xr:uid="{00000000-0005-0000-0000-0000E4240000}"/>
    <cellStyle name="Normal 7 4 3 3 3" xfId="5043" xr:uid="{00000000-0005-0000-0000-0000E5240000}"/>
    <cellStyle name="Normal 7 4 3 3 3 2" xfId="8393" xr:uid="{00000000-0005-0000-0000-0000E6240000}"/>
    <cellStyle name="Normal 7 4 3 3 4" xfId="10068" xr:uid="{00000000-0005-0000-0000-0000E7240000}"/>
    <cellStyle name="Normal 7 4 3 3 5" xfId="6718" xr:uid="{00000000-0005-0000-0000-0000E8240000}"/>
    <cellStyle name="Normal 7 4 3 4" xfId="3604" xr:uid="{00000000-0005-0000-0000-0000E9240000}"/>
    <cellStyle name="Normal 7 4 3 4 2" xfId="4571" xr:uid="{00000000-0005-0000-0000-0000EA240000}"/>
    <cellStyle name="Normal 7 4 3 4 2 2" xfId="6246" xr:uid="{00000000-0005-0000-0000-0000EB240000}"/>
    <cellStyle name="Normal 7 4 3 4 2 2 2" xfId="9596" xr:uid="{00000000-0005-0000-0000-0000EC240000}"/>
    <cellStyle name="Normal 7 4 3 4 2 3" xfId="11271" xr:uid="{00000000-0005-0000-0000-0000ED240000}"/>
    <cellStyle name="Normal 7 4 3 4 2 4" xfId="7921" xr:uid="{00000000-0005-0000-0000-0000EE240000}"/>
    <cellStyle name="Normal 7 4 3 4 3" xfId="5279" xr:uid="{00000000-0005-0000-0000-0000EF240000}"/>
    <cellStyle name="Normal 7 4 3 4 3 2" xfId="8629" xr:uid="{00000000-0005-0000-0000-0000F0240000}"/>
    <cellStyle name="Normal 7 4 3 4 4" xfId="10304" xr:uid="{00000000-0005-0000-0000-0000F1240000}"/>
    <cellStyle name="Normal 7 4 3 4 5" xfId="6954" xr:uid="{00000000-0005-0000-0000-0000F2240000}"/>
    <cellStyle name="Normal 7 4 3 5" xfId="3840" xr:uid="{00000000-0005-0000-0000-0000F3240000}"/>
    <cellStyle name="Normal 7 4 3 5 2" xfId="5515" xr:uid="{00000000-0005-0000-0000-0000F4240000}"/>
    <cellStyle name="Normal 7 4 3 5 2 2" xfId="8865" xr:uid="{00000000-0005-0000-0000-0000F5240000}"/>
    <cellStyle name="Normal 7 4 3 5 3" xfId="10540" xr:uid="{00000000-0005-0000-0000-0000F6240000}"/>
    <cellStyle name="Normal 7 4 3 5 4" xfId="7190" xr:uid="{00000000-0005-0000-0000-0000F7240000}"/>
    <cellStyle name="Normal 7 4 3 6" xfId="4099" xr:uid="{00000000-0005-0000-0000-0000F8240000}"/>
    <cellStyle name="Normal 7 4 3 6 2" xfId="5774" xr:uid="{00000000-0005-0000-0000-0000F9240000}"/>
    <cellStyle name="Normal 7 4 3 6 2 2" xfId="9124" xr:uid="{00000000-0005-0000-0000-0000FA240000}"/>
    <cellStyle name="Normal 7 4 3 6 3" xfId="10799" xr:uid="{00000000-0005-0000-0000-0000FB240000}"/>
    <cellStyle name="Normal 7 4 3 6 4" xfId="7449" xr:uid="{00000000-0005-0000-0000-0000FC240000}"/>
    <cellStyle name="Normal 7 4 3 7" xfId="4807" xr:uid="{00000000-0005-0000-0000-0000FD240000}"/>
    <cellStyle name="Normal 7 4 3 7 2" xfId="8157" xr:uid="{00000000-0005-0000-0000-0000FE240000}"/>
    <cellStyle name="Normal 7 4 3 8" xfId="9832" xr:uid="{00000000-0005-0000-0000-0000FF240000}"/>
    <cellStyle name="Normal 7 4 3 9" xfId="6482" xr:uid="{00000000-0005-0000-0000-000000250000}"/>
    <cellStyle name="Normal 7 4 4" xfId="3157" xr:uid="{00000000-0005-0000-0000-000001250000}"/>
    <cellStyle name="Normal 7 4 4 2" xfId="3275" xr:uid="{00000000-0005-0000-0000-000002250000}"/>
    <cellStyle name="Normal 7 4 4 2 2" xfId="3511" xr:uid="{00000000-0005-0000-0000-000003250000}"/>
    <cellStyle name="Normal 7 4 4 2 2 2" xfId="4477" xr:uid="{00000000-0005-0000-0000-000004250000}"/>
    <cellStyle name="Normal 7 4 4 2 2 2 2" xfId="6152" xr:uid="{00000000-0005-0000-0000-000005250000}"/>
    <cellStyle name="Normal 7 4 4 2 2 2 2 2" xfId="9502" xr:uid="{00000000-0005-0000-0000-000006250000}"/>
    <cellStyle name="Normal 7 4 4 2 2 2 3" xfId="11177" xr:uid="{00000000-0005-0000-0000-000007250000}"/>
    <cellStyle name="Normal 7 4 4 2 2 2 4" xfId="7827" xr:uid="{00000000-0005-0000-0000-000008250000}"/>
    <cellStyle name="Normal 7 4 4 2 2 3" xfId="5185" xr:uid="{00000000-0005-0000-0000-000009250000}"/>
    <cellStyle name="Normal 7 4 4 2 2 3 2" xfId="8535" xr:uid="{00000000-0005-0000-0000-00000A250000}"/>
    <cellStyle name="Normal 7 4 4 2 2 4" xfId="10210" xr:uid="{00000000-0005-0000-0000-00000B250000}"/>
    <cellStyle name="Normal 7 4 4 2 2 5" xfId="6860" xr:uid="{00000000-0005-0000-0000-00000C250000}"/>
    <cellStyle name="Normal 7 4 4 2 3" xfId="3746" xr:uid="{00000000-0005-0000-0000-00000D250000}"/>
    <cellStyle name="Normal 7 4 4 2 3 2" xfId="4713" xr:uid="{00000000-0005-0000-0000-00000E250000}"/>
    <cellStyle name="Normal 7 4 4 2 3 2 2" xfId="6388" xr:uid="{00000000-0005-0000-0000-00000F250000}"/>
    <cellStyle name="Normal 7 4 4 2 3 2 2 2" xfId="9738" xr:uid="{00000000-0005-0000-0000-000010250000}"/>
    <cellStyle name="Normal 7 4 4 2 3 2 3" xfId="11413" xr:uid="{00000000-0005-0000-0000-000011250000}"/>
    <cellStyle name="Normal 7 4 4 2 3 2 4" xfId="8063" xr:uid="{00000000-0005-0000-0000-000012250000}"/>
    <cellStyle name="Normal 7 4 4 2 3 3" xfId="5421" xr:uid="{00000000-0005-0000-0000-000013250000}"/>
    <cellStyle name="Normal 7 4 4 2 3 3 2" xfId="8771" xr:uid="{00000000-0005-0000-0000-000014250000}"/>
    <cellStyle name="Normal 7 4 4 2 3 4" xfId="10446" xr:uid="{00000000-0005-0000-0000-000015250000}"/>
    <cellStyle name="Normal 7 4 4 2 3 5" xfId="7096" xr:uid="{00000000-0005-0000-0000-000016250000}"/>
    <cellStyle name="Normal 7 4 4 2 4" xfId="3982" xr:uid="{00000000-0005-0000-0000-000017250000}"/>
    <cellStyle name="Normal 7 4 4 2 4 2" xfId="5657" xr:uid="{00000000-0005-0000-0000-000018250000}"/>
    <cellStyle name="Normal 7 4 4 2 4 2 2" xfId="9007" xr:uid="{00000000-0005-0000-0000-000019250000}"/>
    <cellStyle name="Normal 7 4 4 2 4 3" xfId="10682" xr:uid="{00000000-0005-0000-0000-00001A250000}"/>
    <cellStyle name="Normal 7 4 4 2 4 4" xfId="7332" xr:uid="{00000000-0005-0000-0000-00001B250000}"/>
    <cellStyle name="Normal 7 4 4 2 5" xfId="4241" xr:uid="{00000000-0005-0000-0000-00001C250000}"/>
    <cellStyle name="Normal 7 4 4 2 5 2" xfId="5916" xr:uid="{00000000-0005-0000-0000-00001D250000}"/>
    <cellStyle name="Normal 7 4 4 2 5 2 2" xfId="9266" xr:uid="{00000000-0005-0000-0000-00001E250000}"/>
    <cellStyle name="Normal 7 4 4 2 5 3" xfId="10941" xr:uid="{00000000-0005-0000-0000-00001F250000}"/>
    <cellStyle name="Normal 7 4 4 2 5 4" xfId="7591" xr:uid="{00000000-0005-0000-0000-000020250000}"/>
    <cellStyle name="Normal 7 4 4 2 6" xfId="4949" xr:uid="{00000000-0005-0000-0000-000021250000}"/>
    <cellStyle name="Normal 7 4 4 2 6 2" xfId="8299" xr:uid="{00000000-0005-0000-0000-000022250000}"/>
    <cellStyle name="Normal 7 4 4 2 7" xfId="9974" xr:uid="{00000000-0005-0000-0000-000023250000}"/>
    <cellStyle name="Normal 7 4 4 2 8" xfId="6624" xr:uid="{00000000-0005-0000-0000-000024250000}"/>
    <cellStyle name="Normal 7 4 4 3" xfId="3393" xr:uid="{00000000-0005-0000-0000-000025250000}"/>
    <cellStyle name="Normal 7 4 4 3 2" xfId="4359" xr:uid="{00000000-0005-0000-0000-000026250000}"/>
    <cellStyle name="Normal 7 4 4 3 2 2" xfId="6034" xr:uid="{00000000-0005-0000-0000-000027250000}"/>
    <cellStyle name="Normal 7 4 4 3 2 2 2" xfId="9384" xr:uid="{00000000-0005-0000-0000-000028250000}"/>
    <cellStyle name="Normal 7 4 4 3 2 3" xfId="11059" xr:uid="{00000000-0005-0000-0000-000029250000}"/>
    <cellStyle name="Normal 7 4 4 3 2 4" xfId="7709" xr:uid="{00000000-0005-0000-0000-00002A250000}"/>
    <cellStyle name="Normal 7 4 4 3 3" xfId="5067" xr:uid="{00000000-0005-0000-0000-00002B250000}"/>
    <cellStyle name="Normal 7 4 4 3 3 2" xfId="8417" xr:uid="{00000000-0005-0000-0000-00002C250000}"/>
    <cellStyle name="Normal 7 4 4 3 4" xfId="10092" xr:uid="{00000000-0005-0000-0000-00002D250000}"/>
    <cellStyle name="Normal 7 4 4 3 5" xfId="6742" xr:uid="{00000000-0005-0000-0000-00002E250000}"/>
    <cellStyle name="Normal 7 4 4 4" xfId="3628" xr:uid="{00000000-0005-0000-0000-00002F250000}"/>
    <cellStyle name="Normal 7 4 4 4 2" xfId="4595" xr:uid="{00000000-0005-0000-0000-000030250000}"/>
    <cellStyle name="Normal 7 4 4 4 2 2" xfId="6270" xr:uid="{00000000-0005-0000-0000-000031250000}"/>
    <cellStyle name="Normal 7 4 4 4 2 2 2" xfId="9620" xr:uid="{00000000-0005-0000-0000-000032250000}"/>
    <cellStyle name="Normal 7 4 4 4 2 3" xfId="11295" xr:uid="{00000000-0005-0000-0000-000033250000}"/>
    <cellStyle name="Normal 7 4 4 4 2 4" xfId="7945" xr:uid="{00000000-0005-0000-0000-000034250000}"/>
    <cellStyle name="Normal 7 4 4 4 3" xfId="5303" xr:uid="{00000000-0005-0000-0000-000035250000}"/>
    <cellStyle name="Normal 7 4 4 4 3 2" xfId="8653" xr:uid="{00000000-0005-0000-0000-000036250000}"/>
    <cellStyle name="Normal 7 4 4 4 4" xfId="10328" xr:uid="{00000000-0005-0000-0000-000037250000}"/>
    <cellStyle name="Normal 7 4 4 4 5" xfId="6978" xr:uid="{00000000-0005-0000-0000-000038250000}"/>
    <cellStyle name="Normal 7 4 4 5" xfId="3864" xr:uid="{00000000-0005-0000-0000-000039250000}"/>
    <cellStyle name="Normal 7 4 4 5 2" xfId="5539" xr:uid="{00000000-0005-0000-0000-00003A250000}"/>
    <cellStyle name="Normal 7 4 4 5 2 2" xfId="8889" xr:uid="{00000000-0005-0000-0000-00003B250000}"/>
    <cellStyle name="Normal 7 4 4 5 3" xfId="10564" xr:uid="{00000000-0005-0000-0000-00003C250000}"/>
    <cellStyle name="Normal 7 4 4 5 4" xfId="7214" xr:uid="{00000000-0005-0000-0000-00003D250000}"/>
    <cellStyle name="Normal 7 4 4 6" xfId="4123" xr:uid="{00000000-0005-0000-0000-00003E250000}"/>
    <cellStyle name="Normal 7 4 4 6 2" xfId="5798" xr:uid="{00000000-0005-0000-0000-00003F250000}"/>
    <cellStyle name="Normal 7 4 4 6 2 2" xfId="9148" xr:uid="{00000000-0005-0000-0000-000040250000}"/>
    <cellStyle name="Normal 7 4 4 6 3" xfId="10823" xr:uid="{00000000-0005-0000-0000-000041250000}"/>
    <cellStyle name="Normal 7 4 4 6 4" xfId="7473" xr:uid="{00000000-0005-0000-0000-000042250000}"/>
    <cellStyle name="Normal 7 4 4 7" xfId="4831" xr:uid="{00000000-0005-0000-0000-000043250000}"/>
    <cellStyle name="Normal 7 4 4 7 2" xfId="8181" xr:uid="{00000000-0005-0000-0000-000044250000}"/>
    <cellStyle name="Normal 7 4 4 8" xfId="9856" xr:uid="{00000000-0005-0000-0000-000045250000}"/>
    <cellStyle name="Normal 7 4 4 9" xfId="6506" xr:uid="{00000000-0005-0000-0000-000046250000}"/>
    <cellStyle name="Normal 7 4 5" xfId="3181" xr:uid="{00000000-0005-0000-0000-000047250000}"/>
    <cellStyle name="Normal 7 4 5 2" xfId="3299" xr:uid="{00000000-0005-0000-0000-000048250000}"/>
    <cellStyle name="Normal 7 4 5 2 2" xfId="3535" xr:uid="{00000000-0005-0000-0000-000049250000}"/>
    <cellStyle name="Normal 7 4 5 2 2 2" xfId="4501" xr:uid="{00000000-0005-0000-0000-00004A250000}"/>
    <cellStyle name="Normal 7 4 5 2 2 2 2" xfId="6176" xr:uid="{00000000-0005-0000-0000-00004B250000}"/>
    <cellStyle name="Normal 7 4 5 2 2 2 2 2" xfId="9526" xr:uid="{00000000-0005-0000-0000-00004C250000}"/>
    <cellStyle name="Normal 7 4 5 2 2 2 3" xfId="11201" xr:uid="{00000000-0005-0000-0000-00004D250000}"/>
    <cellStyle name="Normal 7 4 5 2 2 2 4" xfId="7851" xr:uid="{00000000-0005-0000-0000-00004E250000}"/>
    <cellStyle name="Normal 7 4 5 2 2 3" xfId="5209" xr:uid="{00000000-0005-0000-0000-00004F250000}"/>
    <cellStyle name="Normal 7 4 5 2 2 3 2" xfId="8559" xr:uid="{00000000-0005-0000-0000-000050250000}"/>
    <cellStyle name="Normal 7 4 5 2 2 4" xfId="10234" xr:uid="{00000000-0005-0000-0000-000051250000}"/>
    <cellStyle name="Normal 7 4 5 2 2 5" xfId="6884" xr:uid="{00000000-0005-0000-0000-000052250000}"/>
    <cellStyle name="Normal 7 4 5 2 3" xfId="3770" xr:uid="{00000000-0005-0000-0000-000053250000}"/>
    <cellStyle name="Normal 7 4 5 2 3 2" xfId="4737" xr:uid="{00000000-0005-0000-0000-000054250000}"/>
    <cellStyle name="Normal 7 4 5 2 3 2 2" xfId="6412" xr:uid="{00000000-0005-0000-0000-000055250000}"/>
    <cellStyle name="Normal 7 4 5 2 3 2 2 2" xfId="9762" xr:uid="{00000000-0005-0000-0000-000056250000}"/>
    <cellStyle name="Normal 7 4 5 2 3 2 3" xfId="11437" xr:uid="{00000000-0005-0000-0000-000057250000}"/>
    <cellStyle name="Normal 7 4 5 2 3 2 4" xfId="8087" xr:uid="{00000000-0005-0000-0000-000058250000}"/>
    <cellStyle name="Normal 7 4 5 2 3 3" xfId="5445" xr:uid="{00000000-0005-0000-0000-000059250000}"/>
    <cellStyle name="Normal 7 4 5 2 3 3 2" xfId="8795" xr:uid="{00000000-0005-0000-0000-00005A250000}"/>
    <cellStyle name="Normal 7 4 5 2 3 4" xfId="10470" xr:uid="{00000000-0005-0000-0000-00005B250000}"/>
    <cellStyle name="Normal 7 4 5 2 3 5" xfId="7120" xr:uid="{00000000-0005-0000-0000-00005C250000}"/>
    <cellStyle name="Normal 7 4 5 2 4" xfId="4006" xr:uid="{00000000-0005-0000-0000-00005D250000}"/>
    <cellStyle name="Normal 7 4 5 2 4 2" xfId="5681" xr:uid="{00000000-0005-0000-0000-00005E250000}"/>
    <cellStyle name="Normal 7 4 5 2 4 2 2" xfId="9031" xr:uid="{00000000-0005-0000-0000-00005F250000}"/>
    <cellStyle name="Normal 7 4 5 2 4 3" xfId="10706" xr:uid="{00000000-0005-0000-0000-000060250000}"/>
    <cellStyle name="Normal 7 4 5 2 4 4" xfId="7356" xr:uid="{00000000-0005-0000-0000-000061250000}"/>
    <cellStyle name="Normal 7 4 5 2 5" xfId="4265" xr:uid="{00000000-0005-0000-0000-000062250000}"/>
    <cellStyle name="Normal 7 4 5 2 5 2" xfId="5940" xr:uid="{00000000-0005-0000-0000-000063250000}"/>
    <cellStyle name="Normal 7 4 5 2 5 2 2" xfId="9290" xr:uid="{00000000-0005-0000-0000-000064250000}"/>
    <cellStyle name="Normal 7 4 5 2 5 3" xfId="10965" xr:uid="{00000000-0005-0000-0000-000065250000}"/>
    <cellStyle name="Normal 7 4 5 2 5 4" xfId="7615" xr:uid="{00000000-0005-0000-0000-000066250000}"/>
    <cellStyle name="Normal 7 4 5 2 6" xfId="4973" xr:uid="{00000000-0005-0000-0000-000067250000}"/>
    <cellStyle name="Normal 7 4 5 2 6 2" xfId="8323" xr:uid="{00000000-0005-0000-0000-000068250000}"/>
    <cellStyle name="Normal 7 4 5 2 7" xfId="9998" xr:uid="{00000000-0005-0000-0000-000069250000}"/>
    <cellStyle name="Normal 7 4 5 2 8" xfId="6648" xr:uid="{00000000-0005-0000-0000-00006A250000}"/>
    <cellStyle name="Normal 7 4 5 3" xfId="3417" xr:uid="{00000000-0005-0000-0000-00006B250000}"/>
    <cellStyle name="Normal 7 4 5 3 2" xfId="4383" xr:uid="{00000000-0005-0000-0000-00006C250000}"/>
    <cellStyle name="Normal 7 4 5 3 2 2" xfId="6058" xr:uid="{00000000-0005-0000-0000-00006D250000}"/>
    <cellStyle name="Normal 7 4 5 3 2 2 2" xfId="9408" xr:uid="{00000000-0005-0000-0000-00006E250000}"/>
    <cellStyle name="Normal 7 4 5 3 2 3" xfId="11083" xr:uid="{00000000-0005-0000-0000-00006F250000}"/>
    <cellStyle name="Normal 7 4 5 3 2 4" xfId="7733" xr:uid="{00000000-0005-0000-0000-000070250000}"/>
    <cellStyle name="Normal 7 4 5 3 3" xfId="5091" xr:uid="{00000000-0005-0000-0000-000071250000}"/>
    <cellStyle name="Normal 7 4 5 3 3 2" xfId="8441" xr:uid="{00000000-0005-0000-0000-000072250000}"/>
    <cellStyle name="Normal 7 4 5 3 4" xfId="10116" xr:uid="{00000000-0005-0000-0000-000073250000}"/>
    <cellStyle name="Normal 7 4 5 3 5" xfId="6766" xr:uid="{00000000-0005-0000-0000-000074250000}"/>
    <cellStyle name="Normal 7 4 5 4" xfId="3652" xr:uid="{00000000-0005-0000-0000-000075250000}"/>
    <cellStyle name="Normal 7 4 5 4 2" xfId="4619" xr:uid="{00000000-0005-0000-0000-000076250000}"/>
    <cellStyle name="Normal 7 4 5 4 2 2" xfId="6294" xr:uid="{00000000-0005-0000-0000-000077250000}"/>
    <cellStyle name="Normal 7 4 5 4 2 2 2" xfId="9644" xr:uid="{00000000-0005-0000-0000-000078250000}"/>
    <cellStyle name="Normal 7 4 5 4 2 3" xfId="11319" xr:uid="{00000000-0005-0000-0000-000079250000}"/>
    <cellStyle name="Normal 7 4 5 4 2 4" xfId="7969" xr:uid="{00000000-0005-0000-0000-00007A250000}"/>
    <cellStyle name="Normal 7 4 5 4 3" xfId="5327" xr:uid="{00000000-0005-0000-0000-00007B250000}"/>
    <cellStyle name="Normal 7 4 5 4 3 2" xfId="8677" xr:uid="{00000000-0005-0000-0000-00007C250000}"/>
    <cellStyle name="Normal 7 4 5 4 4" xfId="10352" xr:uid="{00000000-0005-0000-0000-00007D250000}"/>
    <cellStyle name="Normal 7 4 5 4 5" xfId="7002" xr:uid="{00000000-0005-0000-0000-00007E250000}"/>
    <cellStyle name="Normal 7 4 5 5" xfId="3888" xr:uid="{00000000-0005-0000-0000-00007F250000}"/>
    <cellStyle name="Normal 7 4 5 5 2" xfId="5563" xr:uid="{00000000-0005-0000-0000-000080250000}"/>
    <cellStyle name="Normal 7 4 5 5 2 2" xfId="8913" xr:uid="{00000000-0005-0000-0000-000081250000}"/>
    <cellStyle name="Normal 7 4 5 5 3" xfId="10588" xr:uid="{00000000-0005-0000-0000-000082250000}"/>
    <cellStyle name="Normal 7 4 5 5 4" xfId="7238" xr:uid="{00000000-0005-0000-0000-000083250000}"/>
    <cellStyle name="Normal 7 4 5 6" xfId="4147" xr:uid="{00000000-0005-0000-0000-000084250000}"/>
    <cellStyle name="Normal 7 4 5 6 2" xfId="5822" xr:uid="{00000000-0005-0000-0000-000085250000}"/>
    <cellStyle name="Normal 7 4 5 6 2 2" xfId="9172" xr:uid="{00000000-0005-0000-0000-000086250000}"/>
    <cellStyle name="Normal 7 4 5 6 3" xfId="10847" xr:uid="{00000000-0005-0000-0000-000087250000}"/>
    <cellStyle name="Normal 7 4 5 6 4" xfId="7497" xr:uid="{00000000-0005-0000-0000-000088250000}"/>
    <cellStyle name="Normal 7 4 5 7" xfId="4855" xr:uid="{00000000-0005-0000-0000-000089250000}"/>
    <cellStyle name="Normal 7 4 5 7 2" xfId="8205" xr:uid="{00000000-0005-0000-0000-00008A250000}"/>
    <cellStyle name="Normal 7 4 5 8" xfId="9880" xr:uid="{00000000-0005-0000-0000-00008B250000}"/>
    <cellStyle name="Normal 7 4 5 9" xfId="6530" xr:uid="{00000000-0005-0000-0000-00008C250000}"/>
    <cellStyle name="Normal 7 4 6" xfId="3205" xr:uid="{00000000-0005-0000-0000-00008D250000}"/>
    <cellStyle name="Normal 7 4 6 2" xfId="3441" xr:uid="{00000000-0005-0000-0000-00008E250000}"/>
    <cellStyle name="Normal 7 4 6 2 2" xfId="4407" xr:uid="{00000000-0005-0000-0000-00008F250000}"/>
    <cellStyle name="Normal 7 4 6 2 2 2" xfId="6082" xr:uid="{00000000-0005-0000-0000-000090250000}"/>
    <cellStyle name="Normal 7 4 6 2 2 2 2" xfId="9432" xr:uid="{00000000-0005-0000-0000-000091250000}"/>
    <cellStyle name="Normal 7 4 6 2 2 3" xfId="11107" xr:uid="{00000000-0005-0000-0000-000092250000}"/>
    <cellStyle name="Normal 7 4 6 2 2 4" xfId="7757" xr:uid="{00000000-0005-0000-0000-000093250000}"/>
    <cellStyle name="Normal 7 4 6 2 3" xfId="5115" xr:uid="{00000000-0005-0000-0000-000094250000}"/>
    <cellStyle name="Normal 7 4 6 2 3 2" xfId="8465" xr:uid="{00000000-0005-0000-0000-000095250000}"/>
    <cellStyle name="Normal 7 4 6 2 4" xfId="10140" xr:uid="{00000000-0005-0000-0000-000096250000}"/>
    <cellStyle name="Normal 7 4 6 2 5" xfId="6790" xr:uid="{00000000-0005-0000-0000-000097250000}"/>
    <cellStyle name="Normal 7 4 6 3" xfId="3676" xr:uid="{00000000-0005-0000-0000-000098250000}"/>
    <cellStyle name="Normal 7 4 6 3 2" xfId="4643" xr:uid="{00000000-0005-0000-0000-000099250000}"/>
    <cellStyle name="Normal 7 4 6 3 2 2" xfId="6318" xr:uid="{00000000-0005-0000-0000-00009A250000}"/>
    <cellStyle name="Normal 7 4 6 3 2 2 2" xfId="9668" xr:uid="{00000000-0005-0000-0000-00009B250000}"/>
    <cellStyle name="Normal 7 4 6 3 2 3" xfId="11343" xr:uid="{00000000-0005-0000-0000-00009C250000}"/>
    <cellStyle name="Normal 7 4 6 3 2 4" xfId="7993" xr:uid="{00000000-0005-0000-0000-00009D250000}"/>
    <cellStyle name="Normal 7 4 6 3 3" xfId="5351" xr:uid="{00000000-0005-0000-0000-00009E250000}"/>
    <cellStyle name="Normal 7 4 6 3 3 2" xfId="8701" xr:uid="{00000000-0005-0000-0000-00009F250000}"/>
    <cellStyle name="Normal 7 4 6 3 4" xfId="10376" xr:uid="{00000000-0005-0000-0000-0000A0250000}"/>
    <cellStyle name="Normal 7 4 6 3 5" xfId="7026" xr:uid="{00000000-0005-0000-0000-0000A1250000}"/>
    <cellStyle name="Normal 7 4 6 4" xfId="3912" xr:uid="{00000000-0005-0000-0000-0000A2250000}"/>
    <cellStyle name="Normal 7 4 6 4 2" xfId="5587" xr:uid="{00000000-0005-0000-0000-0000A3250000}"/>
    <cellStyle name="Normal 7 4 6 4 2 2" xfId="8937" xr:uid="{00000000-0005-0000-0000-0000A4250000}"/>
    <cellStyle name="Normal 7 4 6 4 3" xfId="10612" xr:uid="{00000000-0005-0000-0000-0000A5250000}"/>
    <cellStyle name="Normal 7 4 6 4 4" xfId="7262" xr:uid="{00000000-0005-0000-0000-0000A6250000}"/>
    <cellStyle name="Normal 7 4 6 5" xfId="4171" xr:uid="{00000000-0005-0000-0000-0000A7250000}"/>
    <cellStyle name="Normal 7 4 6 5 2" xfId="5846" xr:uid="{00000000-0005-0000-0000-0000A8250000}"/>
    <cellStyle name="Normal 7 4 6 5 2 2" xfId="9196" xr:uid="{00000000-0005-0000-0000-0000A9250000}"/>
    <cellStyle name="Normal 7 4 6 5 3" xfId="10871" xr:uid="{00000000-0005-0000-0000-0000AA250000}"/>
    <cellStyle name="Normal 7 4 6 5 4" xfId="7521" xr:uid="{00000000-0005-0000-0000-0000AB250000}"/>
    <cellStyle name="Normal 7 4 6 6" xfId="4879" xr:uid="{00000000-0005-0000-0000-0000AC250000}"/>
    <cellStyle name="Normal 7 4 6 6 2" xfId="8229" xr:uid="{00000000-0005-0000-0000-0000AD250000}"/>
    <cellStyle name="Normal 7 4 6 7" xfId="9904" xr:uid="{00000000-0005-0000-0000-0000AE250000}"/>
    <cellStyle name="Normal 7 4 6 8" xfId="6554" xr:uid="{00000000-0005-0000-0000-0000AF250000}"/>
    <cellStyle name="Normal 7 4 7" xfId="3323" xr:uid="{00000000-0005-0000-0000-0000B0250000}"/>
    <cellStyle name="Normal 7 4 7 2" xfId="4289" xr:uid="{00000000-0005-0000-0000-0000B1250000}"/>
    <cellStyle name="Normal 7 4 7 2 2" xfId="5964" xr:uid="{00000000-0005-0000-0000-0000B2250000}"/>
    <cellStyle name="Normal 7 4 7 2 2 2" xfId="9314" xr:uid="{00000000-0005-0000-0000-0000B3250000}"/>
    <cellStyle name="Normal 7 4 7 2 3" xfId="10989" xr:uid="{00000000-0005-0000-0000-0000B4250000}"/>
    <cellStyle name="Normal 7 4 7 2 4" xfId="7639" xr:uid="{00000000-0005-0000-0000-0000B5250000}"/>
    <cellStyle name="Normal 7 4 7 3" xfId="4997" xr:uid="{00000000-0005-0000-0000-0000B6250000}"/>
    <cellStyle name="Normal 7 4 7 3 2" xfId="8347" xr:uid="{00000000-0005-0000-0000-0000B7250000}"/>
    <cellStyle name="Normal 7 4 7 4" xfId="10022" xr:uid="{00000000-0005-0000-0000-0000B8250000}"/>
    <cellStyle name="Normal 7 4 7 5" xfId="6672" xr:uid="{00000000-0005-0000-0000-0000B9250000}"/>
    <cellStyle name="Normal 7 4 8" xfId="3558" xr:uid="{00000000-0005-0000-0000-0000BA250000}"/>
    <cellStyle name="Normal 7 4 8 2" xfId="4525" xr:uid="{00000000-0005-0000-0000-0000BB250000}"/>
    <cellStyle name="Normal 7 4 8 2 2" xfId="6200" xr:uid="{00000000-0005-0000-0000-0000BC250000}"/>
    <cellStyle name="Normal 7 4 8 2 2 2" xfId="9550" xr:uid="{00000000-0005-0000-0000-0000BD250000}"/>
    <cellStyle name="Normal 7 4 8 2 3" xfId="11225" xr:uid="{00000000-0005-0000-0000-0000BE250000}"/>
    <cellStyle name="Normal 7 4 8 2 4" xfId="7875" xr:uid="{00000000-0005-0000-0000-0000BF250000}"/>
    <cellStyle name="Normal 7 4 8 3" xfId="5233" xr:uid="{00000000-0005-0000-0000-0000C0250000}"/>
    <cellStyle name="Normal 7 4 8 3 2" xfId="8583" xr:uid="{00000000-0005-0000-0000-0000C1250000}"/>
    <cellStyle name="Normal 7 4 8 4" xfId="10258" xr:uid="{00000000-0005-0000-0000-0000C2250000}"/>
    <cellStyle name="Normal 7 4 8 5" xfId="6908" xr:uid="{00000000-0005-0000-0000-0000C3250000}"/>
    <cellStyle name="Normal 7 4 9" xfId="3794" xr:uid="{00000000-0005-0000-0000-0000C4250000}"/>
    <cellStyle name="Normal 7 4 9 2" xfId="4053" xr:uid="{00000000-0005-0000-0000-0000C5250000}"/>
    <cellStyle name="Normal 7 4 9 2 2" xfId="5728" xr:uid="{00000000-0005-0000-0000-0000C6250000}"/>
    <cellStyle name="Normal 7 4 9 2 2 2" xfId="9078" xr:uid="{00000000-0005-0000-0000-0000C7250000}"/>
    <cellStyle name="Normal 7 4 9 2 3" xfId="10753" xr:uid="{00000000-0005-0000-0000-0000C8250000}"/>
    <cellStyle name="Normal 7 4 9 2 4" xfId="7403" xr:uid="{00000000-0005-0000-0000-0000C9250000}"/>
    <cellStyle name="Normal 7 4 9 3" xfId="5469" xr:uid="{00000000-0005-0000-0000-0000CA250000}"/>
    <cellStyle name="Normal 7 4 9 3 2" xfId="8819" xr:uid="{00000000-0005-0000-0000-0000CB250000}"/>
    <cellStyle name="Normal 7 4 9 4" xfId="10494" xr:uid="{00000000-0005-0000-0000-0000CC250000}"/>
    <cellStyle name="Normal 7 4 9 5" xfId="7144" xr:uid="{00000000-0005-0000-0000-0000CD250000}"/>
    <cellStyle name="Normal 8" xfId="43" xr:uid="{9A0C5470-2FF5-497C-BCAA-F76C0ADF918C}"/>
    <cellStyle name="Normal 8 2" xfId="296" xr:uid="{00000000-0005-0000-0000-000027090000}"/>
    <cellStyle name="Normal 8 2 2" xfId="2166" xr:uid="{00000000-0005-0000-0000-000028090000}"/>
    <cellStyle name="Normal 8 2 3" xfId="2165" xr:uid="{00000000-0005-0000-0000-000029090000}"/>
    <cellStyle name="Normal 8 2 3 2" xfId="2815" xr:uid="{00000000-0005-0000-0000-000029090000}"/>
    <cellStyle name="Normal 8 2 4" xfId="2668" xr:uid="{00000000-0005-0000-0000-00002A090000}"/>
    <cellStyle name="Normal 8 3" xfId="373" xr:uid="{00000000-0005-0000-0000-00002B090000}"/>
    <cellStyle name="Normal 8 3 2" xfId="2168" xr:uid="{00000000-0005-0000-0000-00002C090000}"/>
    <cellStyle name="Normal 8 3 2 2" xfId="2669" xr:uid="{00000000-0005-0000-0000-00002D090000}"/>
    <cellStyle name="Normal 8 3 2 2 2" xfId="2856" xr:uid="{00000000-0005-0000-0000-00002D090000}"/>
    <cellStyle name="Normal 8 3 2 3" xfId="2816" xr:uid="{00000000-0005-0000-0000-00002C090000}"/>
    <cellStyle name="Normal 8 3 3" xfId="2167" xr:uid="{00000000-0005-0000-0000-00002E090000}"/>
    <cellStyle name="Normal 8 3 4" xfId="2786" xr:uid="{00000000-0005-0000-0000-00001A010000}"/>
    <cellStyle name="Normal 8 3 5" xfId="12107" xr:uid="{00000000-0005-0000-0000-0000570B0000}"/>
    <cellStyle name="Normal 8 4" xfId="2164" xr:uid="{00000000-0005-0000-0000-00002F090000}"/>
    <cellStyle name="Normal 8 5" xfId="2670" xr:uid="{00000000-0005-0000-0000-000030090000}"/>
    <cellStyle name="Normal 8 6" xfId="2761" xr:uid="{00000000-0005-0000-0000-000018010000}"/>
    <cellStyle name="Normal 8 7" xfId="273" xr:uid="{00000000-0005-0000-0000-000026090000}"/>
    <cellStyle name="Normal 9" xfId="51" xr:uid="{F0AE5B50-8960-4EA6-8476-C4B2106BEB97}"/>
    <cellStyle name="Normal 9 2" xfId="2170" xr:uid="{00000000-0005-0000-0000-000032090000}"/>
    <cellStyle name="Normal 9 2 2" xfId="2171" xr:uid="{00000000-0005-0000-0000-000033090000}"/>
    <cellStyle name="Normal 9 3" xfId="2172" xr:uid="{00000000-0005-0000-0000-000034090000}"/>
    <cellStyle name="Normal 9 3 10" xfId="4031" xr:uid="{00000000-0005-0000-0000-0000D7250000}"/>
    <cellStyle name="Normal 9 3 10 2" xfId="5706" xr:uid="{00000000-0005-0000-0000-0000D8250000}"/>
    <cellStyle name="Normal 9 3 10 2 2" xfId="9056" xr:uid="{00000000-0005-0000-0000-0000D9250000}"/>
    <cellStyle name="Normal 9 3 10 3" xfId="10731" xr:uid="{00000000-0005-0000-0000-0000DA250000}"/>
    <cellStyle name="Normal 9 3 10 4" xfId="7381" xr:uid="{00000000-0005-0000-0000-0000DB250000}"/>
    <cellStyle name="Normal 9 3 11" xfId="4762" xr:uid="{00000000-0005-0000-0000-0000DC250000}"/>
    <cellStyle name="Normal 9 3 11 2" xfId="8112" xr:uid="{00000000-0005-0000-0000-0000DD250000}"/>
    <cellStyle name="Normal 9 3 12" xfId="9787" xr:uid="{00000000-0005-0000-0000-0000DE250000}"/>
    <cellStyle name="Normal 9 3 13" xfId="6437" xr:uid="{00000000-0005-0000-0000-0000DF250000}"/>
    <cellStyle name="Normal 9 3 14" xfId="12244" xr:uid="{00000000-0005-0000-0000-0000D6250000}"/>
    <cellStyle name="Normal 9 3 2" xfId="3112" xr:uid="{00000000-0005-0000-0000-0000E0250000}"/>
    <cellStyle name="Normal 9 3 2 2" xfId="3229" xr:uid="{00000000-0005-0000-0000-0000E1250000}"/>
    <cellStyle name="Normal 9 3 2 2 2" xfId="3465" xr:uid="{00000000-0005-0000-0000-0000E2250000}"/>
    <cellStyle name="Normal 9 3 2 2 2 2" xfId="4431" xr:uid="{00000000-0005-0000-0000-0000E3250000}"/>
    <cellStyle name="Normal 9 3 2 2 2 2 2" xfId="6106" xr:uid="{00000000-0005-0000-0000-0000E4250000}"/>
    <cellStyle name="Normal 9 3 2 2 2 2 2 2" xfId="9456" xr:uid="{00000000-0005-0000-0000-0000E5250000}"/>
    <cellStyle name="Normal 9 3 2 2 2 2 3" xfId="11131" xr:uid="{00000000-0005-0000-0000-0000E6250000}"/>
    <cellStyle name="Normal 9 3 2 2 2 2 4" xfId="7781" xr:uid="{00000000-0005-0000-0000-0000E7250000}"/>
    <cellStyle name="Normal 9 3 2 2 2 3" xfId="5139" xr:uid="{00000000-0005-0000-0000-0000E8250000}"/>
    <cellStyle name="Normal 9 3 2 2 2 3 2" xfId="8489" xr:uid="{00000000-0005-0000-0000-0000E9250000}"/>
    <cellStyle name="Normal 9 3 2 2 2 4" xfId="10164" xr:uid="{00000000-0005-0000-0000-0000EA250000}"/>
    <cellStyle name="Normal 9 3 2 2 2 5" xfId="6814" xr:uid="{00000000-0005-0000-0000-0000EB250000}"/>
    <cellStyle name="Normal 9 3 2 2 3" xfId="3700" xr:uid="{00000000-0005-0000-0000-0000EC250000}"/>
    <cellStyle name="Normal 9 3 2 2 3 2" xfId="4667" xr:uid="{00000000-0005-0000-0000-0000ED250000}"/>
    <cellStyle name="Normal 9 3 2 2 3 2 2" xfId="6342" xr:uid="{00000000-0005-0000-0000-0000EE250000}"/>
    <cellStyle name="Normal 9 3 2 2 3 2 2 2" xfId="9692" xr:uid="{00000000-0005-0000-0000-0000EF250000}"/>
    <cellStyle name="Normal 9 3 2 2 3 2 3" xfId="11367" xr:uid="{00000000-0005-0000-0000-0000F0250000}"/>
    <cellStyle name="Normal 9 3 2 2 3 2 4" xfId="8017" xr:uid="{00000000-0005-0000-0000-0000F1250000}"/>
    <cellStyle name="Normal 9 3 2 2 3 3" xfId="5375" xr:uid="{00000000-0005-0000-0000-0000F2250000}"/>
    <cellStyle name="Normal 9 3 2 2 3 3 2" xfId="8725" xr:uid="{00000000-0005-0000-0000-0000F3250000}"/>
    <cellStyle name="Normal 9 3 2 2 3 4" xfId="10400" xr:uid="{00000000-0005-0000-0000-0000F4250000}"/>
    <cellStyle name="Normal 9 3 2 2 3 5" xfId="7050" xr:uid="{00000000-0005-0000-0000-0000F5250000}"/>
    <cellStyle name="Normal 9 3 2 2 4" xfId="3936" xr:uid="{00000000-0005-0000-0000-0000F6250000}"/>
    <cellStyle name="Normal 9 3 2 2 4 2" xfId="5611" xr:uid="{00000000-0005-0000-0000-0000F7250000}"/>
    <cellStyle name="Normal 9 3 2 2 4 2 2" xfId="8961" xr:uid="{00000000-0005-0000-0000-0000F8250000}"/>
    <cellStyle name="Normal 9 3 2 2 4 3" xfId="10636" xr:uid="{00000000-0005-0000-0000-0000F9250000}"/>
    <cellStyle name="Normal 9 3 2 2 4 4" xfId="7286" xr:uid="{00000000-0005-0000-0000-0000FA250000}"/>
    <cellStyle name="Normal 9 3 2 2 5" xfId="4195" xr:uid="{00000000-0005-0000-0000-0000FB250000}"/>
    <cellStyle name="Normal 9 3 2 2 5 2" xfId="5870" xr:uid="{00000000-0005-0000-0000-0000FC250000}"/>
    <cellStyle name="Normal 9 3 2 2 5 2 2" xfId="9220" xr:uid="{00000000-0005-0000-0000-0000FD250000}"/>
    <cellStyle name="Normal 9 3 2 2 5 3" xfId="10895" xr:uid="{00000000-0005-0000-0000-0000FE250000}"/>
    <cellStyle name="Normal 9 3 2 2 5 4" xfId="7545" xr:uid="{00000000-0005-0000-0000-0000FF250000}"/>
    <cellStyle name="Normal 9 3 2 2 6" xfId="4903" xr:uid="{00000000-0005-0000-0000-000000260000}"/>
    <cellStyle name="Normal 9 3 2 2 6 2" xfId="8253" xr:uid="{00000000-0005-0000-0000-000001260000}"/>
    <cellStyle name="Normal 9 3 2 2 7" xfId="9928" xr:uid="{00000000-0005-0000-0000-000002260000}"/>
    <cellStyle name="Normal 9 3 2 2 8" xfId="6578" xr:uid="{00000000-0005-0000-0000-000003260000}"/>
    <cellStyle name="Normal 9 3 2 3" xfId="3347" xr:uid="{00000000-0005-0000-0000-000004260000}"/>
    <cellStyle name="Normal 9 3 2 3 2" xfId="4313" xr:uid="{00000000-0005-0000-0000-000005260000}"/>
    <cellStyle name="Normal 9 3 2 3 2 2" xfId="5988" xr:uid="{00000000-0005-0000-0000-000006260000}"/>
    <cellStyle name="Normal 9 3 2 3 2 2 2" xfId="9338" xr:uid="{00000000-0005-0000-0000-000007260000}"/>
    <cellStyle name="Normal 9 3 2 3 2 3" xfId="11013" xr:uid="{00000000-0005-0000-0000-000008260000}"/>
    <cellStyle name="Normal 9 3 2 3 2 4" xfId="7663" xr:uid="{00000000-0005-0000-0000-000009260000}"/>
    <cellStyle name="Normal 9 3 2 3 3" xfId="5021" xr:uid="{00000000-0005-0000-0000-00000A260000}"/>
    <cellStyle name="Normal 9 3 2 3 3 2" xfId="8371" xr:uid="{00000000-0005-0000-0000-00000B260000}"/>
    <cellStyle name="Normal 9 3 2 3 4" xfId="10046" xr:uid="{00000000-0005-0000-0000-00000C260000}"/>
    <cellStyle name="Normal 9 3 2 3 5" xfId="6696" xr:uid="{00000000-0005-0000-0000-00000D260000}"/>
    <cellStyle name="Normal 9 3 2 4" xfId="3582" xr:uid="{00000000-0005-0000-0000-00000E260000}"/>
    <cellStyle name="Normal 9 3 2 4 2" xfId="4549" xr:uid="{00000000-0005-0000-0000-00000F260000}"/>
    <cellStyle name="Normal 9 3 2 4 2 2" xfId="6224" xr:uid="{00000000-0005-0000-0000-000010260000}"/>
    <cellStyle name="Normal 9 3 2 4 2 2 2" xfId="9574" xr:uid="{00000000-0005-0000-0000-000011260000}"/>
    <cellStyle name="Normal 9 3 2 4 2 3" xfId="11249" xr:uid="{00000000-0005-0000-0000-000012260000}"/>
    <cellStyle name="Normal 9 3 2 4 2 4" xfId="7899" xr:uid="{00000000-0005-0000-0000-000013260000}"/>
    <cellStyle name="Normal 9 3 2 4 3" xfId="5257" xr:uid="{00000000-0005-0000-0000-000014260000}"/>
    <cellStyle name="Normal 9 3 2 4 3 2" xfId="8607" xr:uid="{00000000-0005-0000-0000-000015260000}"/>
    <cellStyle name="Normal 9 3 2 4 4" xfId="10282" xr:uid="{00000000-0005-0000-0000-000016260000}"/>
    <cellStyle name="Normal 9 3 2 4 5" xfId="6932" xr:uid="{00000000-0005-0000-0000-000017260000}"/>
    <cellStyle name="Normal 9 3 2 5" xfId="3818" xr:uid="{00000000-0005-0000-0000-000018260000}"/>
    <cellStyle name="Normal 9 3 2 5 2" xfId="5493" xr:uid="{00000000-0005-0000-0000-000019260000}"/>
    <cellStyle name="Normal 9 3 2 5 2 2" xfId="8843" xr:uid="{00000000-0005-0000-0000-00001A260000}"/>
    <cellStyle name="Normal 9 3 2 5 3" xfId="10518" xr:uid="{00000000-0005-0000-0000-00001B260000}"/>
    <cellStyle name="Normal 9 3 2 5 4" xfId="7168" xr:uid="{00000000-0005-0000-0000-00001C260000}"/>
    <cellStyle name="Normal 9 3 2 6" xfId="4077" xr:uid="{00000000-0005-0000-0000-00001D260000}"/>
    <cellStyle name="Normal 9 3 2 6 2" xfId="5752" xr:uid="{00000000-0005-0000-0000-00001E260000}"/>
    <cellStyle name="Normal 9 3 2 6 2 2" xfId="9102" xr:uid="{00000000-0005-0000-0000-00001F260000}"/>
    <cellStyle name="Normal 9 3 2 6 3" xfId="10777" xr:uid="{00000000-0005-0000-0000-000020260000}"/>
    <cellStyle name="Normal 9 3 2 6 4" xfId="7427" xr:uid="{00000000-0005-0000-0000-000021260000}"/>
    <cellStyle name="Normal 9 3 2 7" xfId="4785" xr:uid="{00000000-0005-0000-0000-000022260000}"/>
    <cellStyle name="Normal 9 3 2 7 2" xfId="8135" xr:uid="{00000000-0005-0000-0000-000023260000}"/>
    <cellStyle name="Normal 9 3 2 8" xfId="9810" xr:uid="{00000000-0005-0000-0000-000024260000}"/>
    <cellStyle name="Normal 9 3 2 9" xfId="6460" xr:uid="{00000000-0005-0000-0000-000025260000}"/>
    <cellStyle name="Normal 9 3 3" xfId="3135" xr:uid="{00000000-0005-0000-0000-000026260000}"/>
    <cellStyle name="Normal 9 3 3 2" xfId="3252" xr:uid="{00000000-0005-0000-0000-000027260000}"/>
    <cellStyle name="Normal 9 3 3 2 2" xfId="3488" xr:uid="{00000000-0005-0000-0000-000028260000}"/>
    <cellStyle name="Normal 9 3 3 2 2 2" xfId="4454" xr:uid="{00000000-0005-0000-0000-000029260000}"/>
    <cellStyle name="Normal 9 3 3 2 2 2 2" xfId="6129" xr:uid="{00000000-0005-0000-0000-00002A260000}"/>
    <cellStyle name="Normal 9 3 3 2 2 2 2 2" xfId="9479" xr:uid="{00000000-0005-0000-0000-00002B260000}"/>
    <cellStyle name="Normal 9 3 3 2 2 2 3" xfId="11154" xr:uid="{00000000-0005-0000-0000-00002C260000}"/>
    <cellStyle name="Normal 9 3 3 2 2 2 4" xfId="7804" xr:uid="{00000000-0005-0000-0000-00002D260000}"/>
    <cellStyle name="Normal 9 3 3 2 2 3" xfId="5162" xr:uid="{00000000-0005-0000-0000-00002E260000}"/>
    <cellStyle name="Normal 9 3 3 2 2 3 2" xfId="8512" xr:uid="{00000000-0005-0000-0000-00002F260000}"/>
    <cellStyle name="Normal 9 3 3 2 2 4" xfId="10187" xr:uid="{00000000-0005-0000-0000-000030260000}"/>
    <cellStyle name="Normal 9 3 3 2 2 5" xfId="6837" xr:uid="{00000000-0005-0000-0000-000031260000}"/>
    <cellStyle name="Normal 9 3 3 2 3" xfId="3723" xr:uid="{00000000-0005-0000-0000-000032260000}"/>
    <cellStyle name="Normal 9 3 3 2 3 2" xfId="4690" xr:uid="{00000000-0005-0000-0000-000033260000}"/>
    <cellStyle name="Normal 9 3 3 2 3 2 2" xfId="6365" xr:uid="{00000000-0005-0000-0000-000034260000}"/>
    <cellStyle name="Normal 9 3 3 2 3 2 2 2" xfId="9715" xr:uid="{00000000-0005-0000-0000-000035260000}"/>
    <cellStyle name="Normal 9 3 3 2 3 2 3" xfId="11390" xr:uid="{00000000-0005-0000-0000-000036260000}"/>
    <cellStyle name="Normal 9 3 3 2 3 2 4" xfId="8040" xr:uid="{00000000-0005-0000-0000-000037260000}"/>
    <cellStyle name="Normal 9 3 3 2 3 3" xfId="5398" xr:uid="{00000000-0005-0000-0000-000038260000}"/>
    <cellStyle name="Normal 9 3 3 2 3 3 2" xfId="8748" xr:uid="{00000000-0005-0000-0000-000039260000}"/>
    <cellStyle name="Normal 9 3 3 2 3 4" xfId="10423" xr:uid="{00000000-0005-0000-0000-00003A260000}"/>
    <cellStyle name="Normal 9 3 3 2 3 5" xfId="7073" xr:uid="{00000000-0005-0000-0000-00003B260000}"/>
    <cellStyle name="Normal 9 3 3 2 4" xfId="3959" xr:uid="{00000000-0005-0000-0000-00003C260000}"/>
    <cellStyle name="Normal 9 3 3 2 4 2" xfId="5634" xr:uid="{00000000-0005-0000-0000-00003D260000}"/>
    <cellStyle name="Normal 9 3 3 2 4 2 2" xfId="8984" xr:uid="{00000000-0005-0000-0000-00003E260000}"/>
    <cellStyle name="Normal 9 3 3 2 4 3" xfId="10659" xr:uid="{00000000-0005-0000-0000-00003F260000}"/>
    <cellStyle name="Normal 9 3 3 2 4 4" xfId="7309" xr:uid="{00000000-0005-0000-0000-000040260000}"/>
    <cellStyle name="Normal 9 3 3 2 5" xfId="4218" xr:uid="{00000000-0005-0000-0000-000041260000}"/>
    <cellStyle name="Normal 9 3 3 2 5 2" xfId="5893" xr:uid="{00000000-0005-0000-0000-000042260000}"/>
    <cellStyle name="Normal 9 3 3 2 5 2 2" xfId="9243" xr:uid="{00000000-0005-0000-0000-000043260000}"/>
    <cellStyle name="Normal 9 3 3 2 5 3" xfId="10918" xr:uid="{00000000-0005-0000-0000-000044260000}"/>
    <cellStyle name="Normal 9 3 3 2 5 4" xfId="7568" xr:uid="{00000000-0005-0000-0000-000045260000}"/>
    <cellStyle name="Normal 9 3 3 2 6" xfId="4926" xr:uid="{00000000-0005-0000-0000-000046260000}"/>
    <cellStyle name="Normal 9 3 3 2 6 2" xfId="8276" xr:uid="{00000000-0005-0000-0000-000047260000}"/>
    <cellStyle name="Normal 9 3 3 2 7" xfId="9951" xr:uid="{00000000-0005-0000-0000-000048260000}"/>
    <cellStyle name="Normal 9 3 3 2 8" xfId="6601" xr:uid="{00000000-0005-0000-0000-000049260000}"/>
    <cellStyle name="Normal 9 3 3 3" xfId="3370" xr:uid="{00000000-0005-0000-0000-00004A260000}"/>
    <cellStyle name="Normal 9 3 3 3 2" xfId="4336" xr:uid="{00000000-0005-0000-0000-00004B260000}"/>
    <cellStyle name="Normal 9 3 3 3 2 2" xfId="6011" xr:uid="{00000000-0005-0000-0000-00004C260000}"/>
    <cellStyle name="Normal 9 3 3 3 2 2 2" xfId="9361" xr:uid="{00000000-0005-0000-0000-00004D260000}"/>
    <cellStyle name="Normal 9 3 3 3 2 3" xfId="11036" xr:uid="{00000000-0005-0000-0000-00004E260000}"/>
    <cellStyle name="Normal 9 3 3 3 2 4" xfId="7686" xr:uid="{00000000-0005-0000-0000-00004F260000}"/>
    <cellStyle name="Normal 9 3 3 3 3" xfId="5044" xr:uid="{00000000-0005-0000-0000-000050260000}"/>
    <cellStyle name="Normal 9 3 3 3 3 2" xfId="8394" xr:uid="{00000000-0005-0000-0000-000051260000}"/>
    <cellStyle name="Normal 9 3 3 3 4" xfId="10069" xr:uid="{00000000-0005-0000-0000-000052260000}"/>
    <cellStyle name="Normal 9 3 3 3 5" xfId="6719" xr:uid="{00000000-0005-0000-0000-000053260000}"/>
    <cellStyle name="Normal 9 3 3 4" xfId="3605" xr:uid="{00000000-0005-0000-0000-000054260000}"/>
    <cellStyle name="Normal 9 3 3 4 2" xfId="4572" xr:uid="{00000000-0005-0000-0000-000055260000}"/>
    <cellStyle name="Normal 9 3 3 4 2 2" xfId="6247" xr:uid="{00000000-0005-0000-0000-000056260000}"/>
    <cellStyle name="Normal 9 3 3 4 2 2 2" xfId="9597" xr:uid="{00000000-0005-0000-0000-000057260000}"/>
    <cellStyle name="Normal 9 3 3 4 2 3" xfId="11272" xr:uid="{00000000-0005-0000-0000-000058260000}"/>
    <cellStyle name="Normal 9 3 3 4 2 4" xfId="7922" xr:uid="{00000000-0005-0000-0000-000059260000}"/>
    <cellStyle name="Normal 9 3 3 4 3" xfId="5280" xr:uid="{00000000-0005-0000-0000-00005A260000}"/>
    <cellStyle name="Normal 9 3 3 4 3 2" xfId="8630" xr:uid="{00000000-0005-0000-0000-00005B260000}"/>
    <cellStyle name="Normal 9 3 3 4 4" xfId="10305" xr:uid="{00000000-0005-0000-0000-00005C260000}"/>
    <cellStyle name="Normal 9 3 3 4 5" xfId="6955" xr:uid="{00000000-0005-0000-0000-00005D260000}"/>
    <cellStyle name="Normal 9 3 3 5" xfId="3841" xr:uid="{00000000-0005-0000-0000-00005E260000}"/>
    <cellStyle name="Normal 9 3 3 5 2" xfId="5516" xr:uid="{00000000-0005-0000-0000-00005F260000}"/>
    <cellStyle name="Normal 9 3 3 5 2 2" xfId="8866" xr:uid="{00000000-0005-0000-0000-000060260000}"/>
    <cellStyle name="Normal 9 3 3 5 3" xfId="10541" xr:uid="{00000000-0005-0000-0000-000061260000}"/>
    <cellStyle name="Normal 9 3 3 5 4" xfId="7191" xr:uid="{00000000-0005-0000-0000-000062260000}"/>
    <cellStyle name="Normal 9 3 3 6" xfId="4100" xr:uid="{00000000-0005-0000-0000-000063260000}"/>
    <cellStyle name="Normal 9 3 3 6 2" xfId="5775" xr:uid="{00000000-0005-0000-0000-000064260000}"/>
    <cellStyle name="Normal 9 3 3 6 2 2" xfId="9125" xr:uid="{00000000-0005-0000-0000-000065260000}"/>
    <cellStyle name="Normal 9 3 3 6 3" xfId="10800" xr:uid="{00000000-0005-0000-0000-000066260000}"/>
    <cellStyle name="Normal 9 3 3 6 4" xfId="7450" xr:uid="{00000000-0005-0000-0000-000067260000}"/>
    <cellStyle name="Normal 9 3 3 7" xfId="4808" xr:uid="{00000000-0005-0000-0000-000068260000}"/>
    <cellStyle name="Normal 9 3 3 7 2" xfId="8158" xr:uid="{00000000-0005-0000-0000-000069260000}"/>
    <cellStyle name="Normal 9 3 3 8" xfId="9833" xr:uid="{00000000-0005-0000-0000-00006A260000}"/>
    <cellStyle name="Normal 9 3 3 9" xfId="6483" xr:uid="{00000000-0005-0000-0000-00006B260000}"/>
    <cellStyle name="Normal 9 3 4" xfId="3158" xr:uid="{00000000-0005-0000-0000-00006C260000}"/>
    <cellStyle name="Normal 9 3 4 2" xfId="3276" xr:uid="{00000000-0005-0000-0000-00006D260000}"/>
    <cellStyle name="Normal 9 3 4 2 2" xfId="3512" xr:uid="{00000000-0005-0000-0000-00006E260000}"/>
    <cellStyle name="Normal 9 3 4 2 2 2" xfId="4478" xr:uid="{00000000-0005-0000-0000-00006F260000}"/>
    <cellStyle name="Normal 9 3 4 2 2 2 2" xfId="6153" xr:uid="{00000000-0005-0000-0000-000070260000}"/>
    <cellStyle name="Normal 9 3 4 2 2 2 2 2" xfId="9503" xr:uid="{00000000-0005-0000-0000-000071260000}"/>
    <cellStyle name="Normal 9 3 4 2 2 2 3" xfId="11178" xr:uid="{00000000-0005-0000-0000-000072260000}"/>
    <cellStyle name="Normal 9 3 4 2 2 2 4" xfId="7828" xr:uid="{00000000-0005-0000-0000-000073260000}"/>
    <cellStyle name="Normal 9 3 4 2 2 3" xfId="5186" xr:uid="{00000000-0005-0000-0000-000074260000}"/>
    <cellStyle name="Normal 9 3 4 2 2 3 2" xfId="8536" xr:uid="{00000000-0005-0000-0000-000075260000}"/>
    <cellStyle name="Normal 9 3 4 2 2 4" xfId="10211" xr:uid="{00000000-0005-0000-0000-000076260000}"/>
    <cellStyle name="Normal 9 3 4 2 2 5" xfId="6861" xr:uid="{00000000-0005-0000-0000-000077260000}"/>
    <cellStyle name="Normal 9 3 4 2 3" xfId="3747" xr:uid="{00000000-0005-0000-0000-000078260000}"/>
    <cellStyle name="Normal 9 3 4 2 3 2" xfId="4714" xr:uid="{00000000-0005-0000-0000-000079260000}"/>
    <cellStyle name="Normal 9 3 4 2 3 2 2" xfId="6389" xr:uid="{00000000-0005-0000-0000-00007A260000}"/>
    <cellStyle name="Normal 9 3 4 2 3 2 2 2" xfId="9739" xr:uid="{00000000-0005-0000-0000-00007B260000}"/>
    <cellStyle name="Normal 9 3 4 2 3 2 3" xfId="11414" xr:uid="{00000000-0005-0000-0000-00007C260000}"/>
    <cellStyle name="Normal 9 3 4 2 3 2 4" xfId="8064" xr:uid="{00000000-0005-0000-0000-00007D260000}"/>
    <cellStyle name="Normal 9 3 4 2 3 3" xfId="5422" xr:uid="{00000000-0005-0000-0000-00007E260000}"/>
    <cellStyle name="Normal 9 3 4 2 3 3 2" xfId="8772" xr:uid="{00000000-0005-0000-0000-00007F260000}"/>
    <cellStyle name="Normal 9 3 4 2 3 4" xfId="10447" xr:uid="{00000000-0005-0000-0000-000080260000}"/>
    <cellStyle name="Normal 9 3 4 2 3 5" xfId="7097" xr:uid="{00000000-0005-0000-0000-000081260000}"/>
    <cellStyle name="Normal 9 3 4 2 4" xfId="3983" xr:uid="{00000000-0005-0000-0000-000082260000}"/>
    <cellStyle name="Normal 9 3 4 2 4 2" xfId="5658" xr:uid="{00000000-0005-0000-0000-000083260000}"/>
    <cellStyle name="Normal 9 3 4 2 4 2 2" xfId="9008" xr:uid="{00000000-0005-0000-0000-000084260000}"/>
    <cellStyle name="Normal 9 3 4 2 4 3" xfId="10683" xr:uid="{00000000-0005-0000-0000-000085260000}"/>
    <cellStyle name="Normal 9 3 4 2 4 4" xfId="7333" xr:uid="{00000000-0005-0000-0000-000086260000}"/>
    <cellStyle name="Normal 9 3 4 2 5" xfId="4242" xr:uid="{00000000-0005-0000-0000-000087260000}"/>
    <cellStyle name="Normal 9 3 4 2 5 2" xfId="5917" xr:uid="{00000000-0005-0000-0000-000088260000}"/>
    <cellStyle name="Normal 9 3 4 2 5 2 2" xfId="9267" xr:uid="{00000000-0005-0000-0000-000089260000}"/>
    <cellStyle name="Normal 9 3 4 2 5 3" xfId="10942" xr:uid="{00000000-0005-0000-0000-00008A260000}"/>
    <cellStyle name="Normal 9 3 4 2 5 4" xfId="7592" xr:uid="{00000000-0005-0000-0000-00008B260000}"/>
    <cellStyle name="Normal 9 3 4 2 6" xfId="4950" xr:uid="{00000000-0005-0000-0000-00008C260000}"/>
    <cellStyle name="Normal 9 3 4 2 6 2" xfId="8300" xr:uid="{00000000-0005-0000-0000-00008D260000}"/>
    <cellStyle name="Normal 9 3 4 2 7" xfId="9975" xr:uid="{00000000-0005-0000-0000-00008E260000}"/>
    <cellStyle name="Normal 9 3 4 2 8" xfId="6625" xr:uid="{00000000-0005-0000-0000-00008F260000}"/>
    <cellStyle name="Normal 9 3 4 3" xfId="3394" xr:uid="{00000000-0005-0000-0000-000090260000}"/>
    <cellStyle name="Normal 9 3 4 3 2" xfId="4360" xr:uid="{00000000-0005-0000-0000-000091260000}"/>
    <cellStyle name="Normal 9 3 4 3 2 2" xfId="6035" xr:uid="{00000000-0005-0000-0000-000092260000}"/>
    <cellStyle name="Normal 9 3 4 3 2 2 2" xfId="9385" xr:uid="{00000000-0005-0000-0000-000093260000}"/>
    <cellStyle name="Normal 9 3 4 3 2 3" xfId="11060" xr:uid="{00000000-0005-0000-0000-000094260000}"/>
    <cellStyle name="Normal 9 3 4 3 2 4" xfId="7710" xr:uid="{00000000-0005-0000-0000-000095260000}"/>
    <cellStyle name="Normal 9 3 4 3 3" xfId="5068" xr:uid="{00000000-0005-0000-0000-000096260000}"/>
    <cellStyle name="Normal 9 3 4 3 3 2" xfId="8418" xr:uid="{00000000-0005-0000-0000-000097260000}"/>
    <cellStyle name="Normal 9 3 4 3 4" xfId="10093" xr:uid="{00000000-0005-0000-0000-000098260000}"/>
    <cellStyle name="Normal 9 3 4 3 5" xfId="6743" xr:uid="{00000000-0005-0000-0000-000099260000}"/>
    <cellStyle name="Normal 9 3 4 4" xfId="3629" xr:uid="{00000000-0005-0000-0000-00009A260000}"/>
    <cellStyle name="Normal 9 3 4 4 2" xfId="4596" xr:uid="{00000000-0005-0000-0000-00009B260000}"/>
    <cellStyle name="Normal 9 3 4 4 2 2" xfId="6271" xr:uid="{00000000-0005-0000-0000-00009C260000}"/>
    <cellStyle name="Normal 9 3 4 4 2 2 2" xfId="9621" xr:uid="{00000000-0005-0000-0000-00009D260000}"/>
    <cellStyle name="Normal 9 3 4 4 2 3" xfId="11296" xr:uid="{00000000-0005-0000-0000-00009E260000}"/>
    <cellStyle name="Normal 9 3 4 4 2 4" xfId="7946" xr:uid="{00000000-0005-0000-0000-00009F260000}"/>
    <cellStyle name="Normal 9 3 4 4 3" xfId="5304" xr:uid="{00000000-0005-0000-0000-0000A0260000}"/>
    <cellStyle name="Normal 9 3 4 4 3 2" xfId="8654" xr:uid="{00000000-0005-0000-0000-0000A1260000}"/>
    <cellStyle name="Normal 9 3 4 4 4" xfId="10329" xr:uid="{00000000-0005-0000-0000-0000A2260000}"/>
    <cellStyle name="Normal 9 3 4 4 5" xfId="6979" xr:uid="{00000000-0005-0000-0000-0000A3260000}"/>
    <cellStyle name="Normal 9 3 4 5" xfId="3865" xr:uid="{00000000-0005-0000-0000-0000A4260000}"/>
    <cellStyle name="Normal 9 3 4 5 2" xfId="5540" xr:uid="{00000000-0005-0000-0000-0000A5260000}"/>
    <cellStyle name="Normal 9 3 4 5 2 2" xfId="8890" xr:uid="{00000000-0005-0000-0000-0000A6260000}"/>
    <cellStyle name="Normal 9 3 4 5 3" xfId="10565" xr:uid="{00000000-0005-0000-0000-0000A7260000}"/>
    <cellStyle name="Normal 9 3 4 5 4" xfId="7215" xr:uid="{00000000-0005-0000-0000-0000A8260000}"/>
    <cellStyle name="Normal 9 3 4 6" xfId="4124" xr:uid="{00000000-0005-0000-0000-0000A9260000}"/>
    <cellStyle name="Normal 9 3 4 6 2" xfId="5799" xr:uid="{00000000-0005-0000-0000-0000AA260000}"/>
    <cellStyle name="Normal 9 3 4 6 2 2" xfId="9149" xr:uid="{00000000-0005-0000-0000-0000AB260000}"/>
    <cellStyle name="Normal 9 3 4 6 3" xfId="10824" xr:uid="{00000000-0005-0000-0000-0000AC260000}"/>
    <cellStyle name="Normal 9 3 4 6 4" xfId="7474" xr:uid="{00000000-0005-0000-0000-0000AD260000}"/>
    <cellStyle name="Normal 9 3 4 7" xfId="4832" xr:uid="{00000000-0005-0000-0000-0000AE260000}"/>
    <cellStyle name="Normal 9 3 4 7 2" xfId="8182" xr:uid="{00000000-0005-0000-0000-0000AF260000}"/>
    <cellStyle name="Normal 9 3 4 8" xfId="9857" xr:uid="{00000000-0005-0000-0000-0000B0260000}"/>
    <cellStyle name="Normal 9 3 4 9" xfId="6507" xr:uid="{00000000-0005-0000-0000-0000B1260000}"/>
    <cellStyle name="Normal 9 3 5" xfId="3182" xr:uid="{00000000-0005-0000-0000-0000B2260000}"/>
    <cellStyle name="Normal 9 3 5 2" xfId="3300" xr:uid="{00000000-0005-0000-0000-0000B3260000}"/>
    <cellStyle name="Normal 9 3 5 2 2" xfId="3536" xr:uid="{00000000-0005-0000-0000-0000B4260000}"/>
    <cellStyle name="Normal 9 3 5 2 2 2" xfId="4502" xr:uid="{00000000-0005-0000-0000-0000B5260000}"/>
    <cellStyle name="Normal 9 3 5 2 2 2 2" xfId="6177" xr:uid="{00000000-0005-0000-0000-0000B6260000}"/>
    <cellStyle name="Normal 9 3 5 2 2 2 2 2" xfId="9527" xr:uid="{00000000-0005-0000-0000-0000B7260000}"/>
    <cellStyle name="Normal 9 3 5 2 2 2 3" xfId="11202" xr:uid="{00000000-0005-0000-0000-0000B8260000}"/>
    <cellStyle name="Normal 9 3 5 2 2 2 4" xfId="7852" xr:uid="{00000000-0005-0000-0000-0000B9260000}"/>
    <cellStyle name="Normal 9 3 5 2 2 3" xfId="5210" xr:uid="{00000000-0005-0000-0000-0000BA260000}"/>
    <cellStyle name="Normal 9 3 5 2 2 3 2" xfId="8560" xr:uid="{00000000-0005-0000-0000-0000BB260000}"/>
    <cellStyle name="Normal 9 3 5 2 2 4" xfId="10235" xr:uid="{00000000-0005-0000-0000-0000BC260000}"/>
    <cellStyle name="Normal 9 3 5 2 2 5" xfId="6885" xr:uid="{00000000-0005-0000-0000-0000BD260000}"/>
    <cellStyle name="Normal 9 3 5 2 3" xfId="3771" xr:uid="{00000000-0005-0000-0000-0000BE260000}"/>
    <cellStyle name="Normal 9 3 5 2 3 2" xfId="4738" xr:uid="{00000000-0005-0000-0000-0000BF260000}"/>
    <cellStyle name="Normal 9 3 5 2 3 2 2" xfId="6413" xr:uid="{00000000-0005-0000-0000-0000C0260000}"/>
    <cellStyle name="Normal 9 3 5 2 3 2 2 2" xfId="9763" xr:uid="{00000000-0005-0000-0000-0000C1260000}"/>
    <cellStyle name="Normal 9 3 5 2 3 2 3" xfId="11438" xr:uid="{00000000-0005-0000-0000-0000C2260000}"/>
    <cellStyle name="Normal 9 3 5 2 3 2 4" xfId="8088" xr:uid="{00000000-0005-0000-0000-0000C3260000}"/>
    <cellStyle name="Normal 9 3 5 2 3 3" xfId="5446" xr:uid="{00000000-0005-0000-0000-0000C4260000}"/>
    <cellStyle name="Normal 9 3 5 2 3 3 2" xfId="8796" xr:uid="{00000000-0005-0000-0000-0000C5260000}"/>
    <cellStyle name="Normal 9 3 5 2 3 4" xfId="10471" xr:uid="{00000000-0005-0000-0000-0000C6260000}"/>
    <cellStyle name="Normal 9 3 5 2 3 5" xfId="7121" xr:uid="{00000000-0005-0000-0000-0000C7260000}"/>
    <cellStyle name="Normal 9 3 5 2 4" xfId="4007" xr:uid="{00000000-0005-0000-0000-0000C8260000}"/>
    <cellStyle name="Normal 9 3 5 2 4 2" xfId="5682" xr:uid="{00000000-0005-0000-0000-0000C9260000}"/>
    <cellStyle name="Normal 9 3 5 2 4 2 2" xfId="9032" xr:uid="{00000000-0005-0000-0000-0000CA260000}"/>
    <cellStyle name="Normal 9 3 5 2 4 3" xfId="10707" xr:uid="{00000000-0005-0000-0000-0000CB260000}"/>
    <cellStyle name="Normal 9 3 5 2 4 4" xfId="7357" xr:uid="{00000000-0005-0000-0000-0000CC260000}"/>
    <cellStyle name="Normal 9 3 5 2 5" xfId="4266" xr:uid="{00000000-0005-0000-0000-0000CD260000}"/>
    <cellStyle name="Normal 9 3 5 2 5 2" xfId="5941" xr:uid="{00000000-0005-0000-0000-0000CE260000}"/>
    <cellStyle name="Normal 9 3 5 2 5 2 2" xfId="9291" xr:uid="{00000000-0005-0000-0000-0000CF260000}"/>
    <cellStyle name="Normal 9 3 5 2 5 3" xfId="10966" xr:uid="{00000000-0005-0000-0000-0000D0260000}"/>
    <cellStyle name="Normal 9 3 5 2 5 4" xfId="7616" xr:uid="{00000000-0005-0000-0000-0000D1260000}"/>
    <cellStyle name="Normal 9 3 5 2 6" xfId="4974" xr:uid="{00000000-0005-0000-0000-0000D2260000}"/>
    <cellStyle name="Normal 9 3 5 2 6 2" xfId="8324" xr:uid="{00000000-0005-0000-0000-0000D3260000}"/>
    <cellStyle name="Normal 9 3 5 2 7" xfId="9999" xr:uid="{00000000-0005-0000-0000-0000D4260000}"/>
    <cellStyle name="Normal 9 3 5 2 8" xfId="6649" xr:uid="{00000000-0005-0000-0000-0000D5260000}"/>
    <cellStyle name="Normal 9 3 5 3" xfId="3418" xr:uid="{00000000-0005-0000-0000-0000D6260000}"/>
    <cellStyle name="Normal 9 3 5 3 2" xfId="4384" xr:uid="{00000000-0005-0000-0000-0000D7260000}"/>
    <cellStyle name="Normal 9 3 5 3 2 2" xfId="6059" xr:uid="{00000000-0005-0000-0000-0000D8260000}"/>
    <cellStyle name="Normal 9 3 5 3 2 2 2" xfId="9409" xr:uid="{00000000-0005-0000-0000-0000D9260000}"/>
    <cellStyle name="Normal 9 3 5 3 2 3" xfId="11084" xr:uid="{00000000-0005-0000-0000-0000DA260000}"/>
    <cellStyle name="Normal 9 3 5 3 2 4" xfId="7734" xr:uid="{00000000-0005-0000-0000-0000DB260000}"/>
    <cellStyle name="Normal 9 3 5 3 3" xfId="5092" xr:uid="{00000000-0005-0000-0000-0000DC260000}"/>
    <cellStyle name="Normal 9 3 5 3 3 2" xfId="8442" xr:uid="{00000000-0005-0000-0000-0000DD260000}"/>
    <cellStyle name="Normal 9 3 5 3 4" xfId="10117" xr:uid="{00000000-0005-0000-0000-0000DE260000}"/>
    <cellStyle name="Normal 9 3 5 3 5" xfId="6767" xr:uid="{00000000-0005-0000-0000-0000DF260000}"/>
    <cellStyle name="Normal 9 3 5 4" xfId="3653" xr:uid="{00000000-0005-0000-0000-0000E0260000}"/>
    <cellStyle name="Normal 9 3 5 4 2" xfId="4620" xr:uid="{00000000-0005-0000-0000-0000E1260000}"/>
    <cellStyle name="Normal 9 3 5 4 2 2" xfId="6295" xr:uid="{00000000-0005-0000-0000-0000E2260000}"/>
    <cellStyle name="Normal 9 3 5 4 2 2 2" xfId="9645" xr:uid="{00000000-0005-0000-0000-0000E3260000}"/>
    <cellStyle name="Normal 9 3 5 4 2 3" xfId="11320" xr:uid="{00000000-0005-0000-0000-0000E4260000}"/>
    <cellStyle name="Normal 9 3 5 4 2 4" xfId="7970" xr:uid="{00000000-0005-0000-0000-0000E5260000}"/>
    <cellStyle name="Normal 9 3 5 4 3" xfId="5328" xr:uid="{00000000-0005-0000-0000-0000E6260000}"/>
    <cellStyle name="Normal 9 3 5 4 3 2" xfId="8678" xr:uid="{00000000-0005-0000-0000-0000E7260000}"/>
    <cellStyle name="Normal 9 3 5 4 4" xfId="10353" xr:uid="{00000000-0005-0000-0000-0000E8260000}"/>
    <cellStyle name="Normal 9 3 5 4 5" xfId="7003" xr:uid="{00000000-0005-0000-0000-0000E9260000}"/>
    <cellStyle name="Normal 9 3 5 5" xfId="3889" xr:uid="{00000000-0005-0000-0000-0000EA260000}"/>
    <cellStyle name="Normal 9 3 5 5 2" xfId="5564" xr:uid="{00000000-0005-0000-0000-0000EB260000}"/>
    <cellStyle name="Normal 9 3 5 5 2 2" xfId="8914" xr:uid="{00000000-0005-0000-0000-0000EC260000}"/>
    <cellStyle name="Normal 9 3 5 5 3" xfId="10589" xr:uid="{00000000-0005-0000-0000-0000ED260000}"/>
    <cellStyle name="Normal 9 3 5 5 4" xfId="7239" xr:uid="{00000000-0005-0000-0000-0000EE260000}"/>
    <cellStyle name="Normal 9 3 5 6" xfId="4148" xr:uid="{00000000-0005-0000-0000-0000EF260000}"/>
    <cellStyle name="Normal 9 3 5 6 2" xfId="5823" xr:uid="{00000000-0005-0000-0000-0000F0260000}"/>
    <cellStyle name="Normal 9 3 5 6 2 2" xfId="9173" xr:uid="{00000000-0005-0000-0000-0000F1260000}"/>
    <cellStyle name="Normal 9 3 5 6 3" xfId="10848" xr:uid="{00000000-0005-0000-0000-0000F2260000}"/>
    <cellStyle name="Normal 9 3 5 6 4" xfId="7498" xr:uid="{00000000-0005-0000-0000-0000F3260000}"/>
    <cellStyle name="Normal 9 3 5 7" xfId="4856" xr:uid="{00000000-0005-0000-0000-0000F4260000}"/>
    <cellStyle name="Normal 9 3 5 7 2" xfId="8206" xr:uid="{00000000-0005-0000-0000-0000F5260000}"/>
    <cellStyle name="Normal 9 3 5 8" xfId="9881" xr:uid="{00000000-0005-0000-0000-0000F6260000}"/>
    <cellStyle name="Normal 9 3 5 9" xfId="6531" xr:uid="{00000000-0005-0000-0000-0000F7260000}"/>
    <cellStyle name="Normal 9 3 6" xfId="3206" xr:uid="{00000000-0005-0000-0000-0000F8260000}"/>
    <cellStyle name="Normal 9 3 6 2" xfId="3442" xr:uid="{00000000-0005-0000-0000-0000F9260000}"/>
    <cellStyle name="Normal 9 3 6 2 2" xfId="4408" xr:uid="{00000000-0005-0000-0000-0000FA260000}"/>
    <cellStyle name="Normal 9 3 6 2 2 2" xfId="6083" xr:uid="{00000000-0005-0000-0000-0000FB260000}"/>
    <cellStyle name="Normal 9 3 6 2 2 2 2" xfId="9433" xr:uid="{00000000-0005-0000-0000-0000FC260000}"/>
    <cellStyle name="Normal 9 3 6 2 2 3" xfId="11108" xr:uid="{00000000-0005-0000-0000-0000FD260000}"/>
    <cellStyle name="Normal 9 3 6 2 2 4" xfId="7758" xr:uid="{00000000-0005-0000-0000-0000FE260000}"/>
    <cellStyle name="Normal 9 3 6 2 3" xfId="5116" xr:uid="{00000000-0005-0000-0000-0000FF260000}"/>
    <cellStyle name="Normal 9 3 6 2 3 2" xfId="8466" xr:uid="{00000000-0005-0000-0000-000000270000}"/>
    <cellStyle name="Normal 9 3 6 2 4" xfId="10141" xr:uid="{00000000-0005-0000-0000-000001270000}"/>
    <cellStyle name="Normal 9 3 6 2 5" xfId="6791" xr:uid="{00000000-0005-0000-0000-000002270000}"/>
    <cellStyle name="Normal 9 3 6 3" xfId="3677" xr:uid="{00000000-0005-0000-0000-000003270000}"/>
    <cellStyle name="Normal 9 3 6 3 2" xfId="4644" xr:uid="{00000000-0005-0000-0000-000004270000}"/>
    <cellStyle name="Normal 9 3 6 3 2 2" xfId="6319" xr:uid="{00000000-0005-0000-0000-000005270000}"/>
    <cellStyle name="Normal 9 3 6 3 2 2 2" xfId="9669" xr:uid="{00000000-0005-0000-0000-000006270000}"/>
    <cellStyle name="Normal 9 3 6 3 2 3" xfId="11344" xr:uid="{00000000-0005-0000-0000-000007270000}"/>
    <cellStyle name="Normal 9 3 6 3 2 4" xfId="7994" xr:uid="{00000000-0005-0000-0000-000008270000}"/>
    <cellStyle name="Normal 9 3 6 3 3" xfId="5352" xr:uid="{00000000-0005-0000-0000-000009270000}"/>
    <cellStyle name="Normal 9 3 6 3 3 2" xfId="8702" xr:uid="{00000000-0005-0000-0000-00000A270000}"/>
    <cellStyle name="Normal 9 3 6 3 4" xfId="10377" xr:uid="{00000000-0005-0000-0000-00000B270000}"/>
    <cellStyle name="Normal 9 3 6 3 5" xfId="7027" xr:uid="{00000000-0005-0000-0000-00000C270000}"/>
    <cellStyle name="Normal 9 3 6 4" xfId="3913" xr:uid="{00000000-0005-0000-0000-00000D270000}"/>
    <cellStyle name="Normal 9 3 6 4 2" xfId="5588" xr:uid="{00000000-0005-0000-0000-00000E270000}"/>
    <cellStyle name="Normal 9 3 6 4 2 2" xfId="8938" xr:uid="{00000000-0005-0000-0000-00000F270000}"/>
    <cellStyle name="Normal 9 3 6 4 3" xfId="10613" xr:uid="{00000000-0005-0000-0000-000010270000}"/>
    <cellStyle name="Normal 9 3 6 4 4" xfId="7263" xr:uid="{00000000-0005-0000-0000-000011270000}"/>
    <cellStyle name="Normal 9 3 6 5" xfId="4172" xr:uid="{00000000-0005-0000-0000-000012270000}"/>
    <cellStyle name="Normal 9 3 6 5 2" xfId="5847" xr:uid="{00000000-0005-0000-0000-000013270000}"/>
    <cellStyle name="Normal 9 3 6 5 2 2" xfId="9197" xr:uid="{00000000-0005-0000-0000-000014270000}"/>
    <cellStyle name="Normal 9 3 6 5 3" xfId="10872" xr:uid="{00000000-0005-0000-0000-000015270000}"/>
    <cellStyle name="Normal 9 3 6 5 4" xfId="7522" xr:uid="{00000000-0005-0000-0000-000016270000}"/>
    <cellStyle name="Normal 9 3 6 6" xfId="4880" xr:uid="{00000000-0005-0000-0000-000017270000}"/>
    <cellStyle name="Normal 9 3 6 6 2" xfId="8230" xr:uid="{00000000-0005-0000-0000-000018270000}"/>
    <cellStyle name="Normal 9 3 6 7" xfId="9905" xr:uid="{00000000-0005-0000-0000-000019270000}"/>
    <cellStyle name="Normal 9 3 6 8" xfId="6555" xr:uid="{00000000-0005-0000-0000-00001A270000}"/>
    <cellStyle name="Normal 9 3 7" xfId="3324" xr:uid="{00000000-0005-0000-0000-00001B270000}"/>
    <cellStyle name="Normal 9 3 7 2" xfId="4290" xr:uid="{00000000-0005-0000-0000-00001C270000}"/>
    <cellStyle name="Normal 9 3 7 2 2" xfId="5965" xr:uid="{00000000-0005-0000-0000-00001D270000}"/>
    <cellStyle name="Normal 9 3 7 2 2 2" xfId="9315" xr:uid="{00000000-0005-0000-0000-00001E270000}"/>
    <cellStyle name="Normal 9 3 7 2 3" xfId="10990" xr:uid="{00000000-0005-0000-0000-00001F270000}"/>
    <cellStyle name="Normal 9 3 7 2 4" xfId="7640" xr:uid="{00000000-0005-0000-0000-000020270000}"/>
    <cellStyle name="Normal 9 3 7 3" xfId="4998" xr:uid="{00000000-0005-0000-0000-000021270000}"/>
    <cellStyle name="Normal 9 3 7 3 2" xfId="8348" xr:uid="{00000000-0005-0000-0000-000022270000}"/>
    <cellStyle name="Normal 9 3 7 4" xfId="10023" xr:uid="{00000000-0005-0000-0000-000023270000}"/>
    <cellStyle name="Normal 9 3 7 5" xfId="6673" xr:uid="{00000000-0005-0000-0000-000024270000}"/>
    <cellStyle name="Normal 9 3 8" xfId="3559" xr:uid="{00000000-0005-0000-0000-000025270000}"/>
    <cellStyle name="Normal 9 3 8 2" xfId="4526" xr:uid="{00000000-0005-0000-0000-000026270000}"/>
    <cellStyle name="Normal 9 3 8 2 2" xfId="6201" xr:uid="{00000000-0005-0000-0000-000027270000}"/>
    <cellStyle name="Normal 9 3 8 2 2 2" xfId="9551" xr:uid="{00000000-0005-0000-0000-000028270000}"/>
    <cellStyle name="Normal 9 3 8 2 3" xfId="11226" xr:uid="{00000000-0005-0000-0000-000029270000}"/>
    <cellStyle name="Normal 9 3 8 2 4" xfId="7876" xr:uid="{00000000-0005-0000-0000-00002A270000}"/>
    <cellStyle name="Normal 9 3 8 3" xfId="5234" xr:uid="{00000000-0005-0000-0000-00002B270000}"/>
    <cellStyle name="Normal 9 3 8 3 2" xfId="8584" xr:uid="{00000000-0005-0000-0000-00002C270000}"/>
    <cellStyle name="Normal 9 3 8 4" xfId="10259" xr:uid="{00000000-0005-0000-0000-00002D270000}"/>
    <cellStyle name="Normal 9 3 8 5" xfId="6909" xr:uid="{00000000-0005-0000-0000-00002E270000}"/>
    <cellStyle name="Normal 9 3 9" xfId="3795" xr:uid="{00000000-0005-0000-0000-00002F270000}"/>
    <cellStyle name="Normal 9 3 9 2" xfId="4054" xr:uid="{00000000-0005-0000-0000-000030270000}"/>
    <cellStyle name="Normal 9 3 9 2 2" xfId="5729" xr:uid="{00000000-0005-0000-0000-000031270000}"/>
    <cellStyle name="Normal 9 3 9 2 2 2" xfId="9079" xr:uid="{00000000-0005-0000-0000-000032270000}"/>
    <cellStyle name="Normal 9 3 9 2 3" xfId="10754" xr:uid="{00000000-0005-0000-0000-000033270000}"/>
    <cellStyle name="Normal 9 3 9 2 4" xfId="7404" xr:uid="{00000000-0005-0000-0000-000034270000}"/>
    <cellStyle name="Normal 9 3 9 3" xfId="5470" xr:uid="{00000000-0005-0000-0000-000035270000}"/>
    <cellStyle name="Normal 9 3 9 3 2" xfId="8820" xr:uid="{00000000-0005-0000-0000-000036270000}"/>
    <cellStyle name="Normal 9 3 9 4" xfId="10495" xr:uid="{00000000-0005-0000-0000-000037270000}"/>
    <cellStyle name="Normal 9 3 9 5" xfId="7145" xr:uid="{00000000-0005-0000-0000-000038270000}"/>
    <cellStyle name="Normal 9 4" xfId="2169" xr:uid="{00000000-0005-0000-0000-000035090000}"/>
    <cellStyle name="Normal 9 4 2" xfId="2671" xr:uid="{00000000-0005-0000-0000-000036090000}"/>
    <cellStyle name="Normal 9 5" xfId="297" xr:uid="{00000000-0005-0000-0000-000031090000}"/>
    <cellStyle name="Normal_Sheet1" xfId="18" xr:uid="{EA55BF5B-9BAB-4703-BDFD-4168E4B88AC0}"/>
    <cellStyle name="Normale 2" xfId="199" xr:uid="{00000000-0005-0000-0000-000038090000}"/>
    <cellStyle name="Normale 2 2" xfId="328" xr:uid="{00000000-0005-0000-0000-000039090000}"/>
    <cellStyle name="Normale 2 2 2" xfId="2174" xr:uid="{00000000-0005-0000-0000-00003A090000}"/>
    <cellStyle name="Normale 2 2 2 2" xfId="2672" xr:uid="{00000000-0005-0000-0000-00003B090000}"/>
    <cellStyle name="Normale 2 2 3" xfId="2673" xr:uid="{00000000-0005-0000-0000-00003C090000}"/>
    <cellStyle name="Normale 2 2 4" xfId="12108" xr:uid="{00000000-0005-0000-0000-0000680B0000}"/>
    <cellStyle name="Normale 2 2 4 2" xfId="12109" xr:uid="{00000000-0005-0000-0000-0000690B0000}"/>
    <cellStyle name="Normale 2 2 5" xfId="12110" xr:uid="{00000000-0005-0000-0000-00006A0B0000}"/>
    <cellStyle name="Normale 2 3" xfId="2175" xr:uid="{00000000-0005-0000-0000-00003D090000}"/>
    <cellStyle name="Normale 2 3 2" xfId="2674" xr:uid="{00000000-0005-0000-0000-00003E090000}"/>
    <cellStyle name="Normale 2 4" xfId="2173" xr:uid="{00000000-0005-0000-0000-00003F090000}"/>
    <cellStyle name="Normale 2 5" xfId="2675" xr:uid="{00000000-0005-0000-0000-000040090000}"/>
    <cellStyle name="Normale 2 6" xfId="2676" xr:uid="{00000000-0005-0000-0000-000041090000}"/>
    <cellStyle name="Normale 2 7" xfId="12111" xr:uid="{00000000-0005-0000-0000-0000700B0000}"/>
    <cellStyle name="Normale 2 7 2" xfId="12112" xr:uid="{00000000-0005-0000-0000-0000710B0000}"/>
    <cellStyle name="Normale 2 8" xfId="12113" xr:uid="{00000000-0005-0000-0000-0000720B0000}"/>
    <cellStyle name="Normale 3" xfId="200" xr:uid="{00000000-0005-0000-0000-000042090000}"/>
    <cellStyle name="Normale 3 2" xfId="329" xr:uid="{00000000-0005-0000-0000-000043090000}"/>
    <cellStyle name="Normale 3 2 2" xfId="2177" xr:uid="{00000000-0005-0000-0000-000044090000}"/>
    <cellStyle name="Normale 3 2 2 2" xfId="2677" xr:uid="{00000000-0005-0000-0000-000045090000}"/>
    <cellStyle name="Normale 3 2 3" xfId="2678" xr:uid="{00000000-0005-0000-0000-000046090000}"/>
    <cellStyle name="Normale 3 2 4" xfId="12114" xr:uid="{00000000-0005-0000-0000-0000780B0000}"/>
    <cellStyle name="Normale 3 2 4 2" xfId="12115" xr:uid="{00000000-0005-0000-0000-0000790B0000}"/>
    <cellStyle name="Normale 3 2 5" xfId="12116" xr:uid="{00000000-0005-0000-0000-00007A0B0000}"/>
    <cellStyle name="Normale 3 3" xfId="2178" xr:uid="{00000000-0005-0000-0000-000047090000}"/>
    <cellStyle name="Normale 3 3 2" xfId="2679" xr:uid="{00000000-0005-0000-0000-000048090000}"/>
    <cellStyle name="Normale 3 4" xfId="2176" xr:uid="{00000000-0005-0000-0000-000049090000}"/>
    <cellStyle name="Normale 3 5" xfId="2680" xr:uid="{00000000-0005-0000-0000-00004A090000}"/>
    <cellStyle name="Normale 3 6" xfId="2681" xr:uid="{00000000-0005-0000-0000-00004B090000}"/>
    <cellStyle name="Normale 3 7" xfId="12117" xr:uid="{00000000-0005-0000-0000-0000800B0000}"/>
    <cellStyle name="Normale 3 7 2" xfId="12118" xr:uid="{00000000-0005-0000-0000-0000810B0000}"/>
    <cellStyle name="Normale 3 8" xfId="12119" xr:uid="{00000000-0005-0000-0000-0000820B0000}"/>
    <cellStyle name="Normale 4" xfId="201" xr:uid="{00000000-0005-0000-0000-00004C090000}"/>
    <cellStyle name="Normale 4 2" xfId="2179" xr:uid="{00000000-0005-0000-0000-00004D090000}"/>
    <cellStyle name="Normale 4 2 2" xfId="2682" xr:uid="{00000000-0005-0000-0000-00004E090000}"/>
    <cellStyle name="Normale 4 2 3" xfId="2683" xr:uid="{00000000-0005-0000-0000-00004F090000}"/>
    <cellStyle name="Normale 6" xfId="202" xr:uid="{00000000-0005-0000-0000-000050090000}"/>
    <cellStyle name="Normale 6 2" xfId="203" xr:uid="{00000000-0005-0000-0000-000051090000}"/>
    <cellStyle name="Normale 6 2 2" xfId="2180" xr:uid="{00000000-0005-0000-0000-000052090000}"/>
    <cellStyle name="Normale 6 2 2 2" xfId="2684" xr:uid="{00000000-0005-0000-0000-000053090000}"/>
    <cellStyle name="Normale 6 2 2 3" xfId="2685" xr:uid="{00000000-0005-0000-0000-000054090000}"/>
    <cellStyle name="Normale 6 3" xfId="2181" xr:uid="{00000000-0005-0000-0000-000055090000}"/>
    <cellStyle name="Normale 6 3 2" xfId="2686" xr:uid="{00000000-0005-0000-0000-000056090000}"/>
    <cellStyle name="Normale 6 3 3" xfId="2687" xr:uid="{00000000-0005-0000-0000-000057090000}"/>
    <cellStyle name="Normale_classe A" xfId="204" xr:uid="{00000000-0005-0000-0000-000058090000}"/>
    <cellStyle name="Normalno 2" xfId="266" xr:uid="{00000000-0005-0000-0000-000059090000}"/>
    <cellStyle name="Normalno 2 2" xfId="372" xr:uid="{00000000-0005-0000-0000-00005A090000}"/>
    <cellStyle name="Normalno 2 2 2" xfId="2785" xr:uid="{00000000-0005-0000-0000-000026010000}"/>
    <cellStyle name="Normalno 2 2 3" xfId="12120" xr:uid="{00000000-0005-0000-0000-0000930B0000}"/>
    <cellStyle name="Normalno 2 3" xfId="2760" xr:uid="{00000000-0005-0000-0000-000025010000}"/>
    <cellStyle name="Normalno 2 4" xfId="12121" xr:uid="{00000000-0005-0000-0000-0000950B0000}"/>
    <cellStyle name="Normalno 2 5" xfId="12122" xr:uid="{00000000-0005-0000-0000-0000960B0000}"/>
    <cellStyle name="Nota" xfId="205" xr:uid="{00000000-0005-0000-0000-00005B090000}"/>
    <cellStyle name="Nota 10" xfId="206" xr:uid="{00000000-0005-0000-0000-00005C090000}"/>
    <cellStyle name="Nota 10 2" xfId="2183" xr:uid="{00000000-0005-0000-0000-00005D090000}"/>
    <cellStyle name="Nota 10 3" xfId="2688" xr:uid="{00000000-0005-0000-0000-00005E090000}"/>
    <cellStyle name="Nota 10 4" xfId="12123" xr:uid="{00000000-0005-0000-0000-00009B0B0000}"/>
    <cellStyle name="Nota 10 4 2" xfId="12124" xr:uid="{00000000-0005-0000-0000-00009C0B0000}"/>
    <cellStyle name="Nota 10 5" xfId="12125" xr:uid="{00000000-0005-0000-0000-00009D0B0000}"/>
    <cellStyle name="Nota 11" xfId="207" xr:uid="{00000000-0005-0000-0000-00005F090000}"/>
    <cellStyle name="Nota 11 2" xfId="2184" xr:uid="{00000000-0005-0000-0000-000060090000}"/>
    <cellStyle name="Nota 11 3" xfId="2689" xr:uid="{00000000-0005-0000-0000-000061090000}"/>
    <cellStyle name="Nota 11 4" xfId="12126" xr:uid="{00000000-0005-0000-0000-0000A10B0000}"/>
    <cellStyle name="Nota 11 4 2" xfId="12127" xr:uid="{00000000-0005-0000-0000-0000A20B0000}"/>
    <cellStyle name="Nota 11 5" xfId="12128" xr:uid="{00000000-0005-0000-0000-0000A30B0000}"/>
    <cellStyle name="Nota 12" xfId="208" xr:uid="{00000000-0005-0000-0000-000062090000}"/>
    <cellStyle name="Nota 12 2" xfId="2185" xr:uid="{00000000-0005-0000-0000-000063090000}"/>
    <cellStyle name="Nota 12 3" xfId="2690" xr:uid="{00000000-0005-0000-0000-000064090000}"/>
    <cellStyle name="Nota 12 4" xfId="12129" xr:uid="{00000000-0005-0000-0000-0000A70B0000}"/>
    <cellStyle name="Nota 12 4 2" xfId="12130" xr:uid="{00000000-0005-0000-0000-0000A80B0000}"/>
    <cellStyle name="Nota 12 5" xfId="12131" xr:uid="{00000000-0005-0000-0000-0000A90B0000}"/>
    <cellStyle name="Nota 13" xfId="209" xr:uid="{00000000-0005-0000-0000-000065090000}"/>
    <cellStyle name="Nota 13 2" xfId="2186" xr:uid="{00000000-0005-0000-0000-000066090000}"/>
    <cellStyle name="Nota 13 3" xfId="2691" xr:uid="{00000000-0005-0000-0000-000067090000}"/>
    <cellStyle name="Nota 13 4" xfId="12132" xr:uid="{00000000-0005-0000-0000-0000AD0B0000}"/>
    <cellStyle name="Nota 13 4 2" xfId="12133" xr:uid="{00000000-0005-0000-0000-0000AE0B0000}"/>
    <cellStyle name="Nota 13 5" xfId="12134" xr:uid="{00000000-0005-0000-0000-0000AF0B0000}"/>
    <cellStyle name="Nota 14" xfId="210" xr:uid="{00000000-0005-0000-0000-000068090000}"/>
    <cellStyle name="Nota 14 2" xfId="2187" xr:uid="{00000000-0005-0000-0000-000069090000}"/>
    <cellStyle name="Nota 14 3" xfId="2692" xr:uid="{00000000-0005-0000-0000-00006A090000}"/>
    <cellStyle name="Nota 14 4" xfId="12135" xr:uid="{00000000-0005-0000-0000-0000B30B0000}"/>
    <cellStyle name="Nota 14 4 2" xfId="12136" xr:uid="{00000000-0005-0000-0000-0000B40B0000}"/>
    <cellStyle name="Nota 14 5" xfId="12137" xr:uid="{00000000-0005-0000-0000-0000B50B0000}"/>
    <cellStyle name="Nota 15" xfId="211" xr:uid="{00000000-0005-0000-0000-00006B090000}"/>
    <cellStyle name="Nota 15 2" xfId="2188" xr:uid="{00000000-0005-0000-0000-00006C090000}"/>
    <cellStyle name="Nota 15 3" xfId="2693" xr:uid="{00000000-0005-0000-0000-00006D090000}"/>
    <cellStyle name="Nota 15 4" xfId="12138" xr:uid="{00000000-0005-0000-0000-0000B90B0000}"/>
    <cellStyle name="Nota 15 4 2" xfId="12139" xr:uid="{00000000-0005-0000-0000-0000BA0B0000}"/>
    <cellStyle name="Nota 15 5" xfId="12140" xr:uid="{00000000-0005-0000-0000-0000BB0B0000}"/>
    <cellStyle name="Nota 16" xfId="330" xr:uid="{00000000-0005-0000-0000-00006E090000}"/>
    <cellStyle name="Nota 16 2" xfId="2189" xr:uid="{00000000-0005-0000-0000-00006F090000}"/>
    <cellStyle name="Nota 16 2 2" xfId="2694" xr:uid="{00000000-0005-0000-0000-000070090000}"/>
    <cellStyle name="Nota 16 3" xfId="2695" xr:uid="{00000000-0005-0000-0000-000071090000}"/>
    <cellStyle name="Nota 16 4" xfId="12141" xr:uid="{00000000-0005-0000-0000-0000C00B0000}"/>
    <cellStyle name="Nota 16 4 2" xfId="12142" xr:uid="{00000000-0005-0000-0000-0000C10B0000}"/>
    <cellStyle name="Nota 16 5" xfId="12143" xr:uid="{00000000-0005-0000-0000-0000C20B0000}"/>
    <cellStyle name="Nota 17" xfId="2190" xr:uid="{00000000-0005-0000-0000-000072090000}"/>
    <cellStyle name="Nota 17 2" xfId="2696" xr:uid="{00000000-0005-0000-0000-000073090000}"/>
    <cellStyle name="Nota 18" xfId="2182" xr:uid="{00000000-0005-0000-0000-000074090000}"/>
    <cellStyle name="Nota 19" xfId="2697" xr:uid="{00000000-0005-0000-0000-000075090000}"/>
    <cellStyle name="Nota 2" xfId="212" xr:uid="{00000000-0005-0000-0000-000076090000}"/>
    <cellStyle name="Nota 2 2" xfId="2191" xr:uid="{00000000-0005-0000-0000-000077090000}"/>
    <cellStyle name="Nota 2 3" xfId="2698" xr:uid="{00000000-0005-0000-0000-000078090000}"/>
    <cellStyle name="Nota 2 4" xfId="12144" xr:uid="{00000000-0005-0000-0000-0000CA0B0000}"/>
    <cellStyle name="Nota 2 4 2" xfId="12145" xr:uid="{00000000-0005-0000-0000-0000CB0B0000}"/>
    <cellStyle name="Nota 2 5" xfId="12146" xr:uid="{00000000-0005-0000-0000-0000CC0B0000}"/>
    <cellStyle name="Nota 20" xfId="2699" xr:uid="{00000000-0005-0000-0000-000079090000}"/>
    <cellStyle name="Nota 21" xfId="12147" xr:uid="{00000000-0005-0000-0000-0000CE0B0000}"/>
    <cellStyle name="Nota 21 2" xfId="12148" xr:uid="{00000000-0005-0000-0000-0000CF0B0000}"/>
    <cellStyle name="Nota 22" xfId="12149" xr:uid="{00000000-0005-0000-0000-0000D00B0000}"/>
    <cellStyle name="Nota 3" xfId="213" xr:uid="{00000000-0005-0000-0000-00007A090000}"/>
    <cellStyle name="Nota 3 2" xfId="2192" xr:uid="{00000000-0005-0000-0000-00007B090000}"/>
    <cellStyle name="Nota 3 3" xfId="2700" xr:uid="{00000000-0005-0000-0000-00007C090000}"/>
    <cellStyle name="Nota 3 4" xfId="12150" xr:uid="{00000000-0005-0000-0000-0000D40B0000}"/>
    <cellStyle name="Nota 3 4 2" xfId="12151" xr:uid="{00000000-0005-0000-0000-0000D50B0000}"/>
    <cellStyle name="Nota 3 5" xfId="12152" xr:uid="{00000000-0005-0000-0000-0000D60B0000}"/>
    <cellStyle name="Nota 4" xfId="214" xr:uid="{00000000-0005-0000-0000-00007D090000}"/>
    <cellStyle name="Nota 4 2" xfId="2193" xr:uid="{00000000-0005-0000-0000-00007E090000}"/>
    <cellStyle name="Nota 4 3" xfId="2701" xr:uid="{00000000-0005-0000-0000-00007F090000}"/>
    <cellStyle name="Nota 4 4" xfId="12153" xr:uid="{00000000-0005-0000-0000-0000DA0B0000}"/>
    <cellStyle name="Nota 4 4 2" xfId="12154" xr:uid="{00000000-0005-0000-0000-0000DB0B0000}"/>
    <cellStyle name="Nota 4 5" xfId="12155" xr:uid="{00000000-0005-0000-0000-0000DC0B0000}"/>
    <cellStyle name="Nota 5" xfId="215" xr:uid="{00000000-0005-0000-0000-000080090000}"/>
    <cellStyle name="Nota 5 2" xfId="2194" xr:uid="{00000000-0005-0000-0000-000081090000}"/>
    <cellStyle name="Nota 5 3" xfId="2702" xr:uid="{00000000-0005-0000-0000-000082090000}"/>
    <cellStyle name="Nota 5 4" xfId="12156" xr:uid="{00000000-0005-0000-0000-0000E00B0000}"/>
    <cellStyle name="Nota 5 4 2" xfId="12157" xr:uid="{00000000-0005-0000-0000-0000E10B0000}"/>
    <cellStyle name="Nota 5 5" xfId="12158" xr:uid="{00000000-0005-0000-0000-0000E20B0000}"/>
    <cellStyle name="Nota 6" xfId="216" xr:uid="{00000000-0005-0000-0000-000083090000}"/>
    <cellStyle name="Nota 6 2" xfId="2195" xr:uid="{00000000-0005-0000-0000-000084090000}"/>
    <cellStyle name="Nota 6 3" xfId="2703" xr:uid="{00000000-0005-0000-0000-000085090000}"/>
    <cellStyle name="Nota 6 4" xfId="12159" xr:uid="{00000000-0005-0000-0000-0000E60B0000}"/>
    <cellStyle name="Nota 6 4 2" xfId="12160" xr:uid="{00000000-0005-0000-0000-0000E70B0000}"/>
    <cellStyle name="Nota 6 5" xfId="12161" xr:uid="{00000000-0005-0000-0000-0000E80B0000}"/>
    <cellStyle name="Nota 7" xfId="217" xr:uid="{00000000-0005-0000-0000-000086090000}"/>
    <cellStyle name="Nota 7 2" xfId="2196" xr:uid="{00000000-0005-0000-0000-000087090000}"/>
    <cellStyle name="Nota 7 3" xfId="2704" xr:uid="{00000000-0005-0000-0000-000088090000}"/>
    <cellStyle name="Nota 7 4" xfId="12162" xr:uid="{00000000-0005-0000-0000-0000EC0B0000}"/>
    <cellStyle name="Nota 7 4 2" xfId="12163" xr:uid="{00000000-0005-0000-0000-0000ED0B0000}"/>
    <cellStyle name="Nota 7 5" xfId="12164" xr:uid="{00000000-0005-0000-0000-0000EE0B0000}"/>
    <cellStyle name="Nota 8" xfId="218" xr:uid="{00000000-0005-0000-0000-000089090000}"/>
    <cellStyle name="Nota 8 2" xfId="2197" xr:uid="{00000000-0005-0000-0000-00008A090000}"/>
    <cellStyle name="Nota 8 3" xfId="2705" xr:uid="{00000000-0005-0000-0000-00008B090000}"/>
    <cellStyle name="Nota 8 4" xfId="12165" xr:uid="{00000000-0005-0000-0000-0000F20B0000}"/>
    <cellStyle name="Nota 8 4 2" xfId="12166" xr:uid="{00000000-0005-0000-0000-0000F30B0000}"/>
    <cellStyle name="Nota 8 5" xfId="12167" xr:uid="{00000000-0005-0000-0000-0000F40B0000}"/>
    <cellStyle name="Nota 9" xfId="219" xr:uid="{00000000-0005-0000-0000-00008C090000}"/>
    <cellStyle name="Nota 9 2" xfId="2198" xr:uid="{00000000-0005-0000-0000-00008D090000}"/>
    <cellStyle name="Nota 9 3" xfId="2706" xr:uid="{00000000-0005-0000-0000-00008E090000}"/>
    <cellStyle name="Nota 9 4" xfId="12168" xr:uid="{00000000-0005-0000-0000-0000F80B0000}"/>
    <cellStyle name="Nota 9 4 2" xfId="12169" xr:uid="{00000000-0005-0000-0000-0000F90B0000}"/>
    <cellStyle name="Nota 9 5" xfId="12170" xr:uid="{00000000-0005-0000-0000-0000FA0B0000}"/>
    <cellStyle name="Note 2" xfId="249" xr:uid="{00000000-0005-0000-0000-00008F090000}"/>
    <cellStyle name="Note 2 10" xfId="2200" xr:uid="{00000000-0005-0000-0000-000090090000}"/>
    <cellStyle name="Note 2 11" xfId="2201" xr:uid="{00000000-0005-0000-0000-000091090000}"/>
    <cellStyle name="Note 2 12" xfId="2202" xr:uid="{00000000-0005-0000-0000-000092090000}"/>
    <cellStyle name="Note 2 13" xfId="2203" xr:uid="{00000000-0005-0000-0000-000093090000}"/>
    <cellStyle name="Note 2 14" xfId="2204" xr:uid="{00000000-0005-0000-0000-000094090000}"/>
    <cellStyle name="Note 2 15" xfId="2205" xr:uid="{00000000-0005-0000-0000-000095090000}"/>
    <cellStyle name="Note 2 16" xfId="2206" xr:uid="{00000000-0005-0000-0000-000096090000}"/>
    <cellStyle name="Note 2 17" xfId="2207" xr:uid="{00000000-0005-0000-0000-000097090000}"/>
    <cellStyle name="Note 2 18" xfId="2199" xr:uid="{00000000-0005-0000-0000-000098090000}"/>
    <cellStyle name="Note 2 19" xfId="2707" xr:uid="{00000000-0005-0000-0000-000099090000}"/>
    <cellStyle name="Note 2 2" xfId="371" xr:uid="{00000000-0005-0000-0000-00009A090000}"/>
    <cellStyle name="Note 2 2 2" xfId="2208" xr:uid="{00000000-0005-0000-0000-00009B090000}"/>
    <cellStyle name="Note 2 2 3" xfId="2784" xr:uid="{00000000-0005-0000-0000-000038010000}"/>
    <cellStyle name="Note 2 2 3 2" xfId="12173" xr:uid="{00000000-0005-0000-0000-0000090C0000}"/>
    <cellStyle name="Note 2 2 3 2 2" xfId="12174" xr:uid="{00000000-0005-0000-0000-00000A0C0000}"/>
    <cellStyle name="Note 2 2 3 3" xfId="12175" xr:uid="{00000000-0005-0000-0000-00000B0C0000}"/>
    <cellStyle name="Note 2 2 3 4" xfId="12176" xr:uid="{00000000-0005-0000-0000-00000C0C0000}"/>
    <cellStyle name="Note 2 2 3 5" xfId="12172" xr:uid="{00000000-0005-0000-0000-0000080C0000}"/>
    <cellStyle name="Note 2 2 4" xfId="12177" xr:uid="{00000000-0005-0000-0000-00000D0C0000}"/>
    <cellStyle name="Note 2 2 4 2" xfId="12178" xr:uid="{00000000-0005-0000-0000-00000E0C0000}"/>
    <cellStyle name="Note 2 2 5" xfId="12179" xr:uid="{00000000-0005-0000-0000-00000F0C0000}"/>
    <cellStyle name="Note 2 2 5 2" xfId="12180" xr:uid="{00000000-0005-0000-0000-0000100C0000}"/>
    <cellStyle name="Note 2 2 6" xfId="12181" xr:uid="{00000000-0005-0000-0000-0000110C0000}"/>
    <cellStyle name="Note 2 2 7" xfId="12182" xr:uid="{00000000-0005-0000-0000-0000120C0000}"/>
    <cellStyle name="Note 2 2 8" xfId="12171" xr:uid="{00000000-0005-0000-0000-0000060C0000}"/>
    <cellStyle name="Note 2 20" xfId="2759" xr:uid="{00000000-0005-0000-0000-000037010000}"/>
    <cellStyle name="Note 2 20 2" xfId="12184" xr:uid="{00000000-0005-0000-0000-0000140C0000}"/>
    <cellStyle name="Note 2 20 2 2" xfId="12185" xr:uid="{00000000-0005-0000-0000-0000150C0000}"/>
    <cellStyle name="Note 2 20 3" xfId="12186" xr:uid="{00000000-0005-0000-0000-0000160C0000}"/>
    <cellStyle name="Note 2 20 4" xfId="12187" xr:uid="{00000000-0005-0000-0000-0000170C0000}"/>
    <cellStyle name="Note 2 20 5" xfId="12183" xr:uid="{00000000-0005-0000-0000-0000130C0000}"/>
    <cellStyle name="Note 2 21" xfId="12188" xr:uid="{00000000-0005-0000-0000-0000180C0000}"/>
    <cellStyle name="Note 2 21 2" xfId="12189" xr:uid="{00000000-0005-0000-0000-0000190C0000}"/>
    <cellStyle name="Note 2 22" xfId="12190" xr:uid="{00000000-0005-0000-0000-00001A0C0000}"/>
    <cellStyle name="Note 2 22 2" xfId="12191" xr:uid="{00000000-0005-0000-0000-00001B0C0000}"/>
    <cellStyle name="Note 2 23" xfId="12192" xr:uid="{00000000-0005-0000-0000-00001C0C0000}"/>
    <cellStyle name="Note 2 3" xfId="2209" xr:uid="{00000000-0005-0000-0000-00009C090000}"/>
    <cellStyle name="Note 2 4" xfId="2210" xr:uid="{00000000-0005-0000-0000-00009D090000}"/>
    <cellStyle name="Note 2 5" xfId="2211" xr:uid="{00000000-0005-0000-0000-00009E090000}"/>
    <cellStyle name="Note 2 6" xfId="2212" xr:uid="{00000000-0005-0000-0000-00009F090000}"/>
    <cellStyle name="Note 2 7" xfId="2213" xr:uid="{00000000-0005-0000-0000-0000A0090000}"/>
    <cellStyle name="Note 2 8" xfId="2214" xr:uid="{00000000-0005-0000-0000-0000A1090000}"/>
    <cellStyle name="Note 2 9" xfId="2215" xr:uid="{00000000-0005-0000-0000-0000A2090000}"/>
    <cellStyle name="Note 3 10" xfId="2216" xr:uid="{00000000-0005-0000-0000-0000A3090000}"/>
    <cellStyle name="Note 3 11" xfId="2217" xr:uid="{00000000-0005-0000-0000-0000A4090000}"/>
    <cellStyle name="Note 3 12" xfId="2218" xr:uid="{00000000-0005-0000-0000-0000A5090000}"/>
    <cellStyle name="Note 3 13" xfId="2219" xr:uid="{00000000-0005-0000-0000-0000A6090000}"/>
    <cellStyle name="Note 3 14" xfId="2220" xr:uid="{00000000-0005-0000-0000-0000A7090000}"/>
    <cellStyle name="Note 3 15" xfId="2221" xr:uid="{00000000-0005-0000-0000-0000A8090000}"/>
    <cellStyle name="Note 3 16" xfId="2222" xr:uid="{00000000-0005-0000-0000-0000A9090000}"/>
    <cellStyle name="Note 3 17" xfId="2223" xr:uid="{00000000-0005-0000-0000-0000AA090000}"/>
    <cellStyle name="Note 3 2" xfId="2224" xr:uid="{00000000-0005-0000-0000-0000AB090000}"/>
    <cellStyle name="Note 3 3" xfId="2225" xr:uid="{00000000-0005-0000-0000-0000AC090000}"/>
    <cellStyle name="Note 3 4" xfId="2226" xr:uid="{00000000-0005-0000-0000-0000AD090000}"/>
    <cellStyle name="Note 3 5" xfId="2227" xr:uid="{00000000-0005-0000-0000-0000AE090000}"/>
    <cellStyle name="Note 3 6" xfId="2228" xr:uid="{00000000-0005-0000-0000-0000AF090000}"/>
    <cellStyle name="Note 3 7" xfId="2229" xr:uid="{00000000-0005-0000-0000-0000B0090000}"/>
    <cellStyle name="Note 3 8" xfId="2230" xr:uid="{00000000-0005-0000-0000-0000B1090000}"/>
    <cellStyle name="Note 3 9" xfId="2231" xr:uid="{00000000-0005-0000-0000-0000B2090000}"/>
    <cellStyle name="Output 2" xfId="60" xr:uid="{00000000-0005-0000-0000-0000B3090000}"/>
    <cellStyle name="Output 2 10" xfId="2232" xr:uid="{00000000-0005-0000-0000-0000B4090000}"/>
    <cellStyle name="Output 2 11" xfId="2233" xr:uid="{00000000-0005-0000-0000-0000B5090000}"/>
    <cellStyle name="Output 2 12" xfId="2234" xr:uid="{00000000-0005-0000-0000-0000B6090000}"/>
    <cellStyle name="Output 2 13" xfId="2235" xr:uid="{00000000-0005-0000-0000-0000B7090000}"/>
    <cellStyle name="Output 2 14" xfId="2236" xr:uid="{00000000-0005-0000-0000-0000B8090000}"/>
    <cellStyle name="Output 2 15" xfId="2237" xr:uid="{00000000-0005-0000-0000-0000B9090000}"/>
    <cellStyle name="Output 2 16" xfId="2238" xr:uid="{00000000-0005-0000-0000-0000BA090000}"/>
    <cellStyle name="Output 2 17" xfId="2239" xr:uid="{00000000-0005-0000-0000-0000BB090000}"/>
    <cellStyle name="Output 2 18" xfId="2240" xr:uid="{00000000-0005-0000-0000-0000BC090000}"/>
    <cellStyle name="Output 2 19" xfId="2241" xr:uid="{00000000-0005-0000-0000-0000BD090000}"/>
    <cellStyle name="Output 2 2" xfId="2242" xr:uid="{00000000-0005-0000-0000-0000BE090000}"/>
    <cellStyle name="Output 2 20" xfId="2708" xr:uid="{00000000-0005-0000-0000-0000BF090000}"/>
    <cellStyle name="Output 2 3" xfId="2243" xr:uid="{00000000-0005-0000-0000-0000C0090000}"/>
    <cellStyle name="Output 2 4" xfId="2244" xr:uid="{00000000-0005-0000-0000-0000C1090000}"/>
    <cellStyle name="Output 2 5" xfId="2245" xr:uid="{00000000-0005-0000-0000-0000C2090000}"/>
    <cellStyle name="Output 2 6" xfId="2246" xr:uid="{00000000-0005-0000-0000-0000C3090000}"/>
    <cellStyle name="Output 2 7" xfId="2247" xr:uid="{00000000-0005-0000-0000-0000C4090000}"/>
    <cellStyle name="Output 2 8" xfId="2248" xr:uid="{00000000-0005-0000-0000-0000C5090000}"/>
    <cellStyle name="Output 2 9" xfId="2249" xr:uid="{00000000-0005-0000-0000-0000C6090000}"/>
    <cellStyle name="Output 3" xfId="257" xr:uid="{00000000-0005-0000-0000-0000C7090000}"/>
    <cellStyle name="Output 3 10" xfId="2250" xr:uid="{00000000-0005-0000-0000-0000C8090000}"/>
    <cellStyle name="Output 3 11" xfId="2251" xr:uid="{00000000-0005-0000-0000-0000C9090000}"/>
    <cellStyle name="Output 3 12" xfId="2252" xr:uid="{00000000-0005-0000-0000-0000CA090000}"/>
    <cellStyle name="Output 3 13" xfId="2253" xr:uid="{00000000-0005-0000-0000-0000CB090000}"/>
    <cellStyle name="Output 3 14" xfId="2254" xr:uid="{00000000-0005-0000-0000-0000CC090000}"/>
    <cellStyle name="Output 3 15" xfId="2255" xr:uid="{00000000-0005-0000-0000-0000CD090000}"/>
    <cellStyle name="Output 3 16" xfId="2256" xr:uid="{00000000-0005-0000-0000-0000CE090000}"/>
    <cellStyle name="Output 3 17" xfId="2257" xr:uid="{00000000-0005-0000-0000-0000CF090000}"/>
    <cellStyle name="Output 3 2" xfId="2258" xr:uid="{00000000-0005-0000-0000-0000D0090000}"/>
    <cellStyle name="Output 3 3" xfId="2259" xr:uid="{00000000-0005-0000-0000-0000D1090000}"/>
    <cellStyle name="Output 3 4" xfId="2260" xr:uid="{00000000-0005-0000-0000-0000D2090000}"/>
    <cellStyle name="Output 3 5" xfId="2261" xr:uid="{00000000-0005-0000-0000-0000D3090000}"/>
    <cellStyle name="Output 3 6" xfId="2262" xr:uid="{00000000-0005-0000-0000-0000D4090000}"/>
    <cellStyle name="Output 3 7" xfId="2263" xr:uid="{00000000-0005-0000-0000-0000D5090000}"/>
    <cellStyle name="Output 3 8" xfId="2264" xr:uid="{00000000-0005-0000-0000-0000D6090000}"/>
    <cellStyle name="Output 3 9" xfId="2265" xr:uid="{00000000-0005-0000-0000-0000D7090000}"/>
    <cellStyle name="Output 4" xfId="299" xr:uid="{00000000-0005-0000-0000-0000D8090000}"/>
    <cellStyle name="Percent" xfId="1" builtinId="5"/>
    <cellStyle name="Percent 2" xfId="281" xr:uid="{00000000-0005-0000-0000-0000DA090000}"/>
    <cellStyle name="Percent 2 10" xfId="2267" xr:uid="{00000000-0005-0000-0000-0000DB090000}"/>
    <cellStyle name="Percent 2 11" xfId="2268" xr:uid="{00000000-0005-0000-0000-0000DC090000}"/>
    <cellStyle name="Percent 2 12" xfId="19" xr:uid="{E1C150A1-4C63-4B0F-973F-68D5A8EF273E}"/>
    <cellStyle name="Percent 2 12 2" xfId="20" xr:uid="{E82B3A09-115E-4EB0-9862-44AF5958EC1C}"/>
    <cellStyle name="Percent 2 12 3" xfId="2269" xr:uid="{00000000-0005-0000-0000-0000DF090000}"/>
    <cellStyle name="Percent 2 13" xfId="350" xr:uid="{00000000-0005-0000-0000-0000E0090000}"/>
    <cellStyle name="Percent 2 13 2" xfId="5" xr:uid="{A4A3A9F7-FBE9-40C7-83DA-719411801848}"/>
    <cellStyle name="Percent 2 13 2 10" xfId="4033" xr:uid="{00000000-0005-0000-0000-0000A5270000}"/>
    <cellStyle name="Percent 2 13 2 10 2" xfId="5708" xr:uid="{00000000-0005-0000-0000-0000A6270000}"/>
    <cellStyle name="Percent 2 13 2 10 2 2" xfId="9058" xr:uid="{00000000-0005-0000-0000-0000A7270000}"/>
    <cellStyle name="Percent 2 13 2 10 3" xfId="10733" xr:uid="{00000000-0005-0000-0000-0000A8270000}"/>
    <cellStyle name="Percent 2 13 2 10 4" xfId="7383" xr:uid="{00000000-0005-0000-0000-0000A9270000}"/>
    <cellStyle name="Percent 2 13 2 11" xfId="4764" xr:uid="{00000000-0005-0000-0000-0000AA270000}"/>
    <cellStyle name="Percent 2 13 2 11 2" xfId="8114" xr:uid="{00000000-0005-0000-0000-0000AB270000}"/>
    <cellStyle name="Percent 2 13 2 12" xfId="9789" xr:uid="{00000000-0005-0000-0000-0000AC270000}"/>
    <cellStyle name="Percent 2 13 2 13" xfId="6439" xr:uid="{00000000-0005-0000-0000-0000AD270000}"/>
    <cellStyle name="Percent 2 13 2 14" xfId="12245" xr:uid="{00000000-0005-0000-0000-0000A4270000}"/>
    <cellStyle name="Percent 2 13 2 2" xfId="15" xr:uid="{D19B4206-0F21-4F78-9686-47F45FE2BC88}"/>
    <cellStyle name="Percent 2 13 2 2 10" xfId="3114" xr:uid="{00000000-0005-0000-0000-0000AE270000}"/>
    <cellStyle name="Percent 2 13 2 2 2" xfId="3231" xr:uid="{00000000-0005-0000-0000-0000AF270000}"/>
    <cellStyle name="Percent 2 13 2 2 2 2" xfId="3467" xr:uid="{00000000-0005-0000-0000-0000B0270000}"/>
    <cellStyle name="Percent 2 13 2 2 2 2 2" xfId="4433" xr:uid="{00000000-0005-0000-0000-0000B1270000}"/>
    <cellStyle name="Percent 2 13 2 2 2 2 2 2" xfId="6108" xr:uid="{00000000-0005-0000-0000-0000B2270000}"/>
    <cellStyle name="Percent 2 13 2 2 2 2 2 2 2" xfId="9458" xr:uid="{00000000-0005-0000-0000-0000B3270000}"/>
    <cellStyle name="Percent 2 13 2 2 2 2 2 3" xfId="11133" xr:uid="{00000000-0005-0000-0000-0000B4270000}"/>
    <cellStyle name="Percent 2 13 2 2 2 2 2 4" xfId="7783" xr:uid="{00000000-0005-0000-0000-0000B5270000}"/>
    <cellStyle name="Percent 2 13 2 2 2 2 3" xfId="5141" xr:uid="{00000000-0005-0000-0000-0000B6270000}"/>
    <cellStyle name="Percent 2 13 2 2 2 2 3 2" xfId="8491" xr:uid="{00000000-0005-0000-0000-0000B7270000}"/>
    <cellStyle name="Percent 2 13 2 2 2 2 4" xfId="10166" xr:uid="{00000000-0005-0000-0000-0000B8270000}"/>
    <cellStyle name="Percent 2 13 2 2 2 2 5" xfId="6816" xr:uid="{00000000-0005-0000-0000-0000B9270000}"/>
    <cellStyle name="Percent 2 13 2 2 2 3" xfId="3702" xr:uid="{00000000-0005-0000-0000-0000BA270000}"/>
    <cellStyle name="Percent 2 13 2 2 2 3 2" xfId="4669" xr:uid="{00000000-0005-0000-0000-0000BB270000}"/>
    <cellStyle name="Percent 2 13 2 2 2 3 2 2" xfId="6344" xr:uid="{00000000-0005-0000-0000-0000BC270000}"/>
    <cellStyle name="Percent 2 13 2 2 2 3 2 2 2" xfId="9694" xr:uid="{00000000-0005-0000-0000-0000BD270000}"/>
    <cellStyle name="Percent 2 13 2 2 2 3 2 3" xfId="11369" xr:uid="{00000000-0005-0000-0000-0000BE270000}"/>
    <cellStyle name="Percent 2 13 2 2 2 3 2 4" xfId="8019" xr:uid="{00000000-0005-0000-0000-0000BF270000}"/>
    <cellStyle name="Percent 2 13 2 2 2 3 3" xfId="5377" xr:uid="{00000000-0005-0000-0000-0000C0270000}"/>
    <cellStyle name="Percent 2 13 2 2 2 3 3 2" xfId="8727" xr:uid="{00000000-0005-0000-0000-0000C1270000}"/>
    <cellStyle name="Percent 2 13 2 2 2 3 4" xfId="10402" xr:uid="{00000000-0005-0000-0000-0000C2270000}"/>
    <cellStyle name="Percent 2 13 2 2 2 3 5" xfId="7052" xr:uid="{00000000-0005-0000-0000-0000C3270000}"/>
    <cellStyle name="Percent 2 13 2 2 2 4" xfId="3938" xr:uid="{00000000-0005-0000-0000-0000C4270000}"/>
    <cellStyle name="Percent 2 13 2 2 2 4 2" xfId="5613" xr:uid="{00000000-0005-0000-0000-0000C5270000}"/>
    <cellStyle name="Percent 2 13 2 2 2 4 2 2" xfId="8963" xr:uid="{00000000-0005-0000-0000-0000C6270000}"/>
    <cellStyle name="Percent 2 13 2 2 2 4 3" xfId="10638" xr:uid="{00000000-0005-0000-0000-0000C7270000}"/>
    <cellStyle name="Percent 2 13 2 2 2 4 4" xfId="7288" xr:uid="{00000000-0005-0000-0000-0000C8270000}"/>
    <cellStyle name="Percent 2 13 2 2 2 5" xfId="4197" xr:uid="{00000000-0005-0000-0000-0000C9270000}"/>
    <cellStyle name="Percent 2 13 2 2 2 5 2" xfId="5872" xr:uid="{00000000-0005-0000-0000-0000CA270000}"/>
    <cellStyle name="Percent 2 13 2 2 2 5 2 2" xfId="9222" xr:uid="{00000000-0005-0000-0000-0000CB270000}"/>
    <cellStyle name="Percent 2 13 2 2 2 5 3" xfId="10897" xr:uid="{00000000-0005-0000-0000-0000CC270000}"/>
    <cellStyle name="Percent 2 13 2 2 2 5 4" xfId="7547" xr:uid="{00000000-0005-0000-0000-0000CD270000}"/>
    <cellStyle name="Percent 2 13 2 2 2 6" xfId="4905" xr:uid="{00000000-0005-0000-0000-0000CE270000}"/>
    <cellStyle name="Percent 2 13 2 2 2 6 2" xfId="8255" xr:uid="{00000000-0005-0000-0000-0000CF270000}"/>
    <cellStyle name="Percent 2 13 2 2 2 7" xfId="9930" xr:uid="{00000000-0005-0000-0000-0000D0270000}"/>
    <cellStyle name="Percent 2 13 2 2 2 8" xfId="6580" xr:uid="{00000000-0005-0000-0000-0000D1270000}"/>
    <cellStyle name="Percent 2 13 2 2 3" xfId="3349" xr:uid="{00000000-0005-0000-0000-0000D2270000}"/>
    <cellStyle name="Percent 2 13 2 2 3 2" xfId="4315" xr:uid="{00000000-0005-0000-0000-0000D3270000}"/>
    <cellStyle name="Percent 2 13 2 2 3 2 2" xfId="5990" xr:uid="{00000000-0005-0000-0000-0000D4270000}"/>
    <cellStyle name="Percent 2 13 2 2 3 2 2 2" xfId="9340" xr:uid="{00000000-0005-0000-0000-0000D5270000}"/>
    <cellStyle name="Percent 2 13 2 2 3 2 3" xfId="11015" xr:uid="{00000000-0005-0000-0000-0000D6270000}"/>
    <cellStyle name="Percent 2 13 2 2 3 2 4" xfId="7665" xr:uid="{00000000-0005-0000-0000-0000D7270000}"/>
    <cellStyle name="Percent 2 13 2 2 3 3" xfId="5023" xr:uid="{00000000-0005-0000-0000-0000D8270000}"/>
    <cellStyle name="Percent 2 13 2 2 3 3 2" xfId="8373" xr:uid="{00000000-0005-0000-0000-0000D9270000}"/>
    <cellStyle name="Percent 2 13 2 2 3 4" xfId="10048" xr:uid="{00000000-0005-0000-0000-0000DA270000}"/>
    <cellStyle name="Percent 2 13 2 2 3 5" xfId="6698" xr:uid="{00000000-0005-0000-0000-0000DB270000}"/>
    <cellStyle name="Percent 2 13 2 2 4" xfId="3584" xr:uid="{00000000-0005-0000-0000-0000DC270000}"/>
    <cellStyle name="Percent 2 13 2 2 4 2" xfId="4551" xr:uid="{00000000-0005-0000-0000-0000DD270000}"/>
    <cellStyle name="Percent 2 13 2 2 4 2 2" xfId="6226" xr:uid="{00000000-0005-0000-0000-0000DE270000}"/>
    <cellStyle name="Percent 2 13 2 2 4 2 2 2" xfId="9576" xr:uid="{00000000-0005-0000-0000-0000DF270000}"/>
    <cellStyle name="Percent 2 13 2 2 4 2 3" xfId="11251" xr:uid="{00000000-0005-0000-0000-0000E0270000}"/>
    <cellStyle name="Percent 2 13 2 2 4 2 4" xfId="7901" xr:uid="{00000000-0005-0000-0000-0000E1270000}"/>
    <cellStyle name="Percent 2 13 2 2 4 3" xfId="5259" xr:uid="{00000000-0005-0000-0000-0000E2270000}"/>
    <cellStyle name="Percent 2 13 2 2 4 3 2" xfId="8609" xr:uid="{00000000-0005-0000-0000-0000E3270000}"/>
    <cellStyle name="Percent 2 13 2 2 4 4" xfId="10284" xr:uid="{00000000-0005-0000-0000-0000E4270000}"/>
    <cellStyle name="Percent 2 13 2 2 4 5" xfId="6934" xr:uid="{00000000-0005-0000-0000-0000E5270000}"/>
    <cellStyle name="Percent 2 13 2 2 5" xfId="3820" xr:uid="{00000000-0005-0000-0000-0000E6270000}"/>
    <cellStyle name="Percent 2 13 2 2 5 2" xfId="5495" xr:uid="{00000000-0005-0000-0000-0000E7270000}"/>
    <cellStyle name="Percent 2 13 2 2 5 2 2" xfId="8845" xr:uid="{00000000-0005-0000-0000-0000E8270000}"/>
    <cellStyle name="Percent 2 13 2 2 5 3" xfId="10520" xr:uid="{00000000-0005-0000-0000-0000E9270000}"/>
    <cellStyle name="Percent 2 13 2 2 5 4" xfId="7170" xr:uid="{00000000-0005-0000-0000-0000EA270000}"/>
    <cellStyle name="Percent 2 13 2 2 6" xfId="4079" xr:uid="{00000000-0005-0000-0000-0000EB270000}"/>
    <cellStyle name="Percent 2 13 2 2 6 2" xfId="5754" xr:uid="{00000000-0005-0000-0000-0000EC270000}"/>
    <cellStyle name="Percent 2 13 2 2 6 2 2" xfId="9104" xr:uid="{00000000-0005-0000-0000-0000ED270000}"/>
    <cellStyle name="Percent 2 13 2 2 6 3" xfId="10779" xr:uid="{00000000-0005-0000-0000-0000EE270000}"/>
    <cellStyle name="Percent 2 13 2 2 6 4" xfId="7429" xr:uid="{00000000-0005-0000-0000-0000EF270000}"/>
    <cellStyle name="Percent 2 13 2 2 7" xfId="4787" xr:uid="{00000000-0005-0000-0000-0000F0270000}"/>
    <cellStyle name="Percent 2 13 2 2 7 2" xfId="8137" xr:uid="{00000000-0005-0000-0000-0000F1270000}"/>
    <cellStyle name="Percent 2 13 2 2 8" xfId="9812" xr:uid="{00000000-0005-0000-0000-0000F2270000}"/>
    <cellStyle name="Percent 2 13 2 2 9" xfId="6462" xr:uid="{00000000-0005-0000-0000-0000F3270000}"/>
    <cellStyle name="Percent 2 13 2 3" xfId="2270" xr:uid="{00000000-0005-0000-0000-0000E1090000}"/>
    <cellStyle name="Percent 2 13 2 3 10" xfId="12277" xr:uid="{00000000-0005-0000-0000-0000F4270000}"/>
    <cellStyle name="Percent 2 13 2 3 11" xfId="12193" xr:uid="{00000000-0005-0000-0000-0000630C0000}"/>
    <cellStyle name="Percent 2 13 2 3 2" xfId="3254" xr:uid="{00000000-0005-0000-0000-0000F5270000}"/>
    <cellStyle name="Percent 2 13 2 3 2 10" xfId="12194" xr:uid="{00000000-0005-0000-0000-0000640C0000}"/>
    <cellStyle name="Percent 2 13 2 3 2 2" xfId="3490" xr:uid="{00000000-0005-0000-0000-0000F6270000}"/>
    <cellStyle name="Percent 2 13 2 3 2 2 2" xfId="4456" xr:uid="{00000000-0005-0000-0000-0000F7270000}"/>
    <cellStyle name="Percent 2 13 2 3 2 2 2 2" xfId="6131" xr:uid="{00000000-0005-0000-0000-0000F8270000}"/>
    <cellStyle name="Percent 2 13 2 3 2 2 2 2 2" xfId="9481" xr:uid="{00000000-0005-0000-0000-0000F9270000}"/>
    <cellStyle name="Percent 2 13 2 3 2 2 2 3" xfId="11156" xr:uid="{00000000-0005-0000-0000-0000FA270000}"/>
    <cellStyle name="Percent 2 13 2 3 2 2 2 4" xfId="7806" xr:uid="{00000000-0005-0000-0000-0000FB270000}"/>
    <cellStyle name="Percent 2 13 2 3 2 2 3" xfId="5164" xr:uid="{00000000-0005-0000-0000-0000FC270000}"/>
    <cellStyle name="Percent 2 13 2 3 2 2 3 2" xfId="8514" xr:uid="{00000000-0005-0000-0000-0000FD270000}"/>
    <cellStyle name="Percent 2 13 2 3 2 2 4" xfId="10189" xr:uid="{00000000-0005-0000-0000-0000FE270000}"/>
    <cellStyle name="Percent 2 13 2 3 2 2 5" xfId="6839" xr:uid="{00000000-0005-0000-0000-0000FF270000}"/>
    <cellStyle name="Percent 2 13 2 3 2 3" xfId="3725" xr:uid="{00000000-0005-0000-0000-000000280000}"/>
    <cellStyle name="Percent 2 13 2 3 2 3 2" xfId="4692" xr:uid="{00000000-0005-0000-0000-000001280000}"/>
    <cellStyle name="Percent 2 13 2 3 2 3 2 2" xfId="6367" xr:uid="{00000000-0005-0000-0000-000002280000}"/>
    <cellStyle name="Percent 2 13 2 3 2 3 2 2 2" xfId="9717" xr:uid="{00000000-0005-0000-0000-000003280000}"/>
    <cellStyle name="Percent 2 13 2 3 2 3 2 3" xfId="11392" xr:uid="{00000000-0005-0000-0000-000004280000}"/>
    <cellStyle name="Percent 2 13 2 3 2 3 2 4" xfId="8042" xr:uid="{00000000-0005-0000-0000-000005280000}"/>
    <cellStyle name="Percent 2 13 2 3 2 3 3" xfId="5400" xr:uid="{00000000-0005-0000-0000-000006280000}"/>
    <cellStyle name="Percent 2 13 2 3 2 3 3 2" xfId="8750" xr:uid="{00000000-0005-0000-0000-000007280000}"/>
    <cellStyle name="Percent 2 13 2 3 2 3 4" xfId="10425" xr:uid="{00000000-0005-0000-0000-000008280000}"/>
    <cellStyle name="Percent 2 13 2 3 2 3 5" xfId="7075" xr:uid="{00000000-0005-0000-0000-000009280000}"/>
    <cellStyle name="Percent 2 13 2 3 2 4" xfId="3961" xr:uid="{00000000-0005-0000-0000-00000A280000}"/>
    <cellStyle name="Percent 2 13 2 3 2 4 2" xfId="5636" xr:uid="{00000000-0005-0000-0000-00000B280000}"/>
    <cellStyle name="Percent 2 13 2 3 2 4 2 2" xfId="8986" xr:uid="{00000000-0005-0000-0000-00000C280000}"/>
    <cellStyle name="Percent 2 13 2 3 2 4 3" xfId="10661" xr:uid="{00000000-0005-0000-0000-00000D280000}"/>
    <cellStyle name="Percent 2 13 2 3 2 4 4" xfId="7311" xr:uid="{00000000-0005-0000-0000-00000E280000}"/>
    <cellStyle name="Percent 2 13 2 3 2 5" xfId="4220" xr:uid="{00000000-0005-0000-0000-00000F280000}"/>
    <cellStyle name="Percent 2 13 2 3 2 5 2" xfId="5895" xr:uid="{00000000-0005-0000-0000-000010280000}"/>
    <cellStyle name="Percent 2 13 2 3 2 5 2 2" xfId="9245" xr:uid="{00000000-0005-0000-0000-000011280000}"/>
    <cellStyle name="Percent 2 13 2 3 2 5 3" xfId="10920" xr:uid="{00000000-0005-0000-0000-000012280000}"/>
    <cellStyle name="Percent 2 13 2 3 2 5 4" xfId="7570" xr:uid="{00000000-0005-0000-0000-000013280000}"/>
    <cellStyle name="Percent 2 13 2 3 2 6" xfId="4928" xr:uid="{00000000-0005-0000-0000-000014280000}"/>
    <cellStyle name="Percent 2 13 2 3 2 6 2" xfId="8278" xr:uid="{00000000-0005-0000-0000-000015280000}"/>
    <cellStyle name="Percent 2 13 2 3 2 7" xfId="9953" xr:uid="{00000000-0005-0000-0000-000016280000}"/>
    <cellStyle name="Percent 2 13 2 3 2 8" xfId="6603" xr:uid="{00000000-0005-0000-0000-000017280000}"/>
    <cellStyle name="Percent 2 13 2 3 2 9" xfId="12279" xr:uid="{00000000-0005-0000-0000-0000F5270000}"/>
    <cellStyle name="Percent 2 13 2 3 3" xfId="3372" xr:uid="{00000000-0005-0000-0000-000018280000}"/>
    <cellStyle name="Percent 2 13 2 3 3 2" xfId="4338" xr:uid="{00000000-0005-0000-0000-000019280000}"/>
    <cellStyle name="Percent 2 13 2 3 3 2 2" xfId="6013" xr:uid="{00000000-0005-0000-0000-00001A280000}"/>
    <cellStyle name="Percent 2 13 2 3 3 2 2 2" xfId="9363" xr:uid="{00000000-0005-0000-0000-00001B280000}"/>
    <cellStyle name="Percent 2 13 2 3 3 2 3" xfId="11038" xr:uid="{00000000-0005-0000-0000-00001C280000}"/>
    <cellStyle name="Percent 2 13 2 3 3 2 4" xfId="7688" xr:uid="{00000000-0005-0000-0000-00001D280000}"/>
    <cellStyle name="Percent 2 13 2 3 3 3" xfId="5046" xr:uid="{00000000-0005-0000-0000-00001E280000}"/>
    <cellStyle name="Percent 2 13 2 3 3 3 2" xfId="8396" xr:uid="{00000000-0005-0000-0000-00001F280000}"/>
    <cellStyle name="Percent 2 13 2 3 3 4" xfId="10071" xr:uid="{00000000-0005-0000-0000-000020280000}"/>
    <cellStyle name="Percent 2 13 2 3 3 5" xfId="6721" xr:uid="{00000000-0005-0000-0000-000021280000}"/>
    <cellStyle name="Percent 2 13 2 3 4" xfId="3607" xr:uid="{00000000-0005-0000-0000-000022280000}"/>
    <cellStyle name="Percent 2 13 2 3 4 2" xfId="4574" xr:uid="{00000000-0005-0000-0000-000023280000}"/>
    <cellStyle name="Percent 2 13 2 3 4 2 2" xfId="6249" xr:uid="{00000000-0005-0000-0000-000024280000}"/>
    <cellStyle name="Percent 2 13 2 3 4 2 2 2" xfId="9599" xr:uid="{00000000-0005-0000-0000-000025280000}"/>
    <cellStyle name="Percent 2 13 2 3 4 2 3" xfId="11274" xr:uid="{00000000-0005-0000-0000-000026280000}"/>
    <cellStyle name="Percent 2 13 2 3 4 2 4" xfId="7924" xr:uid="{00000000-0005-0000-0000-000027280000}"/>
    <cellStyle name="Percent 2 13 2 3 4 3" xfId="5282" xr:uid="{00000000-0005-0000-0000-000028280000}"/>
    <cellStyle name="Percent 2 13 2 3 4 3 2" xfId="8632" xr:uid="{00000000-0005-0000-0000-000029280000}"/>
    <cellStyle name="Percent 2 13 2 3 4 4" xfId="10307" xr:uid="{00000000-0005-0000-0000-00002A280000}"/>
    <cellStyle name="Percent 2 13 2 3 4 5" xfId="6957" xr:uid="{00000000-0005-0000-0000-00002B280000}"/>
    <cellStyle name="Percent 2 13 2 3 5" xfId="3843" xr:uid="{00000000-0005-0000-0000-00002C280000}"/>
    <cellStyle name="Percent 2 13 2 3 5 2" xfId="5518" xr:uid="{00000000-0005-0000-0000-00002D280000}"/>
    <cellStyle name="Percent 2 13 2 3 5 2 2" xfId="8868" xr:uid="{00000000-0005-0000-0000-00002E280000}"/>
    <cellStyle name="Percent 2 13 2 3 5 3" xfId="10543" xr:uid="{00000000-0005-0000-0000-00002F280000}"/>
    <cellStyle name="Percent 2 13 2 3 5 4" xfId="7193" xr:uid="{00000000-0005-0000-0000-000030280000}"/>
    <cellStyle name="Percent 2 13 2 3 6" xfId="4102" xr:uid="{00000000-0005-0000-0000-000031280000}"/>
    <cellStyle name="Percent 2 13 2 3 6 2" xfId="5777" xr:uid="{00000000-0005-0000-0000-000032280000}"/>
    <cellStyle name="Percent 2 13 2 3 6 2 2" xfId="9127" xr:uid="{00000000-0005-0000-0000-000033280000}"/>
    <cellStyle name="Percent 2 13 2 3 6 3" xfId="10802" xr:uid="{00000000-0005-0000-0000-000034280000}"/>
    <cellStyle name="Percent 2 13 2 3 6 4" xfId="7452" xr:uid="{00000000-0005-0000-0000-000035280000}"/>
    <cellStyle name="Percent 2 13 2 3 7" xfId="4810" xr:uid="{00000000-0005-0000-0000-000036280000}"/>
    <cellStyle name="Percent 2 13 2 3 7 2" xfId="8160" xr:uid="{00000000-0005-0000-0000-000037280000}"/>
    <cellStyle name="Percent 2 13 2 3 8" xfId="9835" xr:uid="{00000000-0005-0000-0000-000038280000}"/>
    <cellStyle name="Percent 2 13 2 3 9" xfId="6485" xr:uid="{00000000-0005-0000-0000-000039280000}"/>
    <cellStyle name="Percent 2 13 2 4" xfId="3160" xr:uid="{00000000-0005-0000-0000-00003A280000}"/>
    <cellStyle name="Percent 2 13 2 4 10" xfId="12278" xr:uid="{00000000-0005-0000-0000-00003A280000}"/>
    <cellStyle name="Percent 2 13 2 4 11" xfId="12195" xr:uid="{00000000-0005-0000-0000-0000650C0000}"/>
    <cellStyle name="Percent 2 13 2 4 2" xfId="3278" xr:uid="{00000000-0005-0000-0000-00003B280000}"/>
    <cellStyle name="Percent 2 13 2 4 2 2" xfId="3514" xr:uid="{00000000-0005-0000-0000-00003C280000}"/>
    <cellStyle name="Percent 2 13 2 4 2 2 2" xfId="4480" xr:uid="{00000000-0005-0000-0000-00003D280000}"/>
    <cellStyle name="Percent 2 13 2 4 2 2 2 2" xfId="6155" xr:uid="{00000000-0005-0000-0000-00003E280000}"/>
    <cellStyle name="Percent 2 13 2 4 2 2 2 2 2" xfId="9505" xr:uid="{00000000-0005-0000-0000-00003F280000}"/>
    <cellStyle name="Percent 2 13 2 4 2 2 2 3" xfId="11180" xr:uid="{00000000-0005-0000-0000-000040280000}"/>
    <cellStyle name="Percent 2 13 2 4 2 2 2 4" xfId="7830" xr:uid="{00000000-0005-0000-0000-000041280000}"/>
    <cellStyle name="Percent 2 13 2 4 2 2 3" xfId="5188" xr:uid="{00000000-0005-0000-0000-000042280000}"/>
    <cellStyle name="Percent 2 13 2 4 2 2 3 2" xfId="8538" xr:uid="{00000000-0005-0000-0000-000043280000}"/>
    <cellStyle name="Percent 2 13 2 4 2 2 4" xfId="10213" xr:uid="{00000000-0005-0000-0000-000044280000}"/>
    <cellStyle name="Percent 2 13 2 4 2 2 5" xfId="6863" xr:uid="{00000000-0005-0000-0000-000045280000}"/>
    <cellStyle name="Percent 2 13 2 4 2 3" xfId="3749" xr:uid="{00000000-0005-0000-0000-000046280000}"/>
    <cellStyle name="Percent 2 13 2 4 2 3 2" xfId="4716" xr:uid="{00000000-0005-0000-0000-000047280000}"/>
    <cellStyle name="Percent 2 13 2 4 2 3 2 2" xfId="6391" xr:uid="{00000000-0005-0000-0000-000048280000}"/>
    <cellStyle name="Percent 2 13 2 4 2 3 2 2 2" xfId="9741" xr:uid="{00000000-0005-0000-0000-000049280000}"/>
    <cellStyle name="Percent 2 13 2 4 2 3 2 3" xfId="11416" xr:uid="{00000000-0005-0000-0000-00004A280000}"/>
    <cellStyle name="Percent 2 13 2 4 2 3 2 4" xfId="8066" xr:uid="{00000000-0005-0000-0000-00004B280000}"/>
    <cellStyle name="Percent 2 13 2 4 2 3 3" xfId="5424" xr:uid="{00000000-0005-0000-0000-00004C280000}"/>
    <cellStyle name="Percent 2 13 2 4 2 3 3 2" xfId="8774" xr:uid="{00000000-0005-0000-0000-00004D280000}"/>
    <cellStyle name="Percent 2 13 2 4 2 3 4" xfId="10449" xr:uid="{00000000-0005-0000-0000-00004E280000}"/>
    <cellStyle name="Percent 2 13 2 4 2 3 5" xfId="7099" xr:uid="{00000000-0005-0000-0000-00004F280000}"/>
    <cellStyle name="Percent 2 13 2 4 2 4" xfId="3985" xr:uid="{00000000-0005-0000-0000-000050280000}"/>
    <cellStyle name="Percent 2 13 2 4 2 4 2" xfId="5660" xr:uid="{00000000-0005-0000-0000-000051280000}"/>
    <cellStyle name="Percent 2 13 2 4 2 4 2 2" xfId="9010" xr:uid="{00000000-0005-0000-0000-000052280000}"/>
    <cellStyle name="Percent 2 13 2 4 2 4 3" xfId="10685" xr:uid="{00000000-0005-0000-0000-000053280000}"/>
    <cellStyle name="Percent 2 13 2 4 2 4 4" xfId="7335" xr:uid="{00000000-0005-0000-0000-000054280000}"/>
    <cellStyle name="Percent 2 13 2 4 2 5" xfId="4244" xr:uid="{00000000-0005-0000-0000-000055280000}"/>
    <cellStyle name="Percent 2 13 2 4 2 5 2" xfId="5919" xr:uid="{00000000-0005-0000-0000-000056280000}"/>
    <cellStyle name="Percent 2 13 2 4 2 5 2 2" xfId="9269" xr:uid="{00000000-0005-0000-0000-000057280000}"/>
    <cellStyle name="Percent 2 13 2 4 2 5 3" xfId="10944" xr:uid="{00000000-0005-0000-0000-000058280000}"/>
    <cellStyle name="Percent 2 13 2 4 2 5 4" xfId="7594" xr:uid="{00000000-0005-0000-0000-000059280000}"/>
    <cellStyle name="Percent 2 13 2 4 2 6" xfId="4952" xr:uid="{00000000-0005-0000-0000-00005A280000}"/>
    <cellStyle name="Percent 2 13 2 4 2 6 2" xfId="8302" xr:uid="{00000000-0005-0000-0000-00005B280000}"/>
    <cellStyle name="Percent 2 13 2 4 2 7" xfId="9977" xr:uid="{00000000-0005-0000-0000-00005C280000}"/>
    <cellStyle name="Percent 2 13 2 4 2 8" xfId="6627" xr:uid="{00000000-0005-0000-0000-00005D280000}"/>
    <cellStyle name="Percent 2 13 2 4 3" xfId="3396" xr:uid="{00000000-0005-0000-0000-00005E280000}"/>
    <cellStyle name="Percent 2 13 2 4 3 2" xfId="4362" xr:uid="{00000000-0005-0000-0000-00005F280000}"/>
    <cellStyle name="Percent 2 13 2 4 3 2 2" xfId="6037" xr:uid="{00000000-0005-0000-0000-000060280000}"/>
    <cellStyle name="Percent 2 13 2 4 3 2 2 2" xfId="9387" xr:uid="{00000000-0005-0000-0000-000061280000}"/>
    <cellStyle name="Percent 2 13 2 4 3 2 3" xfId="11062" xr:uid="{00000000-0005-0000-0000-000062280000}"/>
    <cellStyle name="Percent 2 13 2 4 3 2 4" xfId="7712" xr:uid="{00000000-0005-0000-0000-000063280000}"/>
    <cellStyle name="Percent 2 13 2 4 3 3" xfId="5070" xr:uid="{00000000-0005-0000-0000-000064280000}"/>
    <cellStyle name="Percent 2 13 2 4 3 3 2" xfId="8420" xr:uid="{00000000-0005-0000-0000-000065280000}"/>
    <cellStyle name="Percent 2 13 2 4 3 4" xfId="10095" xr:uid="{00000000-0005-0000-0000-000066280000}"/>
    <cellStyle name="Percent 2 13 2 4 3 5" xfId="6745" xr:uid="{00000000-0005-0000-0000-000067280000}"/>
    <cellStyle name="Percent 2 13 2 4 4" xfId="3631" xr:uid="{00000000-0005-0000-0000-000068280000}"/>
    <cellStyle name="Percent 2 13 2 4 4 2" xfId="4598" xr:uid="{00000000-0005-0000-0000-000069280000}"/>
    <cellStyle name="Percent 2 13 2 4 4 2 2" xfId="6273" xr:uid="{00000000-0005-0000-0000-00006A280000}"/>
    <cellStyle name="Percent 2 13 2 4 4 2 2 2" xfId="9623" xr:uid="{00000000-0005-0000-0000-00006B280000}"/>
    <cellStyle name="Percent 2 13 2 4 4 2 3" xfId="11298" xr:uid="{00000000-0005-0000-0000-00006C280000}"/>
    <cellStyle name="Percent 2 13 2 4 4 2 4" xfId="7948" xr:uid="{00000000-0005-0000-0000-00006D280000}"/>
    <cellStyle name="Percent 2 13 2 4 4 3" xfId="5306" xr:uid="{00000000-0005-0000-0000-00006E280000}"/>
    <cellStyle name="Percent 2 13 2 4 4 3 2" xfId="8656" xr:uid="{00000000-0005-0000-0000-00006F280000}"/>
    <cellStyle name="Percent 2 13 2 4 4 4" xfId="10331" xr:uid="{00000000-0005-0000-0000-000070280000}"/>
    <cellStyle name="Percent 2 13 2 4 4 5" xfId="6981" xr:uid="{00000000-0005-0000-0000-000071280000}"/>
    <cellStyle name="Percent 2 13 2 4 5" xfId="3867" xr:uid="{00000000-0005-0000-0000-000072280000}"/>
    <cellStyle name="Percent 2 13 2 4 5 2" xfId="5542" xr:uid="{00000000-0005-0000-0000-000073280000}"/>
    <cellStyle name="Percent 2 13 2 4 5 2 2" xfId="8892" xr:uid="{00000000-0005-0000-0000-000074280000}"/>
    <cellStyle name="Percent 2 13 2 4 5 3" xfId="10567" xr:uid="{00000000-0005-0000-0000-000075280000}"/>
    <cellStyle name="Percent 2 13 2 4 5 4" xfId="7217" xr:uid="{00000000-0005-0000-0000-000076280000}"/>
    <cellStyle name="Percent 2 13 2 4 6" xfId="4126" xr:uid="{00000000-0005-0000-0000-000077280000}"/>
    <cellStyle name="Percent 2 13 2 4 6 2" xfId="5801" xr:uid="{00000000-0005-0000-0000-000078280000}"/>
    <cellStyle name="Percent 2 13 2 4 6 2 2" xfId="9151" xr:uid="{00000000-0005-0000-0000-000079280000}"/>
    <cellStyle name="Percent 2 13 2 4 6 3" xfId="10826" xr:uid="{00000000-0005-0000-0000-00007A280000}"/>
    <cellStyle name="Percent 2 13 2 4 6 4" xfId="7476" xr:uid="{00000000-0005-0000-0000-00007B280000}"/>
    <cellStyle name="Percent 2 13 2 4 7" xfId="4834" xr:uid="{00000000-0005-0000-0000-00007C280000}"/>
    <cellStyle name="Percent 2 13 2 4 7 2" xfId="8184" xr:uid="{00000000-0005-0000-0000-00007D280000}"/>
    <cellStyle name="Percent 2 13 2 4 8" xfId="9859" xr:uid="{00000000-0005-0000-0000-00007E280000}"/>
    <cellStyle name="Percent 2 13 2 4 9" xfId="6509" xr:uid="{00000000-0005-0000-0000-00007F280000}"/>
    <cellStyle name="Percent 2 13 2 5" xfId="3184" xr:uid="{00000000-0005-0000-0000-000080280000}"/>
    <cellStyle name="Percent 2 13 2 5 2" xfId="3302" xr:uid="{00000000-0005-0000-0000-000081280000}"/>
    <cellStyle name="Percent 2 13 2 5 2 2" xfId="3538" xr:uid="{00000000-0005-0000-0000-000082280000}"/>
    <cellStyle name="Percent 2 13 2 5 2 2 2" xfId="4504" xr:uid="{00000000-0005-0000-0000-000083280000}"/>
    <cellStyle name="Percent 2 13 2 5 2 2 2 2" xfId="6179" xr:uid="{00000000-0005-0000-0000-000084280000}"/>
    <cellStyle name="Percent 2 13 2 5 2 2 2 2 2" xfId="9529" xr:uid="{00000000-0005-0000-0000-000085280000}"/>
    <cellStyle name="Percent 2 13 2 5 2 2 2 3" xfId="11204" xr:uid="{00000000-0005-0000-0000-000086280000}"/>
    <cellStyle name="Percent 2 13 2 5 2 2 2 4" xfId="7854" xr:uid="{00000000-0005-0000-0000-000087280000}"/>
    <cellStyle name="Percent 2 13 2 5 2 2 3" xfId="5212" xr:uid="{00000000-0005-0000-0000-000088280000}"/>
    <cellStyle name="Percent 2 13 2 5 2 2 3 2" xfId="8562" xr:uid="{00000000-0005-0000-0000-000089280000}"/>
    <cellStyle name="Percent 2 13 2 5 2 2 4" xfId="10237" xr:uid="{00000000-0005-0000-0000-00008A280000}"/>
    <cellStyle name="Percent 2 13 2 5 2 2 5" xfId="6887" xr:uid="{00000000-0005-0000-0000-00008B280000}"/>
    <cellStyle name="Percent 2 13 2 5 2 3" xfId="3773" xr:uid="{00000000-0005-0000-0000-00008C280000}"/>
    <cellStyle name="Percent 2 13 2 5 2 3 2" xfId="4740" xr:uid="{00000000-0005-0000-0000-00008D280000}"/>
    <cellStyle name="Percent 2 13 2 5 2 3 2 2" xfId="6415" xr:uid="{00000000-0005-0000-0000-00008E280000}"/>
    <cellStyle name="Percent 2 13 2 5 2 3 2 2 2" xfId="9765" xr:uid="{00000000-0005-0000-0000-00008F280000}"/>
    <cellStyle name="Percent 2 13 2 5 2 3 2 3" xfId="11440" xr:uid="{00000000-0005-0000-0000-000090280000}"/>
    <cellStyle name="Percent 2 13 2 5 2 3 2 4" xfId="8090" xr:uid="{00000000-0005-0000-0000-000091280000}"/>
    <cellStyle name="Percent 2 13 2 5 2 3 3" xfId="5448" xr:uid="{00000000-0005-0000-0000-000092280000}"/>
    <cellStyle name="Percent 2 13 2 5 2 3 3 2" xfId="8798" xr:uid="{00000000-0005-0000-0000-000093280000}"/>
    <cellStyle name="Percent 2 13 2 5 2 3 4" xfId="10473" xr:uid="{00000000-0005-0000-0000-000094280000}"/>
    <cellStyle name="Percent 2 13 2 5 2 3 5" xfId="7123" xr:uid="{00000000-0005-0000-0000-000095280000}"/>
    <cellStyle name="Percent 2 13 2 5 2 4" xfId="4009" xr:uid="{00000000-0005-0000-0000-000096280000}"/>
    <cellStyle name="Percent 2 13 2 5 2 4 2" xfId="5684" xr:uid="{00000000-0005-0000-0000-000097280000}"/>
    <cellStyle name="Percent 2 13 2 5 2 4 2 2" xfId="9034" xr:uid="{00000000-0005-0000-0000-000098280000}"/>
    <cellStyle name="Percent 2 13 2 5 2 4 3" xfId="10709" xr:uid="{00000000-0005-0000-0000-000099280000}"/>
    <cellStyle name="Percent 2 13 2 5 2 4 4" xfId="7359" xr:uid="{00000000-0005-0000-0000-00009A280000}"/>
    <cellStyle name="Percent 2 13 2 5 2 5" xfId="4268" xr:uid="{00000000-0005-0000-0000-00009B280000}"/>
    <cellStyle name="Percent 2 13 2 5 2 5 2" xfId="5943" xr:uid="{00000000-0005-0000-0000-00009C280000}"/>
    <cellStyle name="Percent 2 13 2 5 2 5 2 2" xfId="9293" xr:uid="{00000000-0005-0000-0000-00009D280000}"/>
    <cellStyle name="Percent 2 13 2 5 2 5 3" xfId="10968" xr:uid="{00000000-0005-0000-0000-00009E280000}"/>
    <cellStyle name="Percent 2 13 2 5 2 5 4" xfId="7618" xr:uid="{00000000-0005-0000-0000-00009F280000}"/>
    <cellStyle name="Percent 2 13 2 5 2 6" xfId="4976" xr:uid="{00000000-0005-0000-0000-0000A0280000}"/>
    <cellStyle name="Percent 2 13 2 5 2 6 2" xfId="8326" xr:uid="{00000000-0005-0000-0000-0000A1280000}"/>
    <cellStyle name="Percent 2 13 2 5 2 7" xfId="10001" xr:uid="{00000000-0005-0000-0000-0000A2280000}"/>
    <cellStyle name="Percent 2 13 2 5 2 8" xfId="6651" xr:uid="{00000000-0005-0000-0000-0000A3280000}"/>
    <cellStyle name="Percent 2 13 2 5 3" xfId="3420" xr:uid="{00000000-0005-0000-0000-0000A4280000}"/>
    <cellStyle name="Percent 2 13 2 5 3 2" xfId="4386" xr:uid="{00000000-0005-0000-0000-0000A5280000}"/>
    <cellStyle name="Percent 2 13 2 5 3 2 2" xfId="6061" xr:uid="{00000000-0005-0000-0000-0000A6280000}"/>
    <cellStyle name="Percent 2 13 2 5 3 2 2 2" xfId="9411" xr:uid="{00000000-0005-0000-0000-0000A7280000}"/>
    <cellStyle name="Percent 2 13 2 5 3 2 3" xfId="11086" xr:uid="{00000000-0005-0000-0000-0000A8280000}"/>
    <cellStyle name="Percent 2 13 2 5 3 2 4" xfId="7736" xr:uid="{00000000-0005-0000-0000-0000A9280000}"/>
    <cellStyle name="Percent 2 13 2 5 3 3" xfId="5094" xr:uid="{00000000-0005-0000-0000-0000AA280000}"/>
    <cellStyle name="Percent 2 13 2 5 3 3 2" xfId="8444" xr:uid="{00000000-0005-0000-0000-0000AB280000}"/>
    <cellStyle name="Percent 2 13 2 5 3 4" xfId="10119" xr:uid="{00000000-0005-0000-0000-0000AC280000}"/>
    <cellStyle name="Percent 2 13 2 5 3 5" xfId="6769" xr:uid="{00000000-0005-0000-0000-0000AD280000}"/>
    <cellStyle name="Percent 2 13 2 5 4" xfId="3655" xr:uid="{00000000-0005-0000-0000-0000AE280000}"/>
    <cellStyle name="Percent 2 13 2 5 4 2" xfId="4622" xr:uid="{00000000-0005-0000-0000-0000AF280000}"/>
    <cellStyle name="Percent 2 13 2 5 4 2 2" xfId="6297" xr:uid="{00000000-0005-0000-0000-0000B0280000}"/>
    <cellStyle name="Percent 2 13 2 5 4 2 2 2" xfId="9647" xr:uid="{00000000-0005-0000-0000-0000B1280000}"/>
    <cellStyle name="Percent 2 13 2 5 4 2 3" xfId="11322" xr:uid="{00000000-0005-0000-0000-0000B2280000}"/>
    <cellStyle name="Percent 2 13 2 5 4 2 4" xfId="7972" xr:uid="{00000000-0005-0000-0000-0000B3280000}"/>
    <cellStyle name="Percent 2 13 2 5 4 3" xfId="5330" xr:uid="{00000000-0005-0000-0000-0000B4280000}"/>
    <cellStyle name="Percent 2 13 2 5 4 3 2" xfId="8680" xr:uid="{00000000-0005-0000-0000-0000B5280000}"/>
    <cellStyle name="Percent 2 13 2 5 4 4" xfId="10355" xr:uid="{00000000-0005-0000-0000-0000B6280000}"/>
    <cellStyle name="Percent 2 13 2 5 4 5" xfId="7005" xr:uid="{00000000-0005-0000-0000-0000B7280000}"/>
    <cellStyle name="Percent 2 13 2 5 5" xfId="3891" xr:uid="{00000000-0005-0000-0000-0000B8280000}"/>
    <cellStyle name="Percent 2 13 2 5 5 2" xfId="5566" xr:uid="{00000000-0005-0000-0000-0000B9280000}"/>
    <cellStyle name="Percent 2 13 2 5 5 2 2" xfId="8916" xr:uid="{00000000-0005-0000-0000-0000BA280000}"/>
    <cellStyle name="Percent 2 13 2 5 5 3" xfId="10591" xr:uid="{00000000-0005-0000-0000-0000BB280000}"/>
    <cellStyle name="Percent 2 13 2 5 5 4" xfId="7241" xr:uid="{00000000-0005-0000-0000-0000BC280000}"/>
    <cellStyle name="Percent 2 13 2 5 6" xfId="4150" xr:uid="{00000000-0005-0000-0000-0000BD280000}"/>
    <cellStyle name="Percent 2 13 2 5 6 2" xfId="5825" xr:uid="{00000000-0005-0000-0000-0000BE280000}"/>
    <cellStyle name="Percent 2 13 2 5 6 2 2" xfId="9175" xr:uid="{00000000-0005-0000-0000-0000BF280000}"/>
    <cellStyle name="Percent 2 13 2 5 6 3" xfId="10850" xr:uid="{00000000-0005-0000-0000-0000C0280000}"/>
    <cellStyle name="Percent 2 13 2 5 6 4" xfId="7500" xr:uid="{00000000-0005-0000-0000-0000C1280000}"/>
    <cellStyle name="Percent 2 13 2 5 7" xfId="4858" xr:uid="{00000000-0005-0000-0000-0000C2280000}"/>
    <cellStyle name="Percent 2 13 2 5 7 2" xfId="8208" xr:uid="{00000000-0005-0000-0000-0000C3280000}"/>
    <cellStyle name="Percent 2 13 2 5 8" xfId="9883" xr:uid="{00000000-0005-0000-0000-0000C4280000}"/>
    <cellStyle name="Percent 2 13 2 5 9" xfId="6533" xr:uid="{00000000-0005-0000-0000-0000C5280000}"/>
    <cellStyle name="Percent 2 13 2 6" xfId="3208" xr:uid="{00000000-0005-0000-0000-0000C6280000}"/>
    <cellStyle name="Percent 2 13 2 6 2" xfId="3444" xr:uid="{00000000-0005-0000-0000-0000C7280000}"/>
    <cellStyle name="Percent 2 13 2 6 2 2" xfId="4410" xr:uid="{00000000-0005-0000-0000-0000C8280000}"/>
    <cellStyle name="Percent 2 13 2 6 2 2 2" xfId="6085" xr:uid="{00000000-0005-0000-0000-0000C9280000}"/>
    <cellStyle name="Percent 2 13 2 6 2 2 2 2" xfId="9435" xr:uid="{00000000-0005-0000-0000-0000CA280000}"/>
    <cellStyle name="Percent 2 13 2 6 2 2 3" xfId="11110" xr:uid="{00000000-0005-0000-0000-0000CB280000}"/>
    <cellStyle name="Percent 2 13 2 6 2 2 4" xfId="7760" xr:uid="{00000000-0005-0000-0000-0000CC280000}"/>
    <cellStyle name="Percent 2 13 2 6 2 3" xfId="5118" xr:uid="{00000000-0005-0000-0000-0000CD280000}"/>
    <cellStyle name="Percent 2 13 2 6 2 3 2" xfId="8468" xr:uid="{00000000-0005-0000-0000-0000CE280000}"/>
    <cellStyle name="Percent 2 13 2 6 2 4" xfId="10143" xr:uid="{00000000-0005-0000-0000-0000CF280000}"/>
    <cellStyle name="Percent 2 13 2 6 2 5" xfId="6793" xr:uid="{00000000-0005-0000-0000-0000D0280000}"/>
    <cellStyle name="Percent 2 13 2 6 3" xfId="3679" xr:uid="{00000000-0005-0000-0000-0000D1280000}"/>
    <cellStyle name="Percent 2 13 2 6 3 2" xfId="4646" xr:uid="{00000000-0005-0000-0000-0000D2280000}"/>
    <cellStyle name="Percent 2 13 2 6 3 2 2" xfId="6321" xr:uid="{00000000-0005-0000-0000-0000D3280000}"/>
    <cellStyle name="Percent 2 13 2 6 3 2 2 2" xfId="9671" xr:uid="{00000000-0005-0000-0000-0000D4280000}"/>
    <cellStyle name="Percent 2 13 2 6 3 2 3" xfId="11346" xr:uid="{00000000-0005-0000-0000-0000D5280000}"/>
    <cellStyle name="Percent 2 13 2 6 3 2 4" xfId="7996" xr:uid="{00000000-0005-0000-0000-0000D6280000}"/>
    <cellStyle name="Percent 2 13 2 6 3 3" xfId="5354" xr:uid="{00000000-0005-0000-0000-0000D7280000}"/>
    <cellStyle name="Percent 2 13 2 6 3 3 2" xfId="8704" xr:uid="{00000000-0005-0000-0000-0000D8280000}"/>
    <cellStyle name="Percent 2 13 2 6 3 4" xfId="10379" xr:uid="{00000000-0005-0000-0000-0000D9280000}"/>
    <cellStyle name="Percent 2 13 2 6 3 5" xfId="7029" xr:uid="{00000000-0005-0000-0000-0000DA280000}"/>
    <cellStyle name="Percent 2 13 2 6 4" xfId="3915" xr:uid="{00000000-0005-0000-0000-0000DB280000}"/>
    <cellStyle name="Percent 2 13 2 6 4 2" xfId="5590" xr:uid="{00000000-0005-0000-0000-0000DC280000}"/>
    <cellStyle name="Percent 2 13 2 6 4 2 2" xfId="8940" xr:uid="{00000000-0005-0000-0000-0000DD280000}"/>
    <cellStyle name="Percent 2 13 2 6 4 3" xfId="10615" xr:uid="{00000000-0005-0000-0000-0000DE280000}"/>
    <cellStyle name="Percent 2 13 2 6 4 4" xfId="7265" xr:uid="{00000000-0005-0000-0000-0000DF280000}"/>
    <cellStyle name="Percent 2 13 2 6 5" xfId="4174" xr:uid="{00000000-0005-0000-0000-0000E0280000}"/>
    <cellStyle name="Percent 2 13 2 6 5 2" xfId="5849" xr:uid="{00000000-0005-0000-0000-0000E1280000}"/>
    <cellStyle name="Percent 2 13 2 6 5 2 2" xfId="9199" xr:uid="{00000000-0005-0000-0000-0000E2280000}"/>
    <cellStyle name="Percent 2 13 2 6 5 3" xfId="10874" xr:uid="{00000000-0005-0000-0000-0000E3280000}"/>
    <cellStyle name="Percent 2 13 2 6 5 4" xfId="7524" xr:uid="{00000000-0005-0000-0000-0000E4280000}"/>
    <cellStyle name="Percent 2 13 2 6 6" xfId="4882" xr:uid="{00000000-0005-0000-0000-0000E5280000}"/>
    <cellStyle name="Percent 2 13 2 6 6 2" xfId="8232" xr:uid="{00000000-0005-0000-0000-0000E6280000}"/>
    <cellStyle name="Percent 2 13 2 6 7" xfId="9907" xr:uid="{00000000-0005-0000-0000-0000E7280000}"/>
    <cellStyle name="Percent 2 13 2 6 8" xfId="6557" xr:uid="{00000000-0005-0000-0000-0000E8280000}"/>
    <cellStyle name="Percent 2 13 2 7" xfId="3326" xr:uid="{00000000-0005-0000-0000-0000E9280000}"/>
    <cellStyle name="Percent 2 13 2 7 2" xfId="4292" xr:uid="{00000000-0005-0000-0000-0000EA280000}"/>
    <cellStyle name="Percent 2 13 2 7 2 2" xfId="5967" xr:uid="{00000000-0005-0000-0000-0000EB280000}"/>
    <cellStyle name="Percent 2 13 2 7 2 2 2" xfId="9317" xr:uid="{00000000-0005-0000-0000-0000EC280000}"/>
    <cellStyle name="Percent 2 13 2 7 2 3" xfId="10992" xr:uid="{00000000-0005-0000-0000-0000ED280000}"/>
    <cellStyle name="Percent 2 13 2 7 2 4" xfId="7642" xr:uid="{00000000-0005-0000-0000-0000EE280000}"/>
    <cellStyle name="Percent 2 13 2 7 3" xfId="5000" xr:uid="{00000000-0005-0000-0000-0000EF280000}"/>
    <cellStyle name="Percent 2 13 2 7 3 2" xfId="8350" xr:uid="{00000000-0005-0000-0000-0000F0280000}"/>
    <cellStyle name="Percent 2 13 2 7 4" xfId="10025" xr:uid="{00000000-0005-0000-0000-0000F1280000}"/>
    <cellStyle name="Percent 2 13 2 7 5" xfId="6675" xr:uid="{00000000-0005-0000-0000-0000F2280000}"/>
    <cellStyle name="Percent 2 13 2 8" xfId="3561" xr:uid="{00000000-0005-0000-0000-0000F3280000}"/>
    <cellStyle name="Percent 2 13 2 8 2" xfId="4528" xr:uid="{00000000-0005-0000-0000-0000F4280000}"/>
    <cellStyle name="Percent 2 13 2 8 2 2" xfId="6203" xr:uid="{00000000-0005-0000-0000-0000F5280000}"/>
    <cellStyle name="Percent 2 13 2 8 2 2 2" xfId="9553" xr:uid="{00000000-0005-0000-0000-0000F6280000}"/>
    <cellStyle name="Percent 2 13 2 8 2 3" xfId="11228" xr:uid="{00000000-0005-0000-0000-0000F7280000}"/>
    <cellStyle name="Percent 2 13 2 8 2 4" xfId="7878" xr:uid="{00000000-0005-0000-0000-0000F8280000}"/>
    <cellStyle name="Percent 2 13 2 8 3" xfId="5236" xr:uid="{00000000-0005-0000-0000-0000F9280000}"/>
    <cellStyle name="Percent 2 13 2 8 3 2" xfId="8586" xr:uid="{00000000-0005-0000-0000-0000FA280000}"/>
    <cellStyle name="Percent 2 13 2 8 4" xfId="10261" xr:uid="{00000000-0005-0000-0000-0000FB280000}"/>
    <cellStyle name="Percent 2 13 2 8 5" xfId="6911" xr:uid="{00000000-0005-0000-0000-0000FC280000}"/>
    <cellStyle name="Percent 2 13 2 9" xfId="3797" xr:uid="{00000000-0005-0000-0000-0000FD280000}"/>
    <cellStyle name="Percent 2 13 2 9 2" xfId="4056" xr:uid="{00000000-0005-0000-0000-0000FE280000}"/>
    <cellStyle name="Percent 2 13 2 9 2 2" xfId="5731" xr:uid="{00000000-0005-0000-0000-0000FF280000}"/>
    <cellStyle name="Percent 2 13 2 9 2 2 2" xfId="9081" xr:uid="{00000000-0005-0000-0000-000000290000}"/>
    <cellStyle name="Percent 2 13 2 9 2 3" xfId="10756" xr:uid="{00000000-0005-0000-0000-000001290000}"/>
    <cellStyle name="Percent 2 13 2 9 2 4" xfId="7406" xr:uid="{00000000-0005-0000-0000-000002290000}"/>
    <cellStyle name="Percent 2 13 2 9 3" xfId="5472" xr:uid="{00000000-0005-0000-0000-000003290000}"/>
    <cellStyle name="Percent 2 13 2 9 3 2" xfId="8822" xr:uid="{00000000-0005-0000-0000-000004290000}"/>
    <cellStyle name="Percent 2 13 2 9 4" xfId="10497" xr:uid="{00000000-0005-0000-0000-000005290000}"/>
    <cellStyle name="Percent 2 13 2 9 5" xfId="7147" xr:uid="{00000000-0005-0000-0000-000006290000}"/>
    <cellStyle name="Percent 2 13 3" xfId="27" xr:uid="{FD254EB7-BF66-48FB-BE26-B6A0448692AB}"/>
    <cellStyle name="Percent 2 13 4" xfId="12196" xr:uid="{00000000-0005-0000-0000-0000670C0000}"/>
    <cellStyle name="Percent 2 13 4 2" xfId="12197" xr:uid="{00000000-0005-0000-0000-0000680C0000}"/>
    <cellStyle name="Percent 2 13 5" xfId="12198" xr:uid="{00000000-0005-0000-0000-0000690C0000}"/>
    <cellStyle name="Percent 2 14" xfId="2266" xr:uid="{00000000-0005-0000-0000-0000E4090000}"/>
    <cellStyle name="Percent 2 14 10" xfId="4032" xr:uid="{00000000-0005-0000-0000-000008290000}"/>
    <cellStyle name="Percent 2 14 10 2" xfId="5707" xr:uid="{00000000-0005-0000-0000-000009290000}"/>
    <cellStyle name="Percent 2 14 10 2 2" xfId="9057" xr:uid="{00000000-0005-0000-0000-00000A290000}"/>
    <cellStyle name="Percent 2 14 10 3" xfId="10732" xr:uid="{00000000-0005-0000-0000-00000B290000}"/>
    <cellStyle name="Percent 2 14 10 4" xfId="7382" xr:uid="{00000000-0005-0000-0000-00000C290000}"/>
    <cellStyle name="Percent 2 14 11" xfId="4763" xr:uid="{00000000-0005-0000-0000-00000D290000}"/>
    <cellStyle name="Percent 2 14 11 2" xfId="8113" xr:uid="{00000000-0005-0000-0000-00000E290000}"/>
    <cellStyle name="Percent 2 14 12" xfId="9788" xr:uid="{00000000-0005-0000-0000-00000F290000}"/>
    <cellStyle name="Percent 2 14 13" xfId="6438" xr:uid="{00000000-0005-0000-0000-000010290000}"/>
    <cellStyle name="Percent 2 14 14" xfId="2869" xr:uid="{00000000-0005-0000-0000-000007290000}"/>
    <cellStyle name="Percent 2 14 2" xfId="3113" xr:uid="{00000000-0005-0000-0000-000011290000}"/>
    <cellStyle name="Percent 2 14 2 2" xfId="3230" xr:uid="{00000000-0005-0000-0000-000012290000}"/>
    <cellStyle name="Percent 2 14 2 2 2" xfId="3466" xr:uid="{00000000-0005-0000-0000-000013290000}"/>
    <cellStyle name="Percent 2 14 2 2 2 2" xfId="4432" xr:uid="{00000000-0005-0000-0000-000014290000}"/>
    <cellStyle name="Percent 2 14 2 2 2 2 2" xfId="6107" xr:uid="{00000000-0005-0000-0000-000015290000}"/>
    <cellStyle name="Percent 2 14 2 2 2 2 2 2" xfId="9457" xr:uid="{00000000-0005-0000-0000-000016290000}"/>
    <cellStyle name="Percent 2 14 2 2 2 2 3" xfId="11132" xr:uid="{00000000-0005-0000-0000-000017290000}"/>
    <cellStyle name="Percent 2 14 2 2 2 2 4" xfId="7782" xr:uid="{00000000-0005-0000-0000-000018290000}"/>
    <cellStyle name="Percent 2 14 2 2 2 3" xfId="5140" xr:uid="{00000000-0005-0000-0000-000019290000}"/>
    <cellStyle name="Percent 2 14 2 2 2 3 2" xfId="8490" xr:uid="{00000000-0005-0000-0000-00001A290000}"/>
    <cellStyle name="Percent 2 14 2 2 2 4" xfId="10165" xr:uid="{00000000-0005-0000-0000-00001B290000}"/>
    <cellStyle name="Percent 2 14 2 2 2 5" xfId="6815" xr:uid="{00000000-0005-0000-0000-00001C290000}"/>
    <cellStyle name="Percent 2 14 2 2 3" xfId="3701" xr:uid="{00000000-0005-0000-0000-00001D290000}"/>
    <cellStyle name="Percent 2 14 2 2 3 2" xfId="4668" xr:uid="{00000000-0005-0000-0000-00001E290000}"/>
    <cellStyle name="Percent 2 14 2 2 3 2 2" xfId="6343" xr:uid="{00000000-0005-0000-0000-00001F290000}"/>
    <cellStyle name="Percent 2 14 2 2 3 2 2 2" xfId="9693" xr:uid="{00000000-0005-0000-0000-000020290000}"/>
    <cellStyle name="Percent 2 14 2 2 3 2 3" xfId="11368" xr:uid="{00000000-0005-0000-0000-000021290000}"/>
    <cellStyle name="Percent 2 14 2 2 3 2 4" xfId="8018" xr:uid="{00000000-0005-0000-0000-000022290000}"/>
    <cellStyle name="Percent 2 14 2 2 3 3" xfId="5376" xr:uid="{00000000-0005-0000-0000-000023290000}"/>
    <cellStyle name="Percent 2 14 2 2 3 3 2" xfId="8726" xr:uid="{00000000-0005-0000-0000-000024290000}"/>
    <cellStyle name="Percent 2 14 2 2 3 4" xfId="10401" xr:uid="{00000000-0005-0000-0000-000025290000}"/>
    <cellStyle name="Percent 2 14 2 2 3 5" xfId="7051" xr:uid="{00000000-0005-0000-0000-000026290000}"/>
    <cellStyle name="Percent 2 14 2 2 4" xfId="3937" xr:uid="{00000000-0005-0000-0000-000027290000}"/>
    <cellStyle name="Percent 2 14 2 2 4 2" xfId="5612" xr:uid="{00000000-0005-0000-0000-000028290000}"/>
    <cellStyle name="Percent 2 14 2 2 4 2 2" xfId="8962" xr:uid="{00000000-0005-0000-0000-000029290000}"/>
    <cellStyle name="Percent 2 14 2 2 4 3" xfId="10637" xr:uid="{00000000-0005-0000-0000-00002A290000}"/>
    <cellStyle name="Percent 2 14 2 2 4 4" xfId="7287" xr:uid="{00000000-0005-0000-0000-00002B290000}"/>
    <cellStyle name="Percent 2 14 2 2 5" xfId="4196" xr:uid="{00000000-0005-0000-0000-00002C290000}"/>
    <cellStyle name="Percent 2 14 2 2 5 2" xfId="5871" xr:uid="{00000000-0005-0000-0000-00002D290000}"/>
    <cellStyle name="Percent 2 14 2 2 5 2 2" xfId="9221" xr:uid="{00000000-0005-0000-0000-00002E290000}"/>
    <cellStyle name="Percent 2 14 2 2 5 3" xfId="10896" xr:uid="{00000000-0005-0000-0000-00002F290000}"/>
    <cellStyle name="Percent 2 14 2 2 5 4" xfId="7546" xr:uid="{00000000-0005-0000-0000-000030290000}"/>
    <cellStyle name="Percent 2 14 2 2 6" xfId="4904" xr:uid="{00000000-0005-0000-0000-000031290000}"/>
    <cellStyle name="Percent 2 14 2 2 6 2" xfId="8254" xr:uid="{00000000-0005-0000-0000-000032290000}"/>
    <cellStyle name="Percent 2 14 2 2 7" xfId="9929" xr:uid="{00000000-0005-0000-0000-000033290000}"/>
    <cellStyle name="Percent 2 14 2 2 8" xfId="6579" xr:uid="{00000000-0005-0000-0000-000034290000}"/>
    <cellStyle name="Percent 2 14 2 3" xfId="3348" xr:uid="{00000000-0005-0000-0000-000035290000}"/>
    <cellStyle name="Percent 2 14 2 3 2" xfId="4314" xr:uid="{00000000-0005-0000-0000-000036290000}"/>
    <cellStyle name="Percent 2 14 2 3 2 2" xfId="5989" xr:uid="{00000000-0005-0000-0000-000037290000}"/>
    <cellStyle name="Percent 2 14 2 3 2 2 2" xfId="9339" xr:uid="{00000000-0005-0000-0000-000038290000}"/>
    <cellStyle name="Percent 2 14 2 3 2 3" xfId="11014" xr:uid="{00000000-0005-0000-0000-000039290000}"/>
    <cellStyle name="Percent 2 14 2 3 2 4" xfId="7664" xr:uid="{00000000-0005-0000-0000-00003A290000}"/>
    <cellStyle name="Percent 2 14 2 3 3" xfId="5022" xr:uid="{00000000-0005-0000-0000-00003B290000}"/>
    <cellStyle name="Percent 2 14 2 3 3 2" xfId="8372" xr:uid="{00000000-0005-0000-0000-00003C290000}"/>
    <cellStyle name="Percent 2 14 2 3 4" xfId="10047" xr:uid="{00000000-0005-0000-0000-00003D290000}"/>
    <cellStyle name="Percent 2 14 2 3 5" xfId="6697" xr:uid="{00000000-0005-0000-0000-00003E290000}"/>
    <cellStyle name="Percent 2 14 2 4" xfId="3583" xr:uid="{00000000-0005-0000-0000-00003F290000}"/>
    <cellStyle name="Percent 2 14 2 4 2" xfId="4550" xr:uid="{00000000-0005-0000-0000-000040290000}"/>
    <cellStyle name="Percent 2 14 2 4 2 2" xfId="6225" xr:uid="{00000000-0005-0000-0000-000041290000}"/>
    <cellStyle name="Percent 2 14 2 4 2 2 2" xfId="9575" xr:uid="{00000000-0005-0000-0000-000042290000}"/>
    <cellStyle name="Percent 2 14 2 4 2 3" xfId="11250" xr:uid="{00000000-0005-0000-0000-000043290000}"/>
    <cellStyle name="Percent 2 14 2 4 2 4" xfId="7900" xr:uid="{00000000-0005-0000-0000-000044290000}"/>
    <cellStyle name="Percent 2 14 2 4 3" xfId="5258" xr:uid="{00000000-0005-0000-0000-000045290000}"/>
    <cellStyle name="Percent 2 14 2 4 3 2" xfId="8608" xr:uid="{00000000-0005-0000-0000-000046290000}"/>
    <cellStyle name="Percent 2 14 2 4 4" xfId="10283" xr:uid="{00000000-0005-0000-0000-000047290000}"/>
    <cellStyle name="Percent 2 14 2 4 5" xfId="6933" xr:uid="{00000000-0005-0000-0000-000048290000}"/>
    <cellStyle name="Percent 2 14 2 5" xfId="3819" xr:uid="{00000000-0005-0000-0000-000049290000}"/>
    <cellStyle name="Percent 2 14 2 5 2" xfId="5494" xr:uid="{00000000-0005-0000-0000-00004A290000}"/>
    <cellStyle name="Percent 2 14 2 5 2 2" xfId="8844" xr:uid="{00000000-0005-0000-0000-00004B290000}"/>
    <cellStyle name="Percent 2 14 2 5 3" xfId="10519" xr:uid="{00000000-0005-0000-0000-00004C290000}"/>
    <cellStyle name="Percent 2 14 2 5 4" xfId="7169" xr:uid="{00000000-0005-0000-0000-00004D290000}"/>
    <cellStyle name="Percent 2 14 2 6" xfId="4078" xr:uid="{00000000-0005-0000-0000-00004E290000}"/>
    <cellStyle name="Percent 2 14 2 6 2" xfId="5753" xr:uid="{00000000-0005-0000-0000-00004F290000}"/>
    <cellStyle name="Percent 2 14 2 6 2 2" xfId="9103" xr:uid="{00000000-0005-0000-0000-000050290000}"/>
    <cellStyle name="Percent 2 14 2 6 3" xfId="10778" xr:uid="{00000000-0005-0000-0000-000051290000}"/>
    <cellStyle name="Percent 2 14 2 6 4" xfId="7428" xr:uid="{00000000-0005-0000-0000-000052290000}"/>
    <cellStyle name="Percent 2 14 2 7" xfId="4786" xr:uid="{00000000-0005-0000-0000-000053290000}"/>
    <cellStyle name="Percent 2 14 2 7 2" xfId="8136" xr:uid="{00000000-0005-0000-0000-000054290000}"/>
    <cellStyle name="Percent 2 14 2 8" xfId="9811" xr:uid="{00000000-0005-0000-0000-000055290000}"/>
    <cellStyle name="Percent 2 14 2 9" xfId="6461" xr:uid="{00000000-0005-0000-0000-000056290000}"/>
    <cellStyle name="Percent 2 14 3" xfId="3136" xr:uid="{00000000-0005-0000-0000-000057290000}"/>
    <cellStyle name="Percent 2 14 3 2" xfId="3253" xr:uid="{00000000-0005-0000-0000-000058290000}"/>
    <cellStyle name="Percent 2 14 3 2 2" xfId="3489" xr:uid="{00000000-0005-0000-0000-000059290000}"/>
    <cellStyle name="Percent 2 14 3 2 2 2" xfId="4455" xr:uid="{00000000-0005-0000-0000-00005A290000}"/>
    <cellStyle name="Percent 2 14 3 2 2 2 2" xfId="6130" xr:uid="{00000000-0005-0000-0000-00005B290000}"/>
    <cellStyle name="Percent 2 14 3 2 2 2 2 2" xfId="9480" xr:uid="{00000000-0005-0000-0000-00005C290000}"/>
    <cellStyle name="Percent 2 14 3 2 2 2 3" xfId="11155" xr:uid="{00000000-0005-0000-0000-00005D290000}"/>
    <cellStyle name="Percent 2 14 3 2 2 2 4" xfId="7805" xr:uid="{00000000-0005-0000-0000-00005E290000}"/>
    <cellStyle name="Percent 2 14 3 2 2 3" xfId="5163" xr:uid="{00000000-0005-0000-0000-00005F290000}"/>
    <cellStyle name="Percent 2 14 3 2 2 3 2" xfId="8513" xr:uid="{00000000-0005-0000-0000-000060290000}"/>
    <cellStyle name="Percent 2 14 3 2 2 4" xfId="10188" xr:uid="{00000000-0005-0000-0000-000061290000}"/>
    <cellStyle name="Percent 2 14 3 2 2 5" xfId="6838" xr:uid="{00000000-0005-0000-0000-000062290000}"/>
    <cellStyle name="Percent 2 14 3 2 3" xfId="3724" xr:uid="{00000000-0005-0000-0000-000063290000}"/>
    <cellStyle name="Percent 2 14 3 2 3 2" xfId="4691" xr:uid="{00000000-0005-0000-0000-000064290000}"/>
    <cellStyle name="Percent 2 14 3 2 3 2 2" xfId="6366" xr:uid="{00000000-0005-0000-0000-000065290000}"/>
    <cellStyle name="Percent 2 14 3 2 3 2 2 2" xfId="9716" xr:uid="{00000000-0005-0000-0000-000066290000}"/>
    <cellStyle name="Percent 2 14 3 2 3 2 3" xfId="11391" xr:uid="{00000000-0005-0000-0000-000067290000}"/>
    <cellStyle name="Percent 2 14 3 2 3 2 4" xfId="8041" xr:uid="{00000000-0005-0000-0000-000068290000}"/>
    <cellStyle name="Percent 2 14 3 2 3 3" xfId="5399" xr:uid="{00000000-0005-0000-0000-000069290000}"/>
    <cellStyle name="Percent 2 14 3 2 3 3 2" xfId="8749" xr:uid="{00000000-0005-0000-0000-00006A290000}"/>
    <cellStyle name="Percent 2 14 3 2 3 4" xfId="10424" xr:uid="{00000000-0005-0000-0000-00006B290000}"/>
    <cellStyle name="Percent 2 14 3 2 3 5" xfId="7074" xr:uid="{00000000-0005-0000-0000-00006C290000}"/>
    <cellStyle name="Percent 2 14 3 2 4" xfId="3960" xr:uid="{00000000-0005-0000-0000-00006D290000}"/>
    <cellStyle name="Percent 2 14 3 2 4 2" xfId="5635" xr:uid="{00000000-0005-0000-0000-00006E290000}"/>
    <cellStyle name="Percent 2 14 3 2 4 2 2" xfId="8985" xr:uid="{00000000-0005-0000-0000-00006F290000}"/>
    <cellStyle name="Percent 2 14 3 2 4 3" xfId="10660" xr:uid="{00000000-0005-0000-0000-000070290000}"/>
    <cellStyle name="Percent 2 14 3 2 4 4" xfId="7310" xr:uid="{00000000-0005-0000-0000-000071290000}"/>
    <cellStyle name="Percent 2 14 3 2 5" xfId="4219" xr:uid="{00000000-0005-0000-0000-000072290000}"/>
    <cellStyle name="Percent 2 14 3 2 5 2" xfId="5894" xr:uid="{00000000-0005-0000-0000-000073290000}"/>
    <cellStyle name="Percent 2 14 3 2 5 2 2" xfId="9244" xr:uid="{00000000-0005-0000-0000-000074290000}"/>
    <cellStyle name="Percent 2 14 3 2 5 3" xfId="10919" xr:uid="{00000000-0005-0000-0000-000075290000}"/>
    <cellStyle name="Percent 2 14 3 2 5 4" xfId="7569" xr:uid="{00000000-0005-0000-0000-000076290000}"/>
    <cellStyle name="Percent 2 14 3 2 6" xfId="4927" xr:uid="{00000000-0005-0000-0000-000077290000}"/>
    <cellStyle name="Percent 2 14 3 2 6 2" xfId="8277" xr:uid="{00000000-0005-0000-0000-000078290000}"/>
    <cellStyle name="Percent 2 14 3 2 7" xfId="9952" xr:uid="{00000000-0005-0000-0000-000079290000}"/>
    <cellStyle name="Percent 2 14 3 2 8" xfId="6602" xr:uid="{00000000-0005-0000-0000-00007A290000}"/>
    <cellStyle name="Percent 2 14 3 3" xfId="3371" xr:uid="{00000000-0005-0000-0000-00007B290000}"/>
    <cellStyle name="Percent 2 14 3 3 2" xfId="4337" xr:uid="{00000000-0005-0000-0000-00007C290000}"/>
    <cellStyle name="Percent 2 14 3 3 2 2" xfId="6012" xr:uid="{00000000-0005-0000-0000-00007D290000}"/>
    <cellStyle name="Percent 2 14 3 3 2 2 2" xfId="9362" xr:uid="{00000000-0005-0000-0000-00007E290000}"/>
    <cellStyle name="Percent 2 14 3 3 2 3" xfId="11037" xr:uid="{00000000-0005-0000-0000-00007F290000}"/>
    <cellStyle name="Percent 2 14 3 3 2 4" xfId="7687" xr:uid="{00000000-0005-0000-0000-000080290000}"/>
    <cellStyle name="Percent 2 14 3 3 3" xfId="5045" xr:uid="{00000000-0005-0000-0000-000081290000}"/>
    <cellStyle name="Percent 2 14 3 3 3 2" xfId="8395" xr:uid="{00000000-0005-0000-0000-000082290000}"/>
    <cellStyle name="Percent 2 14 3 3 4" xfId="10070" xr:uid="{00000000-0005-0000-0000-000083290000}"/>
    <cellStyle name="Percent 2 14 3 3 5" xfId="6720" xr:uid="{00000000-0005-0000-0000-000084290000}"/>
    <cellStyle name="Percent 2 14 3 4" xfId="3606" xr:uid="{00000000-0005-0000-0000-000085290000}"/>
    <cellStyle name="Percent 2 14 3 4 2" xfId="4573" xr:uid="{00000000-0005-0000-0000-000086290000}"/>
    <cellStyle name="Percent 2 14 3 4 2 2" xfId="6248" xr:uid="{00000000-0005-0000-0000-000087290000}"/>
    <cellStyle name="Percent 2 14 3 4 2 2 2" xfId="9598" xr:uid="{00000000-0005-0000-0000-000088290000}"/>
    <cellStyle name="Percent 2 14 3 4 2 3" xfId="11273" xr:uid="{00000000-0005-0000-0000-000089290000}"/>
    <cellStyle name="Percent 2 14 3 4 2 4" xfId="7923" xr:uid="{00000000-0005-0000-0000-00008A290000}"/>
    <cellStyle name="Percent 2 14 3 4 3" xfId="5281" xr:uid="{00000000-0005-0000-0000-00008B290000}"/>
    <cellStyle name="Percent 2 14 3 4 3 2" xfId="8631" xr:uid="{00000000-0005-0000-0000-00008C290000}"/>
    <cellStyle name="Percent 2 14 3 4 4" xfId="10306" xr:uid="{00000000-0005-0000-0000-00008D290000}"/>
    <cellStyle name="Percent 2 14 3 4 5" xfId="6956" xr:uid="{00000000-0005-0000-0000-00008E290000}"/>
    <cellStyle name="Percent 2 14 3 5" xfId="3842" xr:uid="{00000000-0005-0000-0000-00008F290000}"/>
    <cellStyle name="Percent 2 14 3 5 2" xfId="5517" xr:uid="{00000000-0005-0000-0000-000090290000}"/>
    <cellStyle name="Percent 2 14 3 5 2 2" xfId="8867" xr:uid="{00000000-0005-0000-0000-000091290000}"/>
    <cellStyle name="Percent 2 14 3 5 3" xfId="10542" xr:uid="{00000000-0005-0000-0000-000092290000}"/>
    <cellStyle name="Percent 2 14 3 5 4" xfId="7192" xr:uid="{00000000-0005-0000-0000-000093290000}"/>
    <cellStyle name="Percent 2 14 3 6" xfId="4101" xr:uid="{00000000-0005-0000-0000-000094290000}"/>
    <cellStyle name="Percent 2 14 3 6 2" xfId="5776" xr:uid="{00000000-0005-0000-0000-000095290000}"/>
    <cellStyle name="Percent 2 14 3 6 2 2" xfId="9126" xr:uid="{00000000-0005-0000-0000-000096290000}"/>
    <cellStyle name="Percent 2 14 3 6 3" xfId="10801" xr:uid="{00000000-0005-0000-0000-000097290000}"/>
    <cellStyle name="Percent 2 14 3 6 4" xfId="7451" xr:uid="{00000000-0005-0000-0000-000098290000}"/>
    <cellStyle name="Percent 2 14 3 7" xfId="4809" xr:uid="{00000000-0005-0000-0000-000099290000}"/>
    <cellStyle name="Percent 2 14 3 7 2" xfId="8159" xr:uid="{00000000-0005-0000-0000-00009A290000}"/>
    <cellStyle name="Percent 2 14 3 8" xfId="9834" xr:uid="{00000000-0005-0000-0000-00009B290000}"/>
    <cellStyle name="Percent 2 14 3 9" xfId="6484" xr:uid="{00000000-0005-0000-0000-00009C290000}"/>
    <cellStyle name="Percent 2 14 4" xfId="3159" xr:uid="{00000000-0005-0000-0000-00009D290000}"/>
    <cellStyle name="Percent 2 14 4 2" xfId="3277" xr:uid="{00000000-0005-0000-0000-00009E290000}"/>
    <cellStyle name="Percent 2 14 4 2 2" xfId="3513" xr:uid="{00000000-0005-0000-0000-00009F290000}"/>
    <cellStyle name="Percent 2 14 4 2 2 2" xfId="4479" xr:uid="{00000000-0005-0000-0000-0000A0290000}"/>
    <cellStyle name="Percent 2 14 4 2 2 2 2" xfId="6154" xr:uid="{00000000-0005-0000-0000-0000A1290000}"/>
    <cellStyle name="Percent 2 14 4 2 2 2 2 2" xfId="9504" xr:uid="{00000000-0005-0000-0000-0000A2290000}"/>
    <cellStyle name="Percent 2 14 4 2 2 2 3" xfId="11179" xr:uid="{00000000-0005-0000-0000-0000A3290000}"/>
    <cellStyle name="Percent 2 14 4 2 2 2 4" xfId="7829" xr:uid="{00000000-0005-0000-0000-0000A4290000}"/>
    <cellStyle name="Percent 2 14 4 2 2 3" xfId="5187" xr:uid="{00000000-0005-0000-0000-0000A5290000}"/>
    <cellStyle name="Percent 2 14 4 2 2 3 2" xfId="8537" xr:uid="{00000000-0005-0000-0000-0000A6290000}"/>
    <cellStyle name="Percent 2 14 4 2 2 4" xfId="10212" xr:uid="{00000000-0005-0000-0000-0000A7290000}"/>
    <cellStyle name="Percent 2 14 4 2 2 5" xfId="6862" xr:uid="{00000000-0005-0000-0000-0000A8290000}"/>
    <cellStyle name="Percent 2 14 4 2 3" xfId="3748" xr:uid="{00000000-0005-0000-0000-0000A9290000}"/>
    <cellStyle name="Percent 2 14 4 2 3 2" xfId="4715" xr:uid="{00000000-0005-0000-0000-0000AA290000}"/>
    <cellStyle name="Percent 2 14 4 2 3 2 2" xfId="6390" xr:uid="{00000000-0005-0000-0000-0000AB290000}"/>
    <cellStyle name="Percent 2 14 4 2 3 2 2 2" xfId="9740" xr:uid="{00000000-0005-0000-0000-0000AC290000}"/>
    <cellStyle name="Percent 2 14 4 2 3 2 3" xfId="11415" xr:uid="{00000000-0005-0000-0000-0000AD290000}"/>
    <cellStyle name="Percent 2 14 4 2 3 2 4" xfId="8065" xr:uid="{00000000-0005-0000-0000-0000AE290000}"/>
    <cellStyle name="Percent 2 14 4 2 3 3" xfId="5423" xr:uid="{00000000-0005-0000-0000-0000AF290000}"/>
    <cellStyle name="Percent 2 14 4 2 3 3 2" xfId="8773" xr:uid="{00000000-0005-0000-0000-0000B0290000}"/>
    <cellStyle name="Percent 2 14 4 2 3 4" xfId="10448" xr:uid="{00000000-0005-0000-0000-0000B1290000}"/>
    <cellStyle name="Percent 2 14 4 2 3 5" xfId="7098" xr:uid="{00000000-0005-0000-0000-0000B2290000}"/>
    <cellStyle name="Percent 2 14 4 2 4" xfId="3984" xr:uid="{00000000-0005-0000-0000-0000B3290000}"/>
    <cellStyle name="Percent 2 14 4 2 4 2" xfId="5659" xr:uid="{00000000-0005-0000-0000-0000B4290000}"/>
    <cellStyle name="Percent 2 14 4 2 4 2 2" xfId="9009" xr:uid="{00000000-0005-0000-0000-0000B5290000}"/>
    <cellStyle name="Percent 2 14 4 2 4 3" xfId="10684" xr:uid="{00000000-0005-0000-0000-0000B6290000}"/>
    <cellStyle name="Percent 2 14 4 2 4 4" xfId="7334" xr:uid="{00000000-0005-0000-0000-0000B7290000}"/>
    <cellStyle name="Percent 2 14 4 2 5" xfId="4243" xr:uid="{00000000-0005-0000-0000-0000B8290000}"/>
    <cellStyle name="Percent 2 14 4 2 5 2" xfId="5918" xr:uid="{00000000-0005-0000-0000-0000B9290000}"/>
    <cellStyle name="Percent 2 14 4 2 5 2 2" xfId="9268" xr:uid="{00000000-0005-0000-0000-0000BA290000}"/>
    <cellStyle name="Percent 2 14 4 2 5 3" xfId="10943" xr:uid="{00000000-0005-0000-0000-0000BB290000}"/>
    <cellStyle name="Percent 2 14 4 2 5 4" xfId="7593" xr:uid="{00000000-0005-0000-0000-0000BC290000}"/>
    <cellStyle name="Percent 2 14 4 2 6" xfId="4951" xr:uid="{00000000-0005-0000-0000-0000BD290000}"/>
    <cellStyle name="Percent 2 14 4 2 6 2" xfId="8301" xr:uid="{00000000-0005-0000-0000-0000BE290000}"/>
    <cellStyle name="Percent 2 14 4 2 7" xfId="9976" xr:uid="{00000000-0005-0000-0000-0000BF290000}"/>
    <cellStyle name="Percent 2 14 4 2 8" xfId="6626" xr:uid="{00000000-0005-0000-0000-0000C0290000}"/>
    <cellStyle name="Percent 2 14 4 3" xfId="3395" xr:uid="{00000000-0005-0000-0000-0000C1290000}"/>
    <cellStyle name="Percent 2 14 4 3 2" xfId="4361" xr:uid="{00000000-0005-0000-0000-0000C2290000}"/>
    <cellStyle name="Percent 2 14 4 3 2 2" xfId="6036" xr:uid="{00000000-0005-0000-0000-0000C3290000}"/>
    <cellStyle name="Percent 2 14 4 3 2 2 2" xfId="9386" xr:uid="{00000000-0005-0000-0000-0000C4290000}"/>
    <cellStyle name="Percent 2 14 4 3 2 3" xfId="11061" xr:uid="{00000000-0005-0000-0000-0000C5290000}"/>
    <cellStyle name="Percent 2 14 4 3 2 4" xfId="7711" xr:uid="{00000000-0005-0000-0000-0000C6290000}"/>
    <cellStyle name="Percent 2 14 4 3 3" xfId="5069" xr:uid="{00000000-0005-0000-0000-0000C7290000}"/>
    <cellStyle name="Percent 2 14 4 3 3 2" xfId="8419" xr:uid="{00000000-0005-0000-0000-0000C8290000}"/>
    <cellStyle name="Percent 2 14 4 3 4" xfId="10094" xr:uid="{00000000-0005-0000-0000-0000C9290000}"/>
    <cellStyle name="Percent 2 14 4 3 5" xfId="6744" xr:uid="{00000000-0005-0000-0000-0000CA290000}"/>
    <cellStyle name="Percent 2 14 4 4" xfId="3630" xr:uid="{00000000-0005-0000-0000-0000CB290000}"/>
    <cellStyle name="Percent 2 14 4 4 2" xfId="4597" xr:uid="{00000000-0005-0000-0000-0000CC290000}"/>
    <cellStyle name="Percent 2 14 4 4 2 2" xfId="6272" xr:uid="{00000000-0005-0000-0000-0000CD290000}"/>
    <cellStyle name="Percent 2 14 4 4 2 2 2" xfId="9622" xr:uid="{00000000-0005-0000-0000-0000CE290000}"/>
    <cellStyle name="Percent 2 14 4 4 2 3" xfId="11297" xr:uid="{00000000-0005-0000-0000-0000CF290000}"/>
    <cellStyle name="Percent 2 14 4 4 2 4" xfId="7947" xr:uid="{00000000-0005-0000-0000-0000D0290000}"/>
    <cellStyle name="Percent 2 14 4 4 3" xfId="5305" xr:uid="{00000000-0005-0000-0000-0000D1290000}"/>
    <cellStyle name="Percent 2 14 4 4 3 2" xfId="8655" xr:uid="{00000000-0005-0000-0000-0000D2290000}"/>
    <cellStyle name="Percent 2 14 4 4 4" xfId="10330" xr:uid="{00000000-0005-0000-0000-0000D3290000}"/>
    <cellStyle name="Percent 2 14 4 4 5" xfId="6980" xr:uid="{00000000-0005-0000-0000-0000D4290000}"/>
    <cellStyle name="Percent 2 14 4 5" xfId="3866" xr:uid="{00000000-0005-0000-0000-0000D5290000}"/>
    <cellStyle name="Percent 2 14 4 5 2" xfId="5541" xr:uid="{00000000-0005-0000-0000-0000D6290000}"/>
    <cellStyle name="Percent 2 14 4 5 2 2" xfId="8891" xr:uid="{00000000-0005-0000-0000-0000D7290000}"/>
    <cellStyle name="Percent 2 14 4 5 3" xfId="10566" xr:uid="{00000000-0005-0000-0000-0000D8290000}"/>
    <cellStyle name="Percent 2 14 4 5 4" xfId="7216" xr:uid="{00000000-0005-0000-0000-0000D9290000}"/>
    <cellStyle name="Percent 2 14 4 6" xfId="4125" xr:uid="{00000000-0005-0000-0000-0000DA290000}"/>
    <cellStyle name="Percent 2 14 4 6 2" xfId="5800" xr:uid="{00000000-0005-0000-0000-0000DB290000}"/>
    <cellStyle name="Percent 2 14 4 6 2 2" xfId="9150" xr:uid="{00000000-0005-0000-0000-0000DC290000}"/>
    <cellStyle name="Percent 2 14 4 6 3" xfId="10825" xr:uid="{00000000-0005-0000-0000-0000DD290000}"/>
    <cellStyle name="Percent 2 14 4 6 4" xfId="7475" xr:uid="{00000000-0005-0000-0000-0000DE290000}"/>
    <cellStyle name="Percent 2 14 4 7" xfId="4833" xr:uid="{00000000-0005-0000-0000-0000DF290000}"/>
    <cellStyle name="Percent 2 14 4 7 2" xfId="8183" xr:uid="{00000000-0005-0000-0000-0000E0290000}"/>
    <cellStyle name="Percent 2 14 4 8" xfId="9858" xr:uid="{00000000-0005-0000-0000-0000E1290000}"/>
    <cellStyle name="Percent 2 14 4 9" xfId="6508" xr:uid="{00000000-0005-0000-0000-0000E2290000}"/>
    <cellStyle name="Percent 2 14 5" xfId="3183" xr:uid="{00000000-0005-0000-0000-0000E3290000}"/>
    <cellStyle name="Percent 2 14 5 2" xfId="3301" xr:uid="{00000000-0005-0000-0000-0000E4290000}"/>
    <cellStyle name="Percent 2 14 5 2 2" xfId="3537" xr:uid="{00000000-0005-0000-0000-0000E5290000}"/>
    <cellStyle name="Percent 2 14 5 2 2 2" xfId="4503" xr:uid="{00000000-0005-0000-0000-0000E6290000}"/>
    <cellStyle name="Percent 2 14 5 2 2 2 2" xfId="6178" xr:uid="{00000000-0005-0000-0000-0000E7290000}"/>
    <cellStyle name="Percent 2 14 5 2 2 2 2 2" xfId="9528" xr:uid="{00000000-0005-0000-0000-0000E8290000}"/>
    <cellStyle name="Percent 2 14 5 2 2 2 3" xfId="11203" xr:uid="{00000000-0005-0000-0000-0000E9290000}"/>
    <cellStyle name="Percent 2 14 5 2 2 2 4" xfId="7853" xr:uid="{00000000-0005-0000-0000-0000EA290000}"/>
    <cellStyle name="Percent 2 14 5 2 2 3" xfId="5211" xr:uid="{00000000-0005-0000-0000-0000EB290000}"/>
    <cellStyle name="Percent 2 14 5 2 2 3 2" xfId="8561" xr:uid="{00000000-0005-0000-0000-0000EC290000}"/>
    <cellStyle name="Percent 2 14 5 2 2 4" xfId="10236" xr:uid="{00000000-0005-0000-0000-0000ED290000}"/>
    <cellStyle name="Percent 2 14 5 2 2 5" xfId="6886" xr:uid="{00000000-0005-0000-0000-0000EE290000}"/>
    <cellStyle name="Percent 2 14 5 2 3" xfId="3772" xr:uid="{00000000-0005-0000-0000-0000EF290000}"/>
    <cellStyle name="Percent 2 14 5 2 3 2" xfId="4739" xr:uid="{00000000-0005-0000-0000-0000F0290000}"/>
    <cellStyle name="Percent 2 14 5 2 3 2 2" xfId="6414" xr:uid="{00000000-0005-0000-0000-0000F1290000}"/>
    <cellStyle name="Percent 2 14 5 2 3 2 2 2" xfId="9764" xr:uid="{00000000-0005-0000-0000-0000F2290000}"/>
    <cellStyle name="Percent 2 14 5 2 3 2 3" xfId="11439" xr:uid="{00000000-0005-0000-0000-0000F3290000}"/>
    <cellStyle name="Percent 2 14 5 2 3 2 4" xfId="8089" xr:uid="{00000000-0005-0000-0000-0000F4290000}"/>
    <cellStyle name="Percent 2 14 5 2 3 3" xfId="5447" xr:uid="{00000000-0005-0000-0000-0000F5290000}"/>
    <cellStyle name="Percent 2 14 5 2 3 3 2" xfId="8797" xr:uid="{00000000-0005-0000-0000-0000F6290000}"/>
    <cellStyle name="Percent 2 14 5 2 3 4" xfId="10472" xr:uid="{00000000-0005-0000-0000-0000F7290000}"/>
    <cellStyle name="Percent 2 14 5 2 3 5" xfId="7122" xr:uid="{00000000-0005-0000-0000-0000F8290000}"/>
    <cellStyle name="Percent 2 14 5 2 4" xfId="4008" xr:uid="{00000000-0005-0000-0000-0000F9290000}"/>
    <cellStyle name="Percent 2 14 5 2 4 2" xfId="5683" xr:uid="{00000000-0005-0000-0000-0000FA290000}"/>
    <cellStyle name="Percent 2 14 5 2 4 2 2" xfId="9033" xr:uid="{00000000-0005-0000-0000-0000FB290000}"/>
    <cellStyle name="Percent 2 14 5 2 4 3" xfId="10708" xr:uid="{00000000-0005-0000-0000-0000FC290000}"/>
    <cellStyle name="Percent 2 14 5 2 4 4" xfId="7358" xr:uid="{00000000-0005-0000-0000-0000FD290000}"/>
    <cellStyle name="Percent 2 14 5 2 5" xfId="4267" xr:uid="{00000000-0005-0000-0000-0000FE290000}"/>
    <cellStyle name="Percent 2 14 5 2 5 2" xfId="5942" xr:uid="{00000000-0005-0000-0000-0000FF290000}"/>
    <cellStyle name="Percent 2 14 5 2 5 2 2" xfId="9292" xr:uid="{00000000-0005-0000-0000-0000002A0000}"/>
    <cellStyle name="Percent 2 14 5 2 5 3" xfId="10967" xr:uid="{00000000-0005-0000-0000-0000012A0000}"/>
    <cellStyle name="Percent 2 14 5 2 5 4" xfId="7617" xr:uid="{00000000-0005-0000-0000-0000022A0000}"/>
    <cellStyle name="Percent 2 14 5 2 6" xfId="4975" xr:uid="{00000000-0005-0000-0000-0000032A0000}"/>
    <cellStyle name="Percent 2 14 5 2 6 2" xfId="8325" xr:uid="{00000000-0005-0000-0000-0000042A0000}"/>
    <cellStyle name="Percent 2 14 5 2 7" xfId="10000" xr:uid="{00000000-0005-0000-0000-0000052A0000}"/>
    <cellStyle name="Percent 2 14 5 2 8" xfId="6650" xr:uid="{00000000-0005-0000-0000-0000062A0000}"/>
    <cellStyle name="Percent 2 14 5 3" xfId="3419" xr:uid="{00000000-0005-0000-0000-0000072A0000}"/>
    <cellStyle name="Percent 2 14 5 3 2" xfId="4385" xr:uid="{00000000-0005-0000-0000-0000082A0000}"/>
    <cellStyle name="Percent 2 14 5 3 2 2" xfId="6060" xr:uid="{00000000-0005-0000-0000-0000092A0000}"/>
    <cellStyle name="Percent 2 14 5 3 2 2 2" xfId="9410" xr:uid="{00000000-0005-0000-0000-00000A2A0000}"/>
    <cellStyle name="Percent 2 14 5 3 2 3" xfId="11085" xr:uid="{00000000-0005-0000-0000-00000B2A0000}"/>
    <cellStyle name="Percent 2 14 5 3 2 4" xfId="7735" xr:uid="{00000000-0005-0000-0000-00000C2A0000}"/>
    <cellStyle name="Percent 2 14 5 3 3" xfId="5093" xr:uid="{00000000-0005-0000-0000-00000D2A0000}"/>
    <cellStyle name="Percent 2 14 5 3 3 2" xfId="8443" xr:uid="{00000000-0005-0000-0000-00000E2A0000}"/>
    <cellStyle name="Percent 2 14 5 3 4" xfId="10118" xr:uid="{00000000-0005-0000-0000-00000F2A0000}"/>
    <cellStyle name="Percent 2 14 5 3 5" xfId="6768" xr:uid="{00000000-0005-0000-0000-0000102A0000}"/>
    <cellStyle name="Percent 2 14 5 4" xfId="3654" xr:uid="{00000000-0005-0000-0000-0000112A0000}"/>
    <cellStyle name="Percent 2 14 5 4 2" xfId="4621" xr:uid="{00000000-0005-0000-0000-0000122A0000}"/>
    <cellStyle name="Percent 2 14 5 4 2 2" xfId="6296" xr:uid="{00000000-0005-0000-0000-0000132A0000}"/>
    <cellStyle name="Percent 2 14 5 4 2 2 2" xfId="9646" xr:uid="{00000000-0005-0000-0000-0000142A0000}"/>
    <cellStyle name="Percent 2 14 5 4 2 3" xfId="11321" xr:uid="{00000000-0005-0000-0000-0000152A0000}"/>
    <cellStyle name="Percent 2 14 5 4 2 4" xfId="7971" xr:uid="{00000000-0005-0000-0000-0000162A0000}"/>
    <cellStyle name="Percent 2 14 5 4 3" xfId="5329" xr:uid="{00000000-0005-0000-0000-0000172A0000}"/>
    <cellStyle name="Percent 2 14 5 4 3 2" xfId="8679" xr:uid="{00000000-0005-0000-0000-0000182A0000}"/>
    <cellStyle name="Percent 2 14 5 4 4" xfId="10354" xr:uid="{00000000-0005-0000-0000-0000192A0000}"/>
    <cellStyle name="Percent 2 14 5 4 5" xfId="7004" xr:uid="{00000000-0005-0000-0000-00001A2A0000}"/>
    <cellStyle name="Percent 2 14 5 5" xfId="3890" xr:uid="{00000000-0005-0000-0000-00001B2A0000}"/>
    <cellStyle name="Percent 2 14 5 5 2" xfId="5565" xr:uid="{00000000-0005-0000-0000-00001C2A0000}"/>
    <cellStyle name="Percent 2 14 5 5 2 2" xfId="8915" xr:uid="{00000000-0005-0000-0000-00001D2A0000}"/>
    <cellStyle name="Percent 2 14 5 5 3" xfId="10590" xr:uid="{00000000-0005-0000-0000-00001E2A0000}"/>
    <cellStyle name="Percent 2 14 5 5 4" xfId="7240" xr:uid="{00000000-0005-0000-0000-00001F2A0000}"/>
    <cellStyle name="Percent 2 14 5 6" xfId="4149" xr:uid="{00000000-0005-0000-0000-0000202A0000}"/>
    <cellStyle name="Percent 2 14 5 6 2" xfId="5824" xr:uid="{00000000-0005-0000-0000-0000212A0000}"/>
    <cellStyle name="Percent 2 14 5 6 2 2" xfId="9174" xr:uid="{00000000-0005-0000-0000-0000222A0000}"/>
    <cellStyle name="Percent 2 14 5 6 3" xfId="10849" xr:uid="{00000000-0005-0000-0000-0000232A0000}"/>
    <cellStyle name="Percent 2 14 5 6 4" xfId="7499" xr:uid="{00000000-0005-0000-0000-0000242A0000}"/>
    <cellStyle name="Percent 2 14 5 7" xfId="4857" xr:uid="{00000000-0005-0000-0000-0000252A0000}"/>
    <cellStyle name="Percent 2 14 5 7 2" xfId="8207" xr:uid="{00000000-0005-0000-0000-0000262A0000}"/>
    <cellStyle name="Percent 2 14 5 8" xfId="9882" xr:uid="{00000000-0005-0000-0000-0000272A0000}"/>
    <cellStyle name="Percent 2 14 5 9" xfId="6532" xr:uid="{00000000-0005-0000-0000-0000282A0000}"/>
    <cellStyle name="Percent 2 14 6" xfId="3207" xr:uid="{00000000-0005-0000-0000-0000292A0000}"/>
    <cellStyle name="Percent 2 14 6 2" xfId="3443" xr:uid="{00000000-0005-0000-0000-00002A2A0000}"/>
    <cellStyle name="Percent 2 14 6 2 2" xfId="4409" xr:uid="{00000000-0005-0000-0000-00002B2A0000}"/>
    <cellStyle name="Percent 2 14 6 2 2 2" xfId="6084" xr:uid="{00000000-0005-0000-0000-00002C2A0000}"/>
    <cellStyle name="Percent 2 14 6 2 2 2 2" xfId="9434" xr:uid="{00000000-0005-0000-0000-00002D2A0000}"/>
    <cellStyle name="Percent 2 14 6 2 2 3" xfId="11109" xr:uid="{00000000-0005-0000-0000-00002E2A0000}"/>
    <cellStyle name="Percent 2 14 6 2 2 4" xfId="7759" xr:uid="{00000000-0005-0000-0000-00002F2A0000}"/>
    <cellStyle name="Percent 2 14 6 2 3" xfId="5117" xr:uid="{00000000-0005-0000-0000-0000302A0000}"/>
    <cellStyle name="Percent 2 14 6 2 3 2" xfId="8467" xr:uid="{00000000-0005-0000-0000-0000312A0000}"/>
    <cellStyle name="Percent 2 14 6 2 4" xfId="10142" xr:uid="{00000000-0005-0000-0000-0000322A0000}"/>
    <cellStyle name="Percent 2 14 6 2 5" xfId="6792" xr:uid="{00000000-0005-0000-0000-0000332A0000}"/>
    <cellStyle name="Percent 2 14 6 3" xfId="3678" xr:uid="{00000000-0005-0000-0000-0000342A0000}"/>
    <cellStyle name="Percent 2 14 6 3 2" xfId="4645" xr:uid="{00000000-0005-0000-0000-0000352A0000}"/>
    <cellStyle name="Percent 2 14 6 3 2 2" xfId="6320" xr:uid="{00000000-0005-0000-0000-0000362A0000}"/>
    <cellStyle name="Percent 2 14 6 3 2 2 2" xfId="9670" xr:uid="{00000000-0005-0000-0000-0000372A0000}"/>
    <cellStyle name="Percent 2 14 6 3 2 3" xfId="11345" xr:uid="{00000000-0005-0000-0000-0000382A0000}"/>
    <cellStyle name="Percent 2 14 6 3 2 4" xfId="7995" xr:uid="{00000000-0005-0000-0000-0000392A0000}"/>
    <cellStyle name="Percent 2 14 6 3 3" xfId="5353" xr:uid="{00000000-0005-0000-0000-00003A2A0000}"/>
    <cellStyle name="Percent 2 14 6 3 3 2" xfId="8703" xr:uid="{00000000-0005-0000-0000-00003B2A0000}"/>
    <cellStyle name="Percent 2 14 6 3 4" xfId="10378" xr:uid="{00000000-0005-0000-0000-00003C2A0000}"/>
    <cellStyle name="Percent 2 14 6 3 5" xfId="7028" xr:uid="{00000000-0005-0000-0000-00003D2A0000}"/>
    <cellStyle name="Percent 2 14 6 4" xfId="3914" xr:uid="{00000000-0005-0000-0000-00003E2A0000}"/>
    <cellStyle name="Percent 2 14 6 4 2" xfId="5589" xr:uid="{00000000-0005-0000-0000-00003F2A0000}"/>
    <cellStyle name="Percent 2 14 6 4 2 2" xfId="8939" xr:uid="{00000000-0005-0000-0000-0000402A0000}"/>
    <cellStyle name="Percent 2 14 6 4 3" xfId="10614" xr:uid="{00000000-0005-0000-0000-0000412A0000}"/>
    <cellStyle name="Percent 2 14 6 4 4" xfId="7264" xr:uid="{00000000-0005-0000-0000-0000422A0000}"/>
    <cellStyle name="Percent 2 14 6 5" xfId="4173" xr:uid="{00000000-0005-0000-0000-0000432A0000}"/>
    <cellStyle name="Percent 2 14 6 5 2" xfId="5848" xr:uid="{00000000-0005-0000-0000-0000442A0000}"/>
    <cellStyle name="Percent 2 14 6 5 2 2" xfId="9198" xr:uid="{00000000-0005-0000-0000-0000452A0000}"/>
    <cellStyle name="Percent 2 14 6 5 3" xfId="10873" xr:uid="{00000000-0005-0000-0000-0000462A0000}"/>
    <cellStyle name="Percent 2 14 6 5 4" xfId="7523" xr:uid="{00000000-0005-0000-0000-0000472A0000}"/>
    <cellStyle name="Percent 2 14 6 6" xfId="4881" xr:uid="{00000000-0005-0000-0000-0000482A0000}"/>
    <cellStyle name="Percent 2 14 6 6 2" xfId="8231" xr:uid="{00000000-0005-0000-0000-0000492A0000}"/>
    <cellStyle name="Percent 2 14 6 7" xfId="9906" xr:uid="{00000000-0005-0000-0000-00004A2A0000}"/>
    <cellStyle name="Percent 2 14 6 8" xfId="6556" xr:uid="{00000000-0005-0000-0000-00004B2A0000}"/>
    <cellStyle name="Percent 2 14 7" xfId="3325" xr:uid="{00000000-0005-0000-0000-00004C2A0000}"/>
    <cellStyle name="Percent 2 14 7 2" xfId="4291" xr:uid="{00000000-0005-0000-0000-00004D2A0000}"/>
    <cellStyle name="Percent 2 14 7 2 2" xfId="5966" xr:uid="{00000000-0005-0000-0000-00004E2A0000}"/>
    <cellStyle name="Percent 2 14 7 2 2 2" xfId="9316" xr:uid="{00000000-0005-0000-0000-00004F2A0000}"/>
    <cellStyle name="Percent 2 14 7 2 3" xfId="10991" xr:uid="{00000000-0005-0000-0000-0000502A0000}"/>
    <cellStyle name="Percent 2 14 7 2 4" xfId="7641" xr:uid="{00000000-0005-0000-0000-0000512A0000}"/>
    <cellStyle name="Percent 2 14 7 3" xfId="4999" xr:uid="{00000000-0005-0000-0000-0000522A0000}"/>
    <cellStyle name="Percent 2 14 7 3 2" xfId="8349" xr:uid="{00000000-0005-0000-0000-0000532A0000}"/>
    <cellStyle name="Percent 2 14 7 4" xfId="10024" xr:uid="{00000000-0005-0000-0000-0000542A0000}"/>
    <cellStyle name="Percent 2 14 7 5" xfId="6674" xr:uid="{00000000-0005-0000-0000-0000552A0000}"/>
    <cellStyle name="Percent 2 14 8" xfId="3560" xr:uid="{00000000-0005-0000-0000-0000562A0000}"/>
    <cellStyle name="Percent 2 14 8 2" xfId="4527" xr:uid="{00000000-0005-0000-0000-0000572A0000}"/>
    <cellStyle name="Percent 2 14 8 2 2" xfId="6202" xr:uid="{00000000-0005-0000-0000-0000582A0000}"/>
    <cellStyle name="Percent 2 14 8 2 2 2" xfId="9552" xr:uid="{00000000-0005-0000-0000-0000592A0000}"/>
    <cellStyle name="Percent 2 14 8 2 3" xfId="11227" xr:uid="{00000000-0005-0000-0000-00005A2A0000}"/>
    <cellStyle name="Percent 2 14 8 2 4" xfId="7877" xr:uid="{00000000-0005-0000-0000-00005B2A0000}"/>
    <cellStyle name="Percent 2 14 8 3" xfId="5235" xr:uid="{00000000-0005-0000-0000-00005C2A0000}"/>
    <cellStyle name="Percent 2 14 8 3 2" xfId="8585" xr:uid="{00000000-0005-0000-0000-00005D2A0000}"/>
    <cellStyle name="Percent 2 14 8 4" xfId="10260" xr:uid="{00000000-0005-0000-0000-00005E2A0000}"/>
    <cellStyle name="Percent 2 14 8 5" xfId="6910" xr:uid="{00000000-0005-0000-0000-00005F2A0000}"/>
    <cellStyle name="Percent 2 14 9" xfId="3796" xr:uid="{00000000-0005-0000-0000-0000602A0000}"/>
    <cellStyle name="Percent 2 14 9 2" xfId="4055" xr:uid="{00000000-0005-0000-0000-0000612A0000}"/>
    <cellStyle name="Percent 2 14 9 2 2" xfId="5730" xr:uid="{00000000-0005-0000-0000-0000622A0000}"/>
    <cellStyle name="Percent 2 14 9 2 2 2" xfId="9080" xr:uid="{00000000-0005-0000-0000-0000632A0000}"/>
    <cellStyle name="Percent 2 14 9 2 3" xfId="10755" xr:uid="{00000000-0005-0000-0000-0000642A0000}"/>
    <cellStyle name="Percent 2 14 9 2 4" xfId="7405" xr:uid="{00000000-0005-0000-0000-0000652A0000}"/>
    <cellStyle name="Percent 2 14 9 3" xfId="5471" xr:uid="{00000000-0005-0000-0000-0000662A0000}"/>
    <cellStyle name="Percent 2 14 9 3 2" xfId="8821" xr:uid="{00000000-0005-0000-0000-0000672A0000}"/>
    <cellStyle name="Percent 2 14 9 4" xfId="10496" xr:uid="{00000000-0005-0000-0000-0000682A0000}"/>
    <cellStyle name="Percent 2 14 9 5" xfId="7146" xr:uid="{00000000-0005-0000-0000-0000692A0000}"/>
    <cellStyle name="Percent 2 15" xfId="12199" xr:uid="{00000000-0005-0000-0000-00006B0C0000}"/>
    <cellStyle name="Percent 2 16" xfId="12200" xr:uid="{00000000-0005-0000-0000-00006C0C0000}"/>
    <cellStyle name="Percent 2 2" xfId="349" xr:uid="{00000000-0005-0000-0000-0000E5090000}"/>
    <cellStyle name="Percent 2 2 2" xfId="2272" xr:uid="{00000000-0005-0000-0000-0000E6090000}"/>
    <cellStyle name="Percent 2 2 2 2" xfId="2273" xr:uid="{00000000-0005-0000-0000-0000E7090000}"/>
    <cellStyle name="Percent 2 2 2 2 2" xfId="2709" xr:uid="{00000000-0005-0000-0000-0000E8090000}"/>
    <cellStyle name="Percent 2 2 2 3" xfId="2432" xr:uid="{00000000-0005-0000-0000-0000E9090000}"/>
    <cellStyle name="Percent 2 2 2 3 2" xfId="12202" xr:uid="{00000000-0005-0000-0000-0000720C0000}"/>
    <cellStyle name="Percent 2 2 2 3 2 2" xfId="12203" xr:uid="{00000000-0005-0000-0000-0000730C0000}"/>
    <cellStyle name="Percent 2 2 2 3 3" xfId="12204" xr:uid="{00000000-0005-0000-0000-0000740C0000}"/>
    <cellStyle name="Percent 2 2 2 3 4" xfId="12205" xr:uid="{00000000-0005-0000-0000-0000750C0000}"/>
    <cellStyle name="Percent 2 2 2 3 5" xfId="12201" xr:uid="{00000000-0005-0000-0000-0000710C0000}"/>
    <cellStyle name="Percent 2 2 3" xfId="2271" xr:uid="{00000000-0005-0000-0000-0000EA090000}"/>
    <cellStyle name="Percent 2 2 4" xfId="2710" xr:uid="{00000000-0005-0000-0000-0000EB090000}"/>
    <cellStyle name="Percent 2 2 5" xfId="12206" xr:uid="{00000000-0005-0000-0000-0000780C0000}"/>
    <cellStyle name="Percent 2 2 5 2" xfId="12207" xr:uid="{00000000-0005-0000-0000-0000790C0000}"/>
    <cellStyle name="Percent 2 2 6" xfId="12208" xr:uid="{00000000-0005-0000-0000-00007A0C0000}"/>
    <cellStyle name="Percent 2 3" xfId="2274" xr:uid="{00000000-0005-0000-0000-0000EC090000}"/>
    <cellStyle name="Percent 2 3 2" xfId="2275" xr:uid="{00000000-0005-0000-0000-0000ED090000}"/>
    <cellStyle name="Percent 2 4" xfId="2276" xr:uid="{00000000-0005-0000-0000-0000EE090000}"/>
    <cellStyle name="Percent 2 5" xfId="2277" xr:uid="{00000000-0005-0000-0000-0000EF090000}"/>
    <cellStyle name="Percent 2 6" xfId="2278" xr:uid="{00000000-0005-0000-0000-0000F0090000}"/>
    <cellStyle name="Percent 2 7" xfId="2279" xr:uid="{00000000-0005-0000-0000-0000F1090000}"/>
    <cellStyle name="Percent 2 8" xfId="2280" xr:uid="{00000000-0005-0000-0000-0000F2090000}"/>
    <cellStyle name="Percent 2 9" xfId="2281" xr:uid="{00000000-0005-0000-0000-0000F3090000}"/>
    <cellStyle name="Percent 3" xfId="2282" xr:uid="{00000000-0005-0000-0000-0000F4090000}"/>
    <cellStyle name="Percent 3 2" xfId="2283" xr:uid="{00000000-0005-0000-0000-0000F5090000}"/>
    <cellStyle name="Percent 3 2 2" xfId="2711" xr:uid="{00000000-0005-0000-0000-0000F6090000}"/>
    <cellStyle name="Percent 4" xfId="282" xr:uid="{00000000-0005-0000-0000-0000F7090000}"/>
    <cellStyle name="Percent 4 2" xfId="347" xr:uid="{00000000-0005-0000-0000-0000F8090000}"/>
    <cellStyle name="Percent 4 2 2" xfId="2284" xr:uid="{00000000-0005-0000-0000-0000F9090000}"/>
    <cellStyle name="Percent 4 3" xfId="2285" xr:uid="{00000000-0005-0000-0000-0000FA090000}"/>
    <cellStyle name="Percent 4 4" xfId="2286" xr:uid="{00000000-0005-0000-0000-0000FB090000}"/>
    <cellStyle name="Percent 4 4 2" xfId="2712" xr:uid="{00000000-0005-0000-0000-0000FC090000}"/>
    <cellStyle name="Percent 4 5" xfId="2713" xr:uid="{00000000-0005-0000-0000-0000FD090000}"/>
    <cellStyle name="Percent 4 6" xfId="12209" xr:uid="{00000000-0005-0000-0000-00008D0C0000}"/>
    <cellStyle name="Percent 4 6 2" xfId="12210" xr:uid="{00000000-0005-0000-0000-00008E0C0000}"/>
    <cellStyle name="Percent 4 7" xfId="12211" xr:uid="{00000000-0005-0000-0000-00008F0C0000}"/>
    <cellStyle name="Percent 4 7 2" xfId="12212" xr:uid="{00000000-0005-0000-0000-0000900C0000}"/>
    <cellStyle name="Percent 4 8" xfId="12213" xr:uid="{00000000-0005-0000-0000-0000910C0000}"/>
    <cellStyle name="Percent 5" xfId="13" xr:uid="{B7BAB07E-A4D5-4A8F-89E9-6FB833F03C84}"/>
    <cellStyle name="Percent 5 2" xfId="2287" xr:uid="{00000000-0005-0000-0000-0000FF090000}"/>
    <cellStyle name="Percent 5 2 2" xfId="2714" xr:uid="{00000000-0005-0000-0000-0000000A0000}"/>
    <cellStyle name="Percent 5 2 3" xfId="12214" xr:uid="{00000000-0005-0000-0000-0000950C0000}"/>
    <cellStyle name="Percent 5 2 3 2" xfId="12215" xr:uid="{00000000-0005-0000-0000-0000960C0000}"/>
    <cellStyle name="Percent 5 2 4" xfId="12216" xr:uid="{00000000-0005-0000-0000-0000970C0000}"/>
    <cellStyle name="Percent 5 3" xfId="2715" xr:uid="{00000000-0005-0000-0000-0000010A0000}"/>
    <cellStyle name="Percent 6" xfId="2288" xr:uid="{00000000-0005-0000-0000-0000020A0000}"/>
    <cellStyle name="Percent 7" xfId="2289" xr:uid="{00000000-0005-0000-0000-0000030A0000}"/>
    <cellStyle name="Percent 7 2" xfId="2716" xr:uid="{00000000-0005-0000-0000-0000040A0000}"/>
    <cellStyle name="Percent 8" xfId="2290" xr:uid="{00000000-0005-0000-0000-0000050A0000}"/>
    <cellStyle name="Percent 8 2" xfId="2718" xr:uid="{00000000-0005-0000-0000-0000060A0000}"/>
    <cellStyle name="Percent 8 3" xfId="2719" xr:uid="{00000000-0005-0000-0000-0000070A0000}"/>
    <cellStyle name="Percent 8 4" xfId="2717" xr:uid="{00000000-0005-0000-0000-0000080A0000}"/>
    <cellStyle name="Percent 8 5" xfId="12217" xr:uid="{00000000-0005-0000-0000-0000A00C0000}"/>
    <cellStyle name="Percent 8 5 2" xfId="12218" xr:uid="{00000000-0005-0000-0000-0000A10C0000}"/>
    <cellStyle name="Percent 8 6" xfId="12219" xr:uid="{00000000-0005-0000-0000-0000A20C0000}"/>
    <cellStyle name="Percent 9" xfId="12220" xr:uid="{00000000-0005-0000-0000-0000A30C0000}"/>
    <cellStyle name="Percent 9 2" xfId="12221" xr:uid="{00000000-0005-0000-0000-0000A40C0000}"/>
    <cellStyle name="Testo avviso" xfId="220" xr:uid="{00000000-0005-0000-0000-0000090A0000}"/>
    <cellStyle name="Testo avviso 2" xfId="331" xr:uid="{00000000-0005-0000-0000-00000A0A0000}"/>
    <cellStyle name="Testo avviso 2 2" xfId="2291" xr:uid="{00000000-0005-0000-0000-00000B0A0000}"/>
    <cellStyle name="Testo avviso 2 2 2" xfId="2720" xr:uid="{00000000-0005-0000-0000-00000C0A0000}"/>
    <cellStyle name="Testo avviso 3" xfId="2292" xr:uid="{00000000-0005-0000-0000-00000D0A0000}"/>
    <cellStyle name="Testo avviso 4" xfId="2721" xr:uid="{00000000-0005-0000-0000-00000E0A0000}"/>
    <cellStyle name="Testo descrittivo" xfId="221" xr:uid="{00000000-0005-0000-0000-00000F0A0000}"/>
    <cellStyle name="Testo descrittivo 2" xfId="332" xr:uid="{00000000-0005-0000-0000-0000100A0000}"/>
    <cellStyle name="Testo descrittivo 2 2" xfId="2293" xr:uid="{00000000-0005-0000-0000-0000110A0000}"/>
    <cellStyle name="Testo descrittivo 2 2 2" xfId="2722" xr:uid="{00000000-0005-0000-0000-0000120A0000}"/>
    <cellStyle name="Testo descrittivo 3" xfId="2294" xr:uid="{00000000-0005-0000-0000-0000130A0000}"/>
    <cellStyle name="Testo descrittivo 4" xfId="2723" xr:uid="{00000000-0005-0000-0000-0000140A0000}"/>
    <cellStyle name="Title 2" xfId="260" xr:uid="{00000000-0005-0000-0000-0000150A0000}"/>
    <cellStyle name="Title 2 10" xfId="2296" xr:uid="{00000000-0005-0000-0000-0000160A0000}"/>
    <cellStyle name="Title 2 11" xfId="2297" xr:uid="{00000000-0005-0000-0000-0000170A0000}"/>
    <cellStyle name="Title 2 12" xfId="2298" xr:uid="{00000000-0005-0000-0000-0000180A0000}"/>
    <cellStyle name="Title 2 13" xfId="2299" xr:uid="{00000000-0005-0000-0000-0000190A0000}"/>
    <cellStyle name="Title 2 14" xfId="2300" xr:uid="{00000000-0005-0000-0000-00001A0A0000}"/>
    <cellStyle name="Title 2 15" xfId="2301" xr:uid="{00000000-0005-0000-0000-00001B0A0000}"/>
    <cellStyle name="Title 2 16" xfId="2302" xr:uid="{00000000-0005-0000-0000-00001C0A0000}"/>
    <cellStyle name="Title 2 17" xfId="2303" xr:uid="{00000000-0005-0000-0000-00001D0A0000}"/>
    <cellStyle name="Title 2 18" xfId="2295" xr:uid="{00000000-0005-0000-0000-00001E0A0000}"/>
    <cellStyle name="Title 2 19" xfId="12222" xr:uid="{00000000-0005-0000-0000-0000BB0C0000}"/>
    <cellStyle name="Title 2 2" xfId="2304" xr:uid="{00000000-0005-0000-0000-00001F0A0000}"/>
    <cellStyle name="Title 2 20" xfId="12223" xr:uid="{00000000-0005-0000-0000-0000BD0C0000}"/>
    <cellStyle name="Title 2 3" xfId="2305" xr:uid="{00000000-0005-0000-0000-0000200A0000}"/>
    <cellStyle name="Title 2 4" xfId="2306" xr:uid="{00000000-0005-0000-0000-0000210A0000}"/>
    <cellStyle name="Title 2 5" xfId="2307" xr:uid="{00000000-0005-0000-0000-0000220A0000}"/>
    <cellStyle name="Title 2 6" xfId="2308" xr:uid="{00000000-0005-0000-0000-0000230A0000}"/>
    <cellStyle name="Title 2 7" xfId="2309" xr:uid="{00000000-0005-0000-0000-0000240A0000}"/>
    <cellStyle name="Title 2 8" xfId="2310" xr:uid="{00000000-0005-0000-0000-0000250A0000}"/>
    <cellStyle name="Title 2 9" xfId="2311" xr:uid="{00000000-0005-0000-0000-0000260A0000}"/>
    <cellStyle name="Title 3 10" xfId="2312" xr:uid="{00000000-0005-0000-0000-0000270A0000}"/>
    <cellStyle name="Title 3 11" xfId="2313" xr:uid="{00000000-0005-0000-0000-0000280A0000}"/>
    <cellStyle name="Title 3 12" xfId="2314" xr:uid="{00000000-0005-0000-0000-0000290A0000}"/>
    <cellStyle name="Title 3 13" xfId="2315" xr:uid="{00000000-0005-0000-0000-00002A0A0000}"/>
    <cellStyle name="Title 3 14" xfId="2316" xr:uid="{00000000-0005-0000-0000-00002B0A0000}"/>
    <cellStyle name="Title 3 15" xfId="2317" xr:uid="{00000000-0005-0000-0000-00002C0A0000}"/>
    <cellStyle name="Title 3 16" xfId="2318" xr:uid="{00000000-0005-0000-0000-00002D0A0000}"/>
    <cellStyle name="Title 3 17" xfId="2319" xr:uid="{00000000-0005-0000-0000-00002E0A0000}"/>
    <cellStyle name="Title 3 2" xfId="2320" xr:uid="{00000000-0005-0000-0000-00002F0A0000}"/>
    <cellStyle name="Title 3 3" xfId="2321" xr:uid="{00000000-0005-0000-0000-0000300A0000}"/>
    <cellStyle name="Title 3 4" xfId="2322" xr:uid="{00000000-0005-0000-0000-0000310A0000}"/>
    <cellStyle name="Title 3 5" xfId="2323" xr:uid="{00000000-0005-0000-0000-0000320A0000}"/>
    <cellStyle name="Title 3 6" xfId="2324" xr:uid="{00000000-0005-0000-0000-0000330A0000}"/>
    <cellStyle name="Title 3 7" xfId="2325" xr:uid="{00000000-0005-0000-0000-0000340A0000}"/>
    <cellStyle name="Title 3 8" xfId="2326" xr:uid="{00000000-0005-0000-0000-0000350A0000}"/>
    <cellStyle name="Title 3 9" xfId="2327" xr:uid="{00000000-0005-0000-0000-0000360A0000}"/>
    <cellStyle name="Titolo" xfId="222" xr:uid="{00000000-0005-0000-0000-0000370A0000}"/>
    <cellStyle name="Titolo 1" xfId="223" xr:uid="{00000000-0005-0000-0000-0000380A0000}"/>
    <cellStyle name="Titolo 1 2" xfId="334" xr:uid="{00000000-0005-0000-0000-0000390A0000}"/>
    <cellStyle name="Titolo 1 2 2" xfId="2328" xr:uid="{00000000-0005-0000-0000-00003A0A0000}"/>
    <cellStyle name="Titolo 1 2 2 2" xfId="2724" xr:uid="{00000000-0005-0000-0000-00003B0A0000}"/>
    <cellStyle name="Titolo 1 3" xfId="2329" xr:uid="{00000000-0005-0000-0000-00003C0A0000}"/>
    <cellStyle name="Titolo 1 4" xfId="2725" xr:uid="{00000000-0005-0000-0000-00003D0A0000}"/>
    <cellStyle name="Titolo 2" xfId="224" xr:uid="{00000000-0005-0000-0000-00003E0A0000}"/>
    <cellStyle name="Titolo 2 2" xfId="335" xr:uid="{00000000-0005-0000-0000-00003F0A0000}"/>
    <cellStyle name="Titolo 2 2 2" xfId="2330" xr:uid="{00000000-0005-0000-0000-0000400A0000}"/>
    <cellStyle name="Titolo 2 2 2 2" xfId="2726" xr:uid="{00000000-0005-0000-0000-0000410A0000}"/>
    <cellStyle name="Titolo 2 3" xfId="2331" xr:uid="{00000000-0005-0000-0000-0000420A0000}"/>
    <cellStyle name="Titolo 2 4" xfId="2727" xr:uid="{00000000-0005-0000-0000-0000430A0000}"/>
    <cellStyle name="Titolo 3" xfId="225" xr:uid="{00000000-0005-0000-0000-0000440A0000}"/>
    <cellStyle name="Titolo 3 2" xfId="336" xr:uid="{00000000-0005-0000-0000-0000450A0000}"/>
    <cellStyle name="Titolo 3 2 2" xfId="2332" xr:uid="{00000000-0005-0000-0000-0000460A0000}"/>
    <cellStyle name="Titolo 3 2 2 2" xfId="2728" xr:uid="{00000000-0005-0000-0000-0000470A0000}"/>
    <cellStyle name="Titolo 3 3" xfId="2333" xr:uid="{00000000-0005-0000-0000-0000480A0000}"/>
    <cellStyle name="Titolo 3 4" xfId="2729" xr:uid="{00000000-0005-0000-0000-0000490A0000}"/>
    <cellStyle name="Titolo 4" xfId="226" xr:uid="{00000000-0005-0000-0000-00004A0A0000}"/>
    <cellStyle name="Titolo 4 2" xfId="337" xr:uid="{00000000-0005-0000-0000-00004B0A0000}"/>
    <cellStyle name="Titolo 4 2 2" xfId="2334" xr:uid="{00000000-0005-0000-0000-00004C0A0000}"/>
    <cellStyle name="Titolo 4 2 2 2" xfId="2730" xr:uid="{00000000-0005-0000-0000-00004D0A0000}"/>
    <cellStyle name="Titolo 4 3" xfId="2335" xr:uid="{00000000-0005-0000-0000-00004E0A0000}"/>
    <cellStyle name="Titolo 4 4" xfId="2731" xr:uid="{00000000-0005-0000-0000-00004F0A0000}"/>
    <cellStyle name="Titolo 5" xfId="333" xr:uid="{00000000-0005-0000-0000-0000500A0000}"/>
    <cellStyle name="Titolo 5 2" xfId="2336" xr:uid="{00000000-0005-0000-0000-0000510A0000}"/>
    <cellStyle name="Titolo 5 2 2" xfId="2732" xr:uid="{00000000-0005-0000-0000-0000520A0000}"/>
    <cellStyle name="Titolo 6" xfId="2337" xr:uid="{00000000-0005-0000-0000-0000530A0000}"/>
    <cellStyle name="Titolo 7" xfId="2733" xr:uid="{00000000-0005-0000-0000-0000540A0000}"/>
    <cellStyle name="Total 2" xfId="271" xr:uid="{00000000-0005-0000-0000-0000550A0000}"/>
    <cellStyle name="Total 2 10" xfId="2338" xr:uid="{00000000-0005-0000-0000-0000560A0000}"/>
    <cellStyle name="Total 2 11" xfId="2339" xr:uid="{00000000-0005-0000-0000-0000570A0000}"/>
    <cellStyle name="Total 2 12" xfId="2340" xr:uid="{00000000-0005-0000-0000-0000580A0000}"/>
    <cellStyle name="Total 2 13" xfId="2341" xr:uid="{00000000-0005-0000-0000-0000590A0000}"/>
    <cellStyle name="Total 2 14" xfId="2342" xr:uid="{00000000-0005-0000-0000-00005A0A0000}"/>
    <cellStyle name="Total 2 15" xfId="2343" xr:uid="{00000000-0005-0000-0000-00005B0A0000}"/>
    <cellStyle name="Total 2 16" xfId="2344" xr:uid="{00000000-0005-0000-0000-00005C0A0000}"/>
    <cellStyle name="Total 2 17" xfId="2345" xr:uid="{00000000-0005-0000-0000-00005D0A0000}"/>
    <cellStyle name="Total 2 2" xfId="2346" xr:uid="{00000000-0005-0000-0000-00005E0A0000}"/>
    <cellStyle name="Total 2 3" xfId="2347" xr:uid="{00000000-0005-0000-0000-00005F0A0000}"/>
    <cellStyle name="Total 2 4" xfId="2348" xr:uid="{00000000-0005-0000-0000-0000600A0000}"/>
    <cellStyle name="Total 2 5" xfId="2349" xr:uid="{00000000-0005-0000-0000-0000610A0000}"/>
    <cellStyle name="Total 2 6" xfId="2350" xr:uid="{00000000-0005-0000-0000-0000620A0000}"/>
    <cellStyle name="Total 2 7" xfId="2351" xr:uid="{00000000-0005-0000-0000-0000630A0000}"/>
    <cellStyle name="Total 2 8" xfId="2352" xr:uid="{00000000-0005-0000-0000-0000640A0000}"/>
    <cellStyle name="Total 2 9" xfId="2353" xr:uid="{00000000-0005-0000-0000-0000650A0000}"/>
    <cellStyle name="Total 3 10" xfId="2354" xr:uid="{00000000-0005-0000-0000-0000660A0000}"/>
    <cellStyle name="Total 3 11" xfId="2355" xr:uid="{00000000-0005-0000-0000-0000670A0000}"/>
    <cellStyle name="Total 3 12" xfId="2356" xr:uid="{00000000-0005-0000-0000-0000680A0000}"/>
    <cellStyle name="Total 3 13" xfId="2357" xr:uid="{00000000-0005-0000-0000-0000690A0000}"/>
    <cellStyle name="Total 3 14" xfId="2358" xr:uid="{00000000-0005-0000-0000-00006A0A0000}"/>
    <cellStyle name="Total 3 15" xfId="2359" xr:uid="{00000000-0005-0000-0000-00006B0A0000}"/>
    <cellStyle name="Total 3 16" xfId="2360" xr:uid="{00000000-0005-0000-0000-00006C0A0000}"/>
    <cellStyle name="Total 3 17" xfId="2361" xr:uid="{00000000-0005-0000-0000-00006D0A0000}"/>
    <cellStyle name="Total 3 2" xfId="2362" xr:uid="{00000000-0005-0000-0000-00006E0A0000}"/>
    <cellStyle name="Total 3 3" xfId="2363" xr:uid="{00000000-0005-0000-0000-00006F0A0000}"/>
    <cellStyle name="Total 3 4" xfId="2364" xr:uid="{00000000-0005-0000-0000-0000700A0000}"/>
    <cellStyle name="Total 3 5" xfId="2365" xr:uid="{00000000-0005-0000-0000-0000710A0000}"/>
    <cellStyle name="Total 3 6" xfId="2366" xr:uid="{00000000-0005-0000-0000-0000720A0000}"/>
    <cellStyle name="Total 3 7" xfId="2367" xr:uid="{00000000-0005-0000-0000-0000730A0000}"/>
    <cellStyle name="Total 3 8" xfId="2368" xr:uid="{00000000-0005-0000-0000-0000740A0000}"/>
    <cellStyle name="Total 3 9" xfId="2369" xr:uid="{00000000-0005-0000-0000-0000750A0000}"/>
    <cellStyle name="Totale" xfId="227" xr:uid="{00000000-0005-0000-0000-0000760A0000}"/>
    <cellStyle name="Totale 2" xfId="338" xr:uid="{00000000-0005-0000-0000-0000770A0000}"/>
    <cellStyle name="Totale 2 2" xfId="2370" xr:uid="{00000000-0005-0000-0000-0000780A0000}"/>
    <cellStyle name="Totale 2 2 2" xfId="2734" xr:uid="{00000000-0005-0000-0000-0000790A0000}"/>
    <cellStyle name="Totale 3" xfId="2371" xr:uid="{00000000-0005-0000-0000-00007A0A0000}"/>
    <cellStyle name="Totale 4" xfId="2735" xr:uid="{00000000-0005-0000-0000-00007B0A0000}"/>
    <cellStyle name="Valore non valido" xfId="228" xr:uid="{00000000-0005-0000-0000-00007C0A0000}"/>
    <cellStyle name="Valore non valido 2" xfId="339" xr:uid="{00000000-0005-0000-0000-00007D0A0000}"/>
    <cellStyle name="Valore non valido 2 2" xfId="2372" xr:uid="{00000000-0005-0000-0000-00007E0A0000}"/>
    <cellStyle name="Valore non valido 2 2 2" xfId="2736" xr:uid="{00000000-0005-0000-0000-00007F0A0000}"/>
    <cellStyle name="Valore non valido 3" xfId="2373" xr:uid="{00000000-0005-0000-0000-0000800A0000}"/>
    <cellStyle name="Valore non valido 4" xfId="2737" xr:uid="{00000000-0005-0000-0000-0000810A0000}"/>
    <cellStyle name="Valore valido" xfId="229" xr:uid="{00000000-0005-0000-0000-0000820A0000}"/>
    <cellStyle name="Valore valido 2" xfId="340" xr:uid="{00000000-0005-0000-0000-0000830A0000}"/>
    <cellStyle name="Valore valido 2 2" xfId="2374" xr:uid="{00000000-0005-0000-0000-0000840A0000}"/>
    <cellStyle name="Valore valido 2 2 2" xfId="2738" xr:uid="{00000000-0005-0000-0000-0000850A0000}"/>
    <cellStyle name="Valore valido 3" xfId="2375" xr:uid="{00000000-0005-0000-0000-0000860A0000}"/>
    <cellStyle name="Valore valido 4" xfId="2739" xr:uid="{00000000-0005-0000-0000-0000870A0000}"/>
    <cellStyle name="Warning Text 2" xfId="270" xr:uid="{00000000-0005-0000-0000-0000880A0000}"/>
    <cellStyle name="Warning Text 2 10" xfId="2376" xr:uid="{00000000-0005-0000-0000-0000890A0000}"/>
    <cellStyle name="Warning Text 2 11" xfId="2377" xr:uid="{00000000-0005-0000-0000-00008A0A0000}"/>
    <cellStyle name="Warning Text 2 12" xfId="2378" xr:uid="{00000000-0005-0000-0000-00008B0A0000}"/>
    <cellStyle name="Warning Text 2 13" xfId="2379" xr:uid="{00000000-0005-0000-0000-00008C0A0000}"/>
    <cellStyle name="Warning Text 2 14" xfId="2380" xr:uid="{00000000-0005-0000-0000-00008D0A0000}"/>
    <cellStyle name="Warning Text 2 15" xfId="2381" xr:uid="{00000000-0005-0000-0000-00008E0A0000}"/>
    <cellStyle name="Warning Text 2 16" xfId="2382" xr:uid="{00000000-0005-0000-0000-00008F0A0000}"/>
    <cellStyle name="Warning Text 2 17" xfId="2383" xr:uid="{00000000-0005-0000-0000-0000900A0000}"/>
    <cellStyle name="Warning Text 2 2" xfId="2384" xr:uid="{00000000-0005-0000-0000-0000910A0000}"/>
    <cellStyle name="Warning Text 2 3" xfId="2385" xr:uid="{00000000-0005-0000-0000-0000920A0000}"/>
    <cellStyle name="Warning Text 2 4" xfId="2386" xr:uid="{00000000-0005-0000-0000-0000930A0000}"/>
    <cellStyle name="Warning Text 2 5" xfId="2387" xr:uid="{00000000-0005-0000-0000-0000940A0000}"/>
    <cellStyle name="Warning Text 2 6" xfId="2388" xr:uid="{00000000-0005-0000-0000-0000950A0000}"/>
    <cellStyle name="Warning Text 2 7" xfId="2389" xr:uid="{00000000-0005-0000-0000-0000960A0000}"/>
    <cellStyle name="Warning Text 2 8" xfId="2390" xr:uid="{00000000-0005-0000-0000-0000970A0000}"/>
    <cellStyle name="Warning Text 2 9" xfId="2391" xr:uid="{00000000-0005-0000-0000-0000980A0000}"/>
    <cellStyle name="Warning Text 3 10" xfId="2392" xr:uid="{00000000-0005-0000-0000-0000990A0000}"/>
    <cellStyle name="Warning Text 3 11" xfId="2393" xr:uid="{00000000-0005-0000-0000-00009A0A0000}"/>
    <cellStyle name="Warning Text 3 12" xfId="2394" xr:uid="{00000000-0005-0000-0000-00009B0A0000}"/>
    <cellStyle name="Warning Text 3 13" xfId="2395" xr:uid="{00000000-0005-0000-0000-00009C0A0000}"/>
    <cellStyle name="Warning Text 3 14" xfId="2396" xr:uid="{00000000-0005-0000-0000-00009D0A0000}"/>
    <cellStyle name="Warning Text 3 15" xfId="2397" xr:uid="{00000000-0005-0000-0000-00009E0A0000}"/>
    <cellStyle name="Warning Text 3 16" xfId="2398" xr:uid="{00000000-0005-0000-0000-00009F0A0000}"/>
    <cellStyle name="Warning Text 3 17" xfId="2399" xr:uid="{00000000-0005-0000-0000-0000A00A0000}"/>
    <cellStyle name="Warning Text 3 2" xfId="2400" xr:uid="{00000000-0005-0000-0000-0000A10A0000}"/>
    <cellStyle name="Warning Text 3 3" xfId="2401" xr:uid="{00000000-0005-0000-0000-0000A20A0000}"/>
    <cellStyle name="Warning Text 3 4" xfId="2402" xr:uid="{00000000-0005-0000-0000-0000A30A0000}"/>
    <cellStyle name="Warning Text 3 5" xfId="2403" xr:uid="{00000000-0005-0000-0000-0000A40A0000}"/>
    <cellStyle name="Warning Text 3 6" xfId="2404" xr:uid="{00000000-0005-0000-0000-0000A50A0000}"/>
    <cellStyle name="Warning Text 3 7" xfId="2405" xr:uid="{00000000-0005-0000-0000-0000A60A0000}"/>
    <cellStyle name="Warning Text 3 8" xfId="2406" xr:uid="{00000000-0005-0000-0000-0000A70A0000}"/>
    <cellStyle name="Warning Text 3 9" xfId="2407" xr:uid="{00000000-0005-0000-0000-0000A80A0000}"/>
  </cellStyles>
  <dxfs count="0"/>
  <tableStyles count="0" defaultTableStyle="TableStyleMedium2" defaultPivotStyle="PivotStyleLight16"/>
  <colors>
    <mruColors>
      <color rgb="FFFFFFCC"/>
      <color rgb="FF9900CC"/>
      <color rgb="FF008000"/>
      <color rgb="FFCC0000"/>
      <color rgb="FFFF9900"/>
      <color rgb="FFCC66FF"/>
      <color rgb="FF00FF00"/>
      <color rgb="FFFFCCFF"/>
      <color rgb="FFFF00FF"/>
      <color rgb="FFCC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7F6E0E-733E-444C-A1E0-D5524D0C2996}">
  <sheetPr>
    <pageSetUpPr fitToPage="1"/>
  </sheetPr>
  <dimension ref="A1:N724"/>
  <sheetViews>
    <sheetView tabSelected="1" view="pageBreakPreview" topLeftCell="A717" zoomScaleNormal="100" zoomScaleSheetLayoutView="100" workbookViewId="0">
      <selection activeCell="A2" sqref="A2:N724"/>
    </sheetView>
  </sheetViews>
  <sheetFormatPr defaultRowHeight="11.25"/>
  <cols>
    <col min="1" max="1" width="8.7109375" style="102" customWidth="1"/>
    <col min="2" max="2" width="8.28515625" style="102" customWidth="1"/>
    <col min="3" max="3" width="12.7109375" style="102" customWidth="1"/>
    <col min="4" max="4" width="17" style="102" bestFit="1" customWidth="1"/>
    <col min="5" max="5" width="13.5703125" style="103" customWidth="1"/>
    <col min="6" max="6" width="17.7109375" style="103" customWidth="1"/>
    <col min="7" max="7" width="13.42578125" style="103" customWidth="1"/>
    <col min="8" max="8" width="11.42578125" style="103" customWidth="1"/>
    <col min="9" max="9" width="13.5703125" style="119" customWidth="1"/>
    <col min="10" max="10" width="9" style="103" customWidth="1"/>
    <col min="11" max="11" width="10.85546875" style="103" customWidth="1"/>
    <col min="12" max="12" width="11.7109375" style="103" customWidth="1"/>
    <col min="13" max="13" width="47" style="102" customWidth="1"/>
    <col min="14" max="14" width="46" style="102" customWidth="1"/>
    <col min="15" max="207" width="9.140625" style="26"/>
    <col min="208" max="208" width="8.7109375" style="26" bestFit="1" customWidth="1"/>
    <col min="209" max="209" width="8.28515625" style="26" customWidth="1"/>
    <col min="210" max="210" width="12.7109375" style="26" customWidth="1"/>
    <col min="211" max="211" width="17" style="26" bestFit="1" customWidth="1"/>
    <col min="212" max="212" width="13.5703125" style="26" customWidth="1"/>
    <col min="213" max="213" width="17.7109375" style="26" customWidth="1"/>
    <col min="214" max="214" width="13.42578125" style="26" customWidth="1"/>
    <col min="215" max="215" width="11.42578125" style="26" customWidth="1"/>
    <col min="216" max="216" width="10.85546875" style="26" customWidth="1"/>
    <col min="217" max="217" width="9" style="26" bestFit="1" customWidth="1"/>
    <col min="218" max="218" width="10.85546875" style="26" customWidth="1"/>
    <col min="219" max="219" width="11" style="26" customWidth="1"/>
    <col min="220" max="220" width="43.5703125" style="26" customWidth="1"/>
    <col min="221" max="221" width="39.42578125" style="26" customWidth="1"/>
    <col min="222" max="222" width="9.140625" style="26"/>
    <col min="223" max="223" width="12.140625" style="26" customWidth="1"/>
    <col min="224" max="225" width="9.140625" style="26"/>
    <col min="226" max="226" width="11.85546875" style="26" customWidth="1"/>
    <col min="227" max="227" width="9.140625" style="26"/>
    <col min="228" max="228" width="13.5703125" style="26" customWidth="1"/>
    <col min="229" max="229" width="9" style="26" customWidth="1"/>
    <col min="230" max="230" width="10.85546875" style="26" customWidth="1"/>
    <col min="231" max="232" width="9.140625" style="26"/>
    <col min="233" max="233" width="11" style="26" customWidth="1"/>
    <col min="234" max="234" width="13.140625" style="26" customWidth="1"/>
    <col min="235" max="235" width="11.28515625" style="26" customWidth="1"/>
    <col min="236" max="238" width="9.140625" style="26"/>
    <col min="239" max="239" width="14.42578125" style="26" customWidth="1"/>
    <col min="240" max="240" width="10.5703125" style="26" customWidth="1"/>
    <col min="241" max="463" width="9.140625" style="26"/>
    <col min="464" max="464" width="8.7109375" style="26" bestFit="1" customWidth="1"/>
    <col min="465" max="465" width="8.28515625" style="26" customWidth="1"/>
    <col min="466" max="466" width="12.7109375" style="26" customWidth="1"/>
    <col min="467" max="467" width="17" style="26" bestFit="1" customWidth="1"/>
    <col min="468" max="468" width="13.5703125" style="26" customWidth="1"/>
    <col min="469" max="469" width="17.7109375" style="26" customWidth="1"/>
    <col min="470" max="470" width="13.42578125" style="26" customWidth="1"/>
    <col min="471" max="471" width="11.42578125" style="26" customWidth="1"/>
    <col min="472" max="472" width="10.85546875" style="26" customWidth="1"/>
    <col min="473" max="473" width="9" style="26" bestFit="1" customWidth="1"/>
    <col min="474" max="474" width="10.85546875" style="26" customWidth="1"/>
    <col min="475" max="475" width="11" style="26" customWidth="1"/>
    <col min="476" max="476" width="43.5703125" style="26" customWidth="1"/>
    <col min="477" max="477" width="39.42578125" style="26" customWidth="1"/>
    <col min="478" max="478" width="9.140625" style="26"/>
    <col min="479" max="479" width="12.140625" style="26" customWidth="1"/>
    <col min="480" max="481" width="9.140625" style="26"/>
    <col min="482" max="482" width="11.85546875" style="26" customWidth="1"/>
    <col min="483" max="483" width="9.140625" style="26"/>
    <col min="484" max="484" width="13.5703125" style="26" customWidth="1"/>
    <col min="485" max="485" width="9" style="26" customWidth="1"/>
    <col min="486" max="486" width="10.85546875" style="26" customWidth="1"/>
    <col min="487" max="488" width="9.140625" style="26"/>
    <col min="489" max="489" width="11" style="26" customWidth="1"/>
    <col min="490" max="490" width="13.140625" style="26" customWidth="1"/>
    <col min="491" max="491" width="11.28515625" style="26" customWidth="1"/>
    <col min="492" max="494" width="9.140625" style="26"/>
    <col min="495" max="495" width="14.42578125" style="26" customWidth="1"/>
    <col min="496" max="496" width="10.5703125" style="26" customWidth="1"/>
    <col min="497" max="719" width="9.140625" style="26"/>
    <col min="720" max="720" width="8.7109375" style="26" bestFit="1" customWidth="1"/>
    <col min="721" max="721" width="8.28515625" style="26" customWidth="1"/>
    <col min="722" max="722" width="12.7109375" style="26" customWidth="1"/>
    <col min="723" max="723" width="17" style="26" bestFit="1" customWidth="1"/>
    <col min="724" max="724" width="13.5703125" style="26" customWidth="1"/>
    <col min="725" max="725" width="17.7109375" style="26" customWidth="1"/>
    <col min="726" max="726" width="13.42578125" style="26" customWidth="1"/>
    <col min="727" max="727" width="11.42578125" style="26" customWidth="1"/>
    <col min="728" max="728" width="10.85546875" style="26" customWidth="1"/>
    <col min="729" max="729" width="9" style="26" bestFit="1" customWidth="1"/>
    <col min="730" max="730" width="10.85546875" style="26" customWidth="1"/>
    <col min="731" max="731" width="11" style="26" customWidth="1"/>
    <col min="732" max="732" width="43.5703125" style="26" customWidth="1"/>
    <col min="733" max="733" width="39.42578125" style="26" customWidth="1"/>
    <col min="734" max="734" width="9.140625" style="26"/>
    <col min="735" max="735" width="12.140625" style="26" customWidth="1"/>
    <col min="736" max="737" width="9.140625" style="26"/>
    <col min="738" max="738" width="11.85546875" style="26" customWidth="1"/>
    <col min="739" max="739" width="9.140625" style="26"/>
    <col min="740" max="740" width="13.5703125" style="26" customWidth="1"/>
    <col min="741" max="741" width="9" style="26" customWidth="1"/>
    <col min="742" max="742" width="10.85546875" style="26" customWidth="1"/>
    <col min="743" max="744" width="9.140625" style="26"/>
    <col min="745" max="745" width="11" style="26" customWidth="1"/>
    <col min="746" max="746" width="13.140625" style="26" customWidth="1"/>
    <col min="747" max="747" width="11.28515625" style="26" customWidth="1"/>
    <col min="748" max="750" width="9.140625" style="26"/>
    <col min="751" max="751" width="14.42578125" style="26" customWidth="1"/>
    <col min="752" max="752" width="10.5703125" style="26" customWidth="1"/>
    <col min="753" max="975" width="9.140625" style="26"/>
    <col min="976" max="976" width="8.7109375" style="26" bestFit="1" customWidth="1"/>
    <col min="977" max="977" width="8.28515625" style="26" customWidth="1"/>
    <col min="978" max="978" width="12.7109375" style="26" customWidth="1"/>
    <col min="979" max="979" width="17" style="26" bestFit="1" customWidth="1"/>
    <col min="980" max="980" width="13.5703125" style="26" customWidth="1"/>
    <col min="981" max="981" width="17.7109375" style="26" customWidth="1"/>
    <col min="982" max="982" width="13.42578125" style="26" customWidth="1"/>
    <col min="983" max="983" width="11.42578125" style="26" customWidth="1"/>
    <col min="984" max="984" width="10.85546875" style="26" customWidth="1"/>
    <col min="985" max="985" width="9" style="26" bestFit="1" customWidth="1"/>
    <col min="986" max="986" width="10.85546875" style="26" customWidth="1"/>
    <col min="987" max="987" width="11" style="26" customWidth="1"/>
    <col min="988" max="988" width="43.5703125" style="26" customWidth="1"/>
    <col min="989" max="989" width="39.42578125" style="26" customWidth="1"/>
    <col min="990" max="990" width="9.140625" style="26"/>
    <col min="991" max="991" width="12.140625" style="26" customWidth="1"/>
    <col min="992" max="993" width="9.140625" style="26"/>
    <col min="994" max="994" width="11.85546875" style="26" customWidth="1"/>
    <col min="995" max="995" width="9.140625" style="26"/>
    <col min="996" max="996" width="13.5703125" style="26" customWidth="1"/>
    <col min="997" max="997" width="9" style="26" customWidth="1"/>
    <col min="998" max="998" width="10.85546875" style="26" customWidth="1"/>
    <col min="999" max="1000" width="9.140625" style="26"/>
    <col min="1001" max="1001" width="11" style="26" customWidth="1"/>
    <col min="1002" max="1002" width="13.140625" style="26" customWidth="1"/>
    <col min="1003" max="1003" width="11.28515625" style="26" customWidth="1"/>
    <col min="1004" max="1006" width="9.140625" style="26"/>
    <col min="1007" max="1007" width="14.42578125" style="26" customWidth="1"/>
    <col min="1008" max="1008" width="10.5703125" style="26" customWidth="1"/>
    <col min="1009" max="1231" width="9.140625" style="26"/>
    <col min="1232" max="1232" width="8.7109375" style="26" bestFit="1" customWidth="1"/>
    <col min="1233" max="1233" width="8.28515625" style="26" customWidth="1"/>
    <col min="1234" max="1234" width="12.7109375" style="26" customWidth="1"/>
    <col min="1235" max="1235" width="17" style="26" bestFit="1" customWidth="1"/>
    <col min="1236" max="1236" width="13.5703125" style="26" customWidth="1"/>
    <col min="1237" max="1237" width="17.7109375" style="26" customWidth="1"/>
    <col min="1238" max="1238" width="13.42578125" style="26" customWidth="1"/>
    <col min="1239" max="1239" width="11.42578125" style="26" customWidth="1"/>
    <col min="1240" max="1240" width="10.85546875" style="26" customWidth="1"/>
    <col min="1241" max="1241" width="9" style="26" bestFit="1" customWidth="1"/>
    <col min="1242" max="1242" width="10.85546875" style="26" customWidth="1"/>
    <col min="1243" max="1243" width="11" style="26" customWidth="1"/>
    <col min="1244" max="1244" width="43.5703125" style="26" customWidth="1"/>
    <col min="1245" max="1245" width="39.42578125" style="26" customWidth="1"/>
    <col min="1246" max="1246" width="9.140625" style="26"/>
    <col min="1247" max="1247" width="12.140625" style="26" customWidth="1"/>
    <col min="1248" max="1249" width="9.140625" style="26"/>
    <col min="1250" max="1250" width="11.85546875" style="26" customWidth="1"/>
    <col min="1251" max="1251" width="9.140625" style="26"/>
    <col min="1252" max="1252" width="13.5703125" style="26" customWidth="1"/>
    <col min="1253" max="1253" width="9" style="26" customWidth="1"/>
    <col min="1254" max="1254" width="10.85546875" style="26" customWidth="1"/>
    <col min="1255" max="1256" width="9.140625" style="26"/>
    <col min="1257" max="1257" width="11" style="26" customWidth="1"/>
    <col min="1258" max="1258" width="13.140625" style="26" customWidth="1"/>
    <col min="1259" max="1259" width="11.28515625" style="26" customWidth="1"/>
    <col min="1260" max="1262" width="9.140625" style="26"/>
    <col min="1263" max="1263" width="14.42578125" style="26" customWidth="1"/>
    <col min="1264" max="1264" width="10.5703125" style="26" customWidth="1"/>
    <col min="1265" max="1487" width="9.140625" style="26"/>
    <col min="1488" max="1488" width="8.7109375" style="26" bestFit="1" customWidth="1"/>
    <col min="1489" max="1489" width="8.28515625" style="26" customWidth="1"/>
    <col min="1490" max="1490" width="12.7109375" style="26" customWidth="1"/>
    <col min="1491" max="1491" width="17" style="26" bestFit="1" customWidth="1"/>
    <col min="1492" max="1492" width="13.5703125" style="26" customWidth="1"/>
    <col min="1493" max="1493" width="17.7109375" style="26" customWidth="1"/>
    <col min="1494" max="1494" width="13.42578125" style="26" customWidth="1"/>
    <col min="1495" max="1495" width="11.42578125" style="26" customWidth="1"/>
    <col min="1496" max="1496" width="10.85546875" style="26" customWidth="1"/>
    <col min="1497" max="1497" width="9" style="26" bestFit="1" customWidth="1"/>
    <col min="1498" max="1498" width="10.85546875" style="26" customWidth="1"/>
    <col min="1499" max="1499" width="11" style="26" customWidth="1"/>
    <col min="1500" max="1500" width="43.5703125" style="26" customWidth="1"/>
    <col min="1501" max="1501" width="39.42578125" style="26" customWidth="1"/>
    <col min="1502" max="1502" width="9.140625" style="26"/>
    <col min="1503" max="1503" width="12.140625" style="26" customWidth="1"/>
    <col min="1504" max="1505" width="9.140625" style="26"/>
    <col min="1506" max="1506" width="11.85546875" style="26" customWidth="1"/>
    <col min="1507" max="1507" width="9.140625" style="26"/>
    <col min="1508" max="1508" width="13.5703125" style="26" customWidth="1"/>
    <col min="1509" max="1509" width="9" style="26" customWidth="1"/>
    <col min="1510" max="1510" width="10.85546875" style="26" customWidth="1"/>
    <col min="1511" max="1512" width="9.140625" style="26"/>
    <col min="1513" max="1513" width="11" style="26" customWidth="1"/>
    <col min="1514" max="1514" width="13.140625" style="26" customWidth="1"/>
    <col min="1515" max="1515" width="11.28515625" style="26" customWidth="1"/>
    <col min="1516" max="1518" width="9.140625" style="26"/>
    <col min="1519" max="1519" width="14.42578125" style="26" customWidth="1"/>
    <col min="1520" max="1520" width="10.5703125" style="26" customWidth="1"/>
    <col min="1521" max="1743" width="9.140625" style="26"/>
    <col min="1744" max="1744" width="8.7109375" style="26" bestFit="1" customWidth="1"/>
    <col min="1745" max="1745" width="8.28515625" style="26" customWidth="1"/>
    <col min="1746" max="1746" width="12.7109375" style="26" customWidth="1"/>
    <col min="1747" max="1747" width="17" style="26" bestFit="1" customWidth="1"/>
    <col min="1748" max="1748" width="13.5703125" style="26" customWidth="1"/>
    <col min="1749" max="1749" width="17.7109375" style="26" customWidth="1"/>
    <col min="1750" max="1750" width="13.42578125" style="26" customWidth="1"/>
    <col min="1751" max="1751" width="11.42578125" style="26" customWidth="1"/>
    <col min="1752" max="1752" width="10.85546875" style="26" customWidth="1"/>
    <col min="1753" max="1753" width="9" style="26" bestFit="1" customWidth="1"/>
    <col min="1754" max="1754" width="10.85546875" style="26" customWidth="1"/>
    <col min="1755" max="1755" width="11" style="26" customWidth="1"/>
    <col min="1756" max="1756" width="43.5703125" style="26" customWidth="1"/>
    <col min="1757" max="1757" width="39.42578125" style="26" customWidth="1"/>
    <col min="1758" max="1758" width="9.140625" style="26"/>
    <col min="1759" max="1759" width="12.140625" style="26" customWidth="1"/>
    <col min="1760" max="1761" width="9.140625" style="26"/>
    <col min="1762" max="1762" width="11.85546875" style="26" customWidth="1"/>
    <col min="1763" max="1763" width="9.140625" style="26"/>
    <col min="1764" max="1764" width="13.5703125" style="26" customWidth="1"/>
    <col min="1765" max="1765" width="9" style="26" customWidth="1"/>
    <col min="1766" max="1766" width="10.85546875" style="26" customWidth="1"/>
    <col min="1767" max="1768" width="9.140625" style="26"/>
    <col min="1769" max="1769" width="11" style="26" customWidth="1"/>
    <col min="1770" max="1770" width="13.140625" style="26" customWidth="1"/>
    <col min="1771" max="1771" width="11.28515625" style="26" customWidth="1"/>
    <col min="1772" max="1774" width="9.140625" style="26"/>
    <col min="1775" max="1775" width="14.42578125" style="26" customWidth="1"/>
    <col min="1776" max="1776" width="10.5703125" style="26" customWidth="1"/>
    <col min="1777" max="1999" width="9.140625" style="26"/>
    <col min="2000" max="2000" width="8.7109375" style="26" bestFit="1" customWidth="1"/>
    <col min="2001" max="2001" width="8.28515625" style="26" customWidth="1"/>
    <col min="2002" max="2002" width="12.7109375" style="26" customWidth="1"/>
    <col min="2003" max="2003" width="17" style="26" bestFit="1" customWidth="1"/>
    <col min="2004" max="2004" width="13.5703125" style="26" customWidth="1"/>
    <col min="2005" max="2005" width="17.7109375" style="26" customWidth="1"/>
    <col min="2006" max="2006" width="13.42578125" style="26" customWidth="1"/>
    <col min="2007" max="2007" width="11.42578125" style="26" customWidth="1"/>
    <col min="2008" max="2008" width="10.85546875" style="26" customWidth="1"/>
    <col min="2009" max="2009" width="9" style="26" bestFit="1" customWidth="1"/>
    <col min="2010" max="2010" width="10.85546875" style="26" customWidth="1"/>
    <col min="2011" max="2011" width="11" style="26" customWidth="1"/>
    <col min="2012" max="2012" width="43.5703125" style="26" customWidth="1"/>
    <col min="2013" max="2013" width="39.42578125" style="26" customWidth="1"/>
    <col min="2014" max="2014" width="9.140625" style="26"/>
    <col min="2015" max="2015" width="12.140625" style="26" customWidth="1"/>
    <col min="2016" max="2017" width="9.140625" style="26"/>
    <col min="2018" max="2018" width="11.85546875" style="26" customWidth="1"/>
    <col min="2019" max="2019" width="9.140625" style="26"/>
    <col min="2020" max="2020" width="13.5703125" style="26" customWidth="1"/>
    <col min="2021" max="2021" width="9" style="26" customWidth="1"/>
    <col min="2022" max="2022" width="10.85546875" style="26" customWidth="1"/>
    <col min="2023" max="2024" width="9.140625" style="26"/>
    <col min="2025" max="2025" width="11" style="26" customWidth="1"/>
    <col min="2026" max="2026" width="13.140625" style="26" customWidth="1"/>
    <col min="2027" max="2027" width="11.28515625" style="26" customWidth="1"/>
    <col min="2028" max="2030" width="9.140625" style="26"/>
    <col min="2031" max="2031" width="14.42578125" style="26" customWidth="1"/>
    <col min="2032" max="2032" width="10.5703125" style="26" customWidth="1"/>
    <col min="2033" max="2255" width="9.140625" style="26"/>
    <col min="2256" max="2256" width="8.7109375" style="26" bestFit="1" customWidth="1"/>
    <col min="2257" max="2257" width="8.28515625" style="26" customWidth="1"/>
    <col min="2258" max="2258" width="12.7109375" style="26" customWidth="1"/>
    <col min="2259" max="2259" width="17" style="26" bestFit="1" customWidth="1"/>
    <col min="2260" max="2260" width="13.5703125" style="26" customWidth="1"/>
    <col min="2261" max="2261" width="17.7109375" style="26" customWidth="1"/>
    <col min="2262" max="2262" width="13.42578125" style="26" customWidth="1"/>
    <col min="2263" max="2263" width="11.42578125" style="26" customWidth="1"/>
    <col min="2264" max="2264" width="10.85546875" style="26" customWidth="1"/>
    <col min="2265" max="2265" width="9" style="26" bestFit="1" customWidth="1"/>
    <col min="2266" max="2266" width="10.85546875" style="26" customWidth="1"/>
    <col min="2267" max="2267" width="11" style="26" customWidth="1"/>
    <col min="2268" max="2268" width="43.5703125" style="26" customWidth="1"/>
    <col min="2269" max="2269" width="39.42578125" style="26" customWidth="1"/>
    <col min="2270" max="2270" width="9.140625" style="26"/>
    <col min="2271" max="2271" width="12.140625" style="26" customWidth="1"/>
    <col min="2272" max="2273" width="9.140625" style="26"/>
    <col min="2274" max="2274" width="11.85546875" style="26" customWidth="1"/>
    <col min="2275" max="2275" width="9.140625" style="26"/>
    <col min="2276" max="2276" width="13.5703125" style="26" customWidth="1"/>
    <col min="2277" max="2277" width="9" style="26" customWidth="1"/>
    <col min="2278" max="2278" width="10.85546875" style="26" customWidth="1"/>
    <col min="2279" max="2280" width="9.140625" style="26"/>
    <col min="2281" max="2281" width="11" style="26" customWidth="1"/>
    <col min="2282" max="2282" width="13.140625" style="26" customWidth="1"/>
    <col min="2283" max="2283" width="11.28515625" style="26" customWidth="1"/>
    <col min="2284" max="2286" width="9.140625" style="26"/>
    <col min="2287" max="2287" width="14.42578125" style="26" customWidth="1"/>
    <col min="2288" max="2288" width="10.5703125" style="26" customWidth="1"/>
    <col min="2289" max="2511" width="9.140625" style="26"/>
    <col min="2512" max="2512" width="8.7109375" style="26" bestFit="1" customWidth="1"/>
    <col min="2513" max="2513" width="8.28515625" style="26" customWidth="1"/>
    <col min="2514" max="2514" width="12.7109375" style="26" customWidth="1"/>
    <col min="2515" max="2515" width="17" style="26" bestFit="1" customWidth="1"/>
    <col min="2516" max="2516" width="13.5703125" style="26" customWidth="1"/>
    <col min="2517" max="2517" width="17.7109375" style="26" customWidth="1"/>
    <col min="2518" max="2518" width="13.42578125" style="26" customWidth="1"/>
    <col min="2519" max="2519" width="11.42578125" style="26" customWidth="1"/>
    <col min="2520" max="2520" width="10.85546875" style="26" customWidth="1"/>
    <col min="2521" max="2521" width="9" style="26" bestFit="1" customWidth="1"/>
    <col min="2522" max="2522" width="10.85546875" style="26" customWidth="1"/>
    <col min="2523" max="2523" width="11" style="26" customWidth="1"/>
    <col min="2524" max="2524" width="43.5703125" style="26" customWidth="1"/>
    <col min="2525" max="2525" width="39.42578125" style="26" customWidth="1"/>
    <col min="2526" max="2526" width="9.140625" style="26"/>
    <col min="2527" max="2527" width="12.140625" style="26" customWidth="1"/>
    <col min="2528" max="2529" width="9.140625" style="26"/>
    <col min="2530" max="2530" width="11.85546875" style="26" customWidth="1"/>
    <col min="2531" max="2531" width="9.140625" style="26"/>
    <col min="2532" max="2532" width="13.5703125" style="26" customWidth="1"/>
    <col min="2533" max="2533" width="9" style="26" customWidth="1"/>
    <col min="2534" max="2534" width="10.85546875" style="26" customWidth="1"/>
    <col min="2535" max="2536" width="9.140625" style="26"/>
    <col min="2537" max="2537" width="11" style="26" customWidth="1"/>
    <col min="2538" max="2538" width="13.140625" style="26" customWidth="1"/>
    <col min="2539" max="2539" width="11.28515625" style="26" customWidth="1"/>
    <col min="2540" max="2542" width="9.140625" style="26"/>
    <col min="2543" max="2543" width="14.42578125" style="26" customWidth="1"/>
    <col min="2544" max="2544" width="10.5703125" style="26" customWidth="1"/>
    <col min="2545" max="2767" width="9.140625" style="26"/>
    <col min="2768" max="2768" width="8.7109375" style="26" bestFit="1" customWidth="1"/>
    <col min="2769" max="2769" width="8.28515625" style="26" customWidth="1"/>
    <col min="2770" max="2770" width="12.7109375" style="26" customWidth="1"/>
    <col min="2771" max="2771" width="17" style="26" bestFit="1" customWidth="1"/>
    <col min="2772" max="2772" width="13.5703125" style="26" customWidth="1"/>
    <col min="2773" max="2773" width="17.7109375" style="26" customWidth="1"/>
    <col min="2774" max="2774" width="13.42578125" style="26" customWidth="1"/>
    <col min="2775" max="2775" width="11.42578125" style="26" customWidth="1"/>
    <col min="2776" max="2776" width="10.85546875" style="26" customWidth="1"/>
    <col min="2777" max="2777" width="9" style="26" bestFit="1" customWidth="1"/>
    <col min="2778" max="2778" width="10.85546875" style="26" customWidth="1"/>
    <col min="2779" max="2779" width="11" style="26" customWidth="1"/>
    <col min="2780" max="2780" width="43.5703125" style="26" customWidth="1"/>
    <col min="2781" max="2781" width="39.42578125" style="26" customWidth="1"/>
    <col min="2782" max="2782" width="9.140625" style="26"/>
    <col min="2783" max="2783" width="12.140625" style="26" customWidth="1"/>
    <col min="2784" max="2785" width="9.140625" style="26"/>
    <col min="2786" max="2786" width="11.85546875" style="26" customWidth="1"/>
    <col min="2787" max="2787" width="9.140625" style="26"/>
    <col min="2788" max="2788" width="13.5703125" style="26" customWidth="1"/>
    <col min="2789" max="2789" width="9" style="26" customWidth="1"/>
    <col min="2790" max="2790" width="10.85546875" style="26" customWidth="1"/>
    <col min="2791" max="2792" width="9.140625" style="26"/>
    <col min="2793" max="2793" width="11" style="26" customWidth="1"/>
    <col min="2794" max="2794" width="13.140625" style="26" customWidth="1"/>
    <col min="2795" max="2795" width="11.28515625" style="26" customWidth="1"/>
    <col min="2796" max="2798" width="9.140625" style="26"/>
    <col min="2799" max="2799" width="14.42578125" style="26" customWidth="1"/>
    <col min="2800" max="2800" width="10.5703125" style="26" customWidth="1"/>
    <col min="2801" max="3023" width="9.140625" style="26"/>
    <col min="3024" max="3024" width="8.7109375" style="26" bestFit="1" customWidth="1"/>
    <col min="3025" max="3025" width="8.28515625" style="26" customWidth="1"/>
    <col min="3026" max="3026" width="12.7109375" style="26" customWidth="1"/>
    <col min="3027" max="3027" width="17" style="26" bestFit="1" customWidth="1"/>
    <col min="3028" max="3028" width="13.5703125" style="26" customWidth="1"/>
    <col min="3029" max="3029" width="17.7109375" style="26" customWidth="1"/>
    <col min="3030" max="3030" width="13.42578125" style="26" customWidth="1"/>
    <col min="3031" max="3031" width="11.42578125" style="26" customWidth="1"/>
    <col min="3032" max="3032" width="10.85546875" style="26" customWidth="1"/>
    <col min="3033" max="3033" width="9" style="26" bestFit="1" customWidth="1"/>
    <col min="3034" max="3034" width="10.85546875" style="26" customWidth="1"/>
    <col min="3035" max="3035" width="11" style="26" customWidth="1"/>
    <col min="3036" max="3036" width="43.5703125" style="26" customWidth="1"/>
    <col min="3037" max="3037" width="39.42578125" style="26" customWidth="1"/>
    <col min="3038" max="3038" width="9.140625" style="26"/>
    <col min="3039" max="3039" width="12.140625" style="26" customWidth="1"/>
    <col min="3040" max="3041" width="9.140625" style="26"/>
    <col min="3042" max="3042" width="11.85546875" style="26" customWidth="1"/>
    <col min="3043" max="3043" width="9.140625" style="26"/>
    <col min="3044" max="3044" width="13.5703125" style="26" customWidth="1"/>
    <col min="3045" max="3045" width="9" style="26" customWidth="1"/>
    <col min="3046" max="3046" width="10.85546875" style="26" customWidth="1"/>
    <col min="3047" max="3048" width="9.140625" style="26"/>
    <col min="3049" max="3049" width="11" style="26" customWidth="1"/>
    <col min="3050" max="3050" width="13.140625" style="26" customWidth="1"/>
    <col min="3051" max="3051" width="11.28515625" style="26" customWidth="1"/>
    <col min="3052" max="3054" width="9.140625" style="26"/>
    <col min="3055" max="3055" width="14.42578125" style="26" customWidth="1"/>
    <col min="3056" max="3056" width="10.5703125" style="26" customWidth="1"/>
    <col min="3057" max="3279" width="9.140625" style="26"/>
    <col min="3280" max="3280" width="8.7109375" style="26" bestFit="1" customWidth="1"/>
    <col min="3281" max="3281" width="8.28515625" style="26" customWidth="1"/>
    <col min="3282" max="3282" width="12.7109375" style="26" customWidth="1"/>
    <col min="3283" max="3283" width="17" style="26" bestFit="1" customWidth="1"/>
    <col min="3284" max="3284" width="13.5703125" style="26" customWidth="1"/>
    <col min="3285" max="3285" width="17.7109375" style="26" customWidth="1"/>
    <col min="3286" max="3286" width="13.42578125" style="26" customWidth="1"/>
    <col min="3287" max="3287" width="11.42578125" style="26" customWidth="1"/>
    <col min="3288" max="3288" width="10.85546875" style="26" customWidth="1"/>
    <col min="3289" max="3289" width="9" style="26" bestFit="1" customWidth="1"/>
    <col min="3290" max="3290" width="10.85546875" style="26" customWidth="1"/>
    <col min="3291" max="3291" width="11" style="26" customWidth="1"/>
    <col min="3292" max="3292" width="43.5703125" style="26" customWidth="1"/>
    <col min="3293" max="3293" width="39.42578125" style="26" customWidth="1"/>
    <col min="3294" max="3294" width="9.140625" style="26"/>
    <col min="3295" max="3295" width="12.140625" style="26" customWidth="1"/>
    <col min="3296" max="3297" width="9.140625" style="26"/>
    <col min="3298" max="3298" width="11.85546875" style="26" customWidth="1"/>
    <col min="3299" max="3299" width="9.140625" style="26"/>
    <col min="3300" max="3300" width="13.5703125" style="26" customWidth="1"/>
    <col min="3301" max="3301" width="9" style="26" customWidth="1"/>
    <col min="3302" max="3302" width="10.85546875" style="26" customWidth="1"/>
    <col min="3303" max="3304" width="9.140625" style="26"/>
    <col min="3305" max="3305" width="11" style="26" customWidth="1"/>
    <col min="3306" max="3306" width="13.140625" style="26" customWidth="1"/>
    <col min="3307" max="3307" width="11.28515625" style="26" customWidth="1"/>
    <col min="3308" max="3310" width="9.140625" style="26"/>
    <col min="3311" max="3311" width="14.42578125" style="26" customWidth="1"/>
    <col min="3312" max="3312" width="10.5703125" style="26" customWidth="1"/>
    <col min="3313" max="3535" width="9.140625" style="26"/>
    <col min="3536" max="3536" width="8.7109375" style="26" bestFit="1" customWidth="1"/>
    <col min="3537" max="3537" width="8.28515625" style="26" customWidth="1"/>
    <col min="3538" max="3538" width="12.7109375" style="26" customWidth="1"/>
    <col min="3539" max="3539" width="17" style="26" bestFit="1" customWidth="1"/>
    <col min="3540" max="3540" width="13.5703125" style="26" customWidth="1"/>
    <col min="3541" max="3541" width="17.7109375" style="26" customWidth="1"/>
    <col min="3542" max="3542" width="13.42578125" style="26" customWidth="1"/>
    <col min="3543" max="3543" width="11.42578125" style="26" customWidth="1"/>
    <col min="3544" max="3544" width="10.85546875" style="26" customWidth="1"/>
    <col min="3545" max="3545" width="9" style="26" bestFit="1" customWidth="1"/>
    <col min="3546" max="3546" width="10.85546875" style="26" customWidth="1"/>
    <col min="3547" max="3547" width="11" style="26" customWidth="1"/>
    <col min="3548" max="3548" width="43.5703125" style="26" customWidth="1"/>
    <col min="3549" max="3549" width="39.42578125" style="26" customWidth="1"/>
    <col min="3550" max="3550" width="9.140625" style="26"/>
    <col min="3551" max="3551" width="12.140625" style="26" customWidth="1"/>
    <col min="3552" max="3553" width="9.140625" style="26"/>
    <col min="3554" max="3554" width="11.85546875" style="26" customWidth="1"/>
    <col min="3555" max="3555" width="9.140625" style="26"/>
    <col min="3556" max="3556" width="13.5703125" style="26" customWidth="1"/>
    <col min="3557" max="3557" width="9" style="26" customWidth="1"/>
    <col min="3558" max="3558" width="10.85546875" style="26" customWidth="1"/>
    <col min="3559" max="3560" width="9.140625" style="26"/>
    <col min="3561" max="3561" width="11" style="26" customWidth="1"/>
    <col min="3562" max="3562" width="13.140625" style="26" customWidth="1"/>
    <col min="3563" max="3563" width="11.28515625" style="26" customWidth="1"/>
    <col min="3564" max="3566" width="9.140625" style="26"/>
    <col min="3567" max="3567" width="14.42578125" style="26" customWidth="1"/>
    <col min="3568" max="3568" width="10.5703125" style="26" customWidth="1"/>
    <col min="3569" max="3791" width="9.140625" style="26"/>
    <col min="3792" max="3792" width="8.7109375" style="26" bestFit="1" customWidth="1"/>
    <col min="3793" max="3793" width="8.28515625" style="26" customWidth="1"/>
    <col min="3794" max="3794" width="12.7109375" style="26" customWidth="1"/>
    <col min="3795" max="3795" width="17" style="26" bestFit="1" customWidth="1"/>
    <col min="3796" max="3796" width="13.5703125" style="26" customWidth="1"/>
    <col min="3797" max="3797" width="17.7109375" style="26" customWidth="1"/>
    <col min="3798" max="3798" width="13.42578125" style="26" customWidth="1"/>
    <col min="3799" max="3799" width="11.42578125" style="26" customWidth="1"/>
    <col min="3800" max="3800" width="10.85546875" style="26" customWidth="1"/>
    <col min="3801" max="3801" width="9" style="26" bestFit="1" customWidth="1"/>
    <col min="3802" max="3802" width="10.85546875" style="26" customWidth="1"/>
    <col min="3803" max="3803" width="11" style="26" customWidth="1"/>
    <col min="3804" max="3804" width="43.5703125" style="26" customWidth="1"/>
    <col min="3805" max="3805" width="39.42578125" style="26" customWidth="1"/>
    <col min="3806" max="3806" width="9.140625" style="26"/>
    <col min="3807" max="3807" width="12.140625" style="26" customWidth="1"/>
    <col min="3808" max="3809" width="9.140625" style="26"/>
    <col min="3810" max="3810" width="11.85546875" style="26" customWidth="1"/>
    <col min="3811" max="3811" width="9.140625" style="26"/>
    <col min="3812" max="3812" width="13.5703125" style="26" customWidth="1"/>
    <col min="3813" max="3813" width="9" style="26" customWidth="1"/>
    <col min="3814" max="3814" width="10.85546875" style="26" customWidth="1"/>
    <col min="3815" max="3816" width="9.140625" style="26"/>
    <col min="3817" max="3817" width="11" style="26" customWidth="1"/>
    <col min="3818" max="3818" width="13.140625" style="26" customWidth="1"/>
    <col min="3819" max="3819" width="11.28515625" style="26" customWidth="1"/>
    <col min="3820" max="3822" width="9.140625" style="26"/>
    <col min="3823" max="3823" width="14.42578125" style="26" customWidth="1"/>
    <col min="3824" max="3824" width="10.5703125" style="26" customWidth="1"/>
    <col min="3825" max="4047" width="9.140625" style="26"/>
    <col min="4048" max="4048" width="8.7109375" style="26" bestFit="1" customWidth="1"/>
    <col min="4049" max="4049" width="8.28515625" style="26" customWidth="1"/>
    <col min="4050" max="4050" width="12.7109375" style="26" customWidth="1"/>
    <col min="4051" max="4051" width="17" style="26" bestFit="1" customWidth="1"/>
    <col min="4052" max="4052" width="13.5703125" style="26" customWidth="1"/>
    <col min="4053" max="4053" width="17.7109375" style="26" customWidth="1"/>
    <col min="4054" max="4054" width="13.42578125" style="26" customWidth="1"/>
    <col min="4055" max="4055" width="11.42578125" style="26" customWidth="1"/>
    <col min="4056" max="4056" width="10.85546875" style="26" customWidth="1"/>
    <col min="4057" max="4057" width="9" style="26" bestFit="1" customWidth="1"/>
    <col min="4058" max="4058" width="10.85546875" style="26" customWidth="1"/>
    <col min="4059" max="4059" width="11" style="26" customWidth="1"/>
    <col min="4060" max="4060" width="43.5703125" style="26" customWidth="1"/>
    <col min="4061" max="4061" width="39.42578125" style="26" customWidth="1"/>
    <col min="4062" max="4062" width="9.140625" style="26"/>
    <col min="4063" max="4063" width="12.140625" style="26" customWidth="1"/>
    <col min="4064" max="4065" width="9.140625" style="26"/>
    <col min="4066" max="4066" width="11.85546875" style="26" customWidth="1"/>
    <col min="4067" max="4067" width="9.140625" style="26"/>
    <col min="4068" max="4068" width="13.5703125" style="26" customWidth="1"/>
    <col min="4069" max="4069" width="9" style="26" customWidth="1"/>
    <col min="4070" max="4070" width="10.85546875" style="26" customWidth="1"/>
    <col min="4071" max="4072" width="9.140625" style="26"/>
    <col min="4073" max="4073" width="11" style="26" customWidth="1"/>
    <col min="4074" max="4074" width="13.140625" style="26" customWidth="1"/>
    <col min="4075" max="4075" width="11.28515625" style="26" customWidth="1"/>
    <col min="4076" max="4078" width="9.140625" style="26"/>
    <col min="4079" max="4079" width="14.42578125" style="26" customWidth="1"/>
    <col min="4080" max="4080" width="10.5703125" style="26" customWidth="1"/>
    <col min="4081" max="4303" width="9.140625" style="26"/>
    <col min="4304" max="4304" width="8.7109375" style="26" bestFit="1" customWidth="1"/>
    <col min="4305" max="4305" width="8.28515625" style="26" customWidth="1"/>
    <col min="4306" max="4306" width="12.7109375" style="26" customWidth="1"/>
    <col min="4307" max="4307" width="17" style="26" bestFit="1" customWidth="1"/>
    <col min="4308" max="4308" width="13.5703125" style="26" customWidth="1"/>
    <col min="4309" max="4309" width="17.7109375" style="26" customWidth="1"/>
    <col min="4310" max="4310" width="13.42578125" style="26" customWidth="1"/>
    <col min="4311" max="4311" width="11.42578125" style="26" customWidth="1"/>
    <col min="4312" max="4312" width="10.85546875" style="26" customWidth="1"/>
    <col min="4313" max="4313" width="9" style="26" bestFit="1" customWidth="1"/>
    <col min="4314" max="4314" width="10.85546875" style="26" customWidth="1"/>
    <col min="4315" max="4315" width="11" style="26" customWidth="1"/>
    <col min="4316" max="4316" width="43.5703125" style="26" customWidth="1"/>
    <col min="4317" max="4317" width="39.42578125" style="26" customWidth="1"/>
    <col min="4318" max="4318" width="9.140625" style="26"/>
    <col min="4319" max="4319" width="12.140625" style="26" customWidth="1"/>
    <col min="4320" max="4321" width="9.140625" style="26"/>
    <col min="4322" max="4322" width="11.85546875" style="26" customWidth="1"/>
    <col min="4323" max="4323" width="9.140625" style="26"/>
    <col min="4324" max="4324" width="13.5703125" style="26" customWidth="1"/>
    <col min="4325" max="4325" width="9" style="26" customWidth="1"/>
    <col min="4326" max="4326" width="10.85546875" style="26" customWidth="1"/>
    <col min="4327" max="4328" width="9.140625" style="26"/>
    <col min="4329" max="4329" width="11" style="26" customWidth="1"/>
    <col min="4330" max="4330" width="13.140625" style="26" customWidth="1"/>
    <col min="4331" max="4331" width="11.28515625" style="26" customWidth="1"/>
    <col min="4332" max="4334" width="9.140625" style="26"/>
    <col min="4335" max="4335" width="14.42578125" style="26" customWidth="1"/>
    <col min="4336" max="4336" width="10.5703125" style="26" customWidth="1"/>
    <col min="4337" max="4559" width="9.140625" style="26"/>
    <col min="4560" max="4560" width="8.7109375" style="26" bestFit="1" customWidth="1"/>
    <col min="4561" max="4561" width="8.28515625" style="26" customWidth="1"/>
    <col min="4562" max="4562" width="12.7109375" style="26" customWidth="1"/>
    <col min="4563" max="4563" width="17" style="26" bestFit="1" customWidth="1"/>
    <col min="4564" max="4564" width="13.5703125" style="26" customWidth="1"/>
    <col min="4565" max="4565" width="17.7109375" style="26" customWidth="1"/>
    <col min="4566" max="4566" width="13.42578125" style="26" customWidth="1"/>
    <col min="4567" max="4567" width="11.42578125" style="26" customWidth="1"/>
    <col min="4568" max="4568" width="10.85546875" style="26" customWidth="1"/>
    <col min="4569" max="4569" width="9" style="26" bestFit="1" customWidth="1"/>
    <col min="4570" max="4570" width="10.85546875" style="26" customWidth="1"/>
    <col min="4571" max="4571" width="11" style="26" customWidth="1"/>
    <col min="4572" max="4572" width="43.5703125" style="26" customWidth="1"/>
    <col min="4573" max="4573" width="39.42578125" style="26" customWidth="1"/>
    <col min="4574" max="4574" width="9.140625" style="26"/>
    <col min="4575" max="4575" width="12.140625" style="26" customWidth="1"/>
    <col min="4576" max="4577" width="9.140625" style="26"/>
    <col min="4578" max="4578" width="11.85546875" style="26" customWidth="1"/>
    <col min="4579" max="4579" width="9.140625" style="26"/>
    <col min="4580" max="4580" width="13.5703125" style="26" customWidth="1"/>
    <col min="4581" max="4581" width="9" style="26" customWidth="1"/>
    <col min="4582" max="4582" width="10.85546875" style="26" customWidth="1"/>
    <col min="4583" max="4584" width="9.140625" style="26"/>
    <col min="4585" max="4585" width="11" style="26" customWidth="1"/>
    <col min="4586" max="4586" width="13.140625" style="26" customWidth="1"/>
    <col min="4587" max="4587" width="11.28515625" style="26" customWidth="1"/>
    <col min="4588" max="4590" width="9.140625" style="26"/>
    <col min="4591" max="4591" width="14.42578125" style="26" customWidth="1"/>
    <col min="4592" max="4592" width="10.5703125" style="26" customWidth="1"/>
    <col min="4593" max="4815" width="9.140625" style="26"/>
    <col min="4816" max="4816" width="8.7109375" style="26" bestFit="1" customWidth="1"/>
    <col min="4817" max="4817" width="8.28515625" style="26" customWidth="1"/>
    <col min="4818" max="4818" width="12.7109375" style="26" customWidth="1"/>
    <col min="4819" max="4819" width="17" style="26" bestFit="1" customWidth="1"/>
    <col min="4820" max="4820" width="13.5703125" style="26" customWidth="1"/>
    <col min="4821" max="4821" width="17.7109375" style="26" customWidth="1"/>
    <col min="4822" max="4822" width="13.42578125" style="26" customWidth="1"/>
    <col min="4823" max="4823" width="11.42578125" style="26" customWidth="1"/>
    <col min="4824" max="4824" width="10.85546875" style="26" customWidth="1"/>
    <col min="4825" max="4825" width="9" style="26" bestFit="1" customWidth="1"/>
    <col min="4826" max="4826" width="10.85546875" style="26" customWidth="1"/>
    <col min="4827" max="4827" width="11" style="26" customWidth="1"/>
    <col min="4828" max="4828" width="43.5703125" style="26" customWidth="1"/>
    <col min="4829" max="4829" width="39.42578125" style="26" customWidth="1"/>
    <col min="4830" max="4830" width="9.140625" style="26"/>
    <col min="4831" max="4831" width="12.140625" style="26" customWidth="1"/>
    <col min="4832" max="4833" width="9.140625" style="26"/>
    <col min="4834" max="4834" width="11.85546875" style="26" customWidth="1"/>
    <col min="4835" max="4835" width="9.140625" style="26"/>
    <col min="4836" max="4836" width="13.5703125" style="26" customWidth="1"/>
    <col min="4837" max="4837" width="9" style="26" customWidth="1"/>
    <col min="4838" max="4838" width="10.85546875" style="26" customWidth="1"/>
    <col min="4839" max="4840" width="9.140625" style="26"/>
    <col min="4841" max="4841" width="11" style="26" customWidth="1"/>
    <col min="4842" max="4842" width="13.140625" style="26" customWidth="1"/>
    <col min="4843" max="4843" width="11.28515625" style="26" customWidth="1"/>
    <col min="4844" max="4846" width="9.140625" style="26"/>
    <col min="4847" max="4847" width="14.42578125" style="26" customWidth="1"/>
    <col min="4848" max="4848" width="10.5703125" style="26" customWidth="1"/>
    <col min="4849" max="5071" width="9.140625" style="26"/>
    <col min="5072" max="5072" width="8.7109375" style="26" bestFit="1" customWidth="1"/>
    <col min="5073" max="5073" width="8.28515625" style="26" customWidth="1"/>
    <col min="5074" max="5074" width="12.7109375" style="26" customWidth="1"/>
    <col min="5075" max="5075" width="17" style="26" bestFit="1" customWidth="1"/>
    <col min="5076" max="5076" width="13.5703125" style="26" customWidth="1"/>
    <col min="5077" max="5077" width="17.7109375" style="26" customWidth="1"/>
    <col min="5078" max="5078" width="13.42578125" style="26" customWidth="1"/>
    <col min="5079" max="5079" width="11.42578125" style="26" customWidth="1"/>
    <col min="5080" max="5080" width="10.85546875" style="26" customWidth="1"/>
    <col min="5081" max="5081" width="9" style="26" bestFit="1" customWidth="1"/>
    <col min="5082" max="5082" width="10.85546875" style="26" customWidth="1"/>
    <col min="5083" max="5083" width="11" style="26" customWidth="1"/>
    <col min="5084" max="5084" width="43.5703125" style="26" customWidth="1"/>
    <col min="5085" max="5085" width="39.42578125" style="26" customWidth="1"/>
    <col min="5086" max="5086" width="9.140625" style="26"/>
    <col min="5087" max="5087" width="12.140625" style="26" customWidth="1"/>
    <col min="5088" max="5089" width="9.140625" style="26"/>
    <col min="5090" max="5090" width="11.85546875" style="26" customWidth="1"/>
    <col min="5091" max="5091" width="9.140625" style="26"/>
    <col min="5092" max="5092" width="13.5703125" style="26" customWidth="1"/>
    <col min="5093" max="5093" width="9" style="26" customWidth="1"/>
    <col min="5094" max="5094" width="10.85546875" style="26" customWidth="1"/>
    <col min="5095" max="5096" width="9.140625" style="26"/>
    <col min="5097" max="5097" width="11" style="26" customWidth="1"/>
    <col min="5098" max="5098" width="13.140625" style="26" customWidth="1"/>
    <col min="5099" max="5099" width="11.28515625" style="26" customWidth="1"/>
    <col min="5100" max="5102" width="9.140625" style="26"/>
    <col min="5103" max="5103" width="14.42578125" style="26" customWidth="1"/>
    <col min="5104" max="5104" width="10.5703125" style="26" customWidth="1"/>
    <col min="5105" max="5327" width="9.140625" style="26"/>
    <col min="5328" max="5328" width="8.7109375" style="26" bestFit="1" customWidth="1"/>
    <col min="5329" max="5329" width="8.28515625" style="26" customWidth="1"/>
    <col min="5330" max="5330" width="12.7109375" style="26" customWidth="1"/>
    <col min="5331" max="5331" width="17" style="26" bestFit="1" customWidth="1"/>
    <col min="5332" max="5332" width="13.5703125" style="26" customWidth="1"/>
    <col min="5333" max="5333" width="17.7109375" style="26" customWidth="1"/>
    <col min="5334" max="5334" width="13.42578125" style="26" customWidth="1"/>
    <col min="5335" max="5335" width="11.42578125" style="26" customWidth="1"/>
    <col min="5336" max="5336" width="10.85546875" style="26" customWidth="1"/>
    <col min="5337" max="5337" width="9" style="26" bestFit="1" customWidth="1"/>
    <col min="5338" max="5338" width="10.85546875" style="26" customWidth="1"/>
    <col min="5339" max="5339" width="11" style="26" customWidth="1"/>
    <col min="5340" max="5340" width="43.5703125" style="26" customWidth="1"/>
    <col min="5341" max="5341" width="39.42578125" style="26" customWidth="1"/>
    <col min="5342" max="5342" width="9.140625" style="26"/>
    <col min="5343" max="5343" width="12.140625" style="26" customWidth="1"/>
    <col min="5344" max="5345" width="9.140625" style="26"/>
    <col min="5346" max="5346" width="11.85546875" style="26" customWidth="1"/>
    <col min="5347" max="5347" width="9.140625" style="26"/>
    <col min="5348" max="5348" width="13.5703125" style="26" customWidth="1"/>
    <col min="5349" max="5349" width="9" style="26" customWidth="1"/>
    <col min="5350" max="5350" width="10.85546875" style="26" customWidth="1"/>
    <col min="5351" max="5352" width="9.140625" style="26"/>
    <col min="5353" max="5353" width="11" style="26" customWidth="1"/>
    <col min="5354" max="5354" width="13.140625" style="26" customWidth="1"/>
    <col min="5355" max="5355" width="11.28515625" style="26" customWidth="1"/>
    <col min="5356" max="5358" width="9.140625" style="26"/>
    <col min="5359" max="5359" width="14.42578125" style="26" customWidth="1"/>
    <col min="5360" max="5360" width="10.5703125" style="26" customWidth="1"/>
    <col min="5361" max="5583" width="9.140625" style="26"/>
    <col min="5584" max="5584" width="8.7109375" style="26" bestFit="1" customWidth="1"/>
    <col min="5585" max="5585" width="8.28515625" style="26" customWidth="1"/>
    <col min="5586" max="5586" width="12.7109375" style="26" customWidth="1"/>
    <col min="5587" max="5587" width="17" style="26" bestFit="1" customWidth="1"/>
    <col min="5588" max="5588" width="13.5703125" style="26" customWidth="1"/>
    <col min="5589" max="5589" width="17.7109375" style="26" customWidth="1"/>
    <col min="5590" max="5590" width="13.42578125" style="26" customWidth="1"/>
    <col min="5591" max="5591" width="11.42578125" style="26" customWidth="1"/>
    <col min="5592" max="5592" width="10.85546875" style="26" customWidth="1"/>
    <col min="5593" max="5593" width="9" style="26" bestFit="1" customWidth="1"/>
    <col min="5594" max="5594" width="10.85546875" style="26" customWidth="1"/>
    <col min="5595" max="5595" width="11" style="26" customWidth="1"/>
    <col min="5596" max="5596" width="43.5703125" style="26" customWidth="1"/>
    <col min="5597" max="5597" width="39.42578125" style="26" customWidth="1"/>
    <col min="5598" max="5598" width="9.140625" style="26"/>
    <col min="5599" max="5599" width="12.140625" style="26" customWidth="1"/>
    <col min="5600" max="5601" width="9.140625" style="26"/>
    <col min="5602" max="5602" width="11.85546875" style="26" customWidth="1"/>
    <col min="5603" max="5603" width="9.140625" style="26"/>
    <col min="5604" max="5604" width="13.5703125" style="26" customWidth="1"/>
    <col min="5605" max="5605" width="9" style="26" customWidth="1"/>
    <col min="5606" max="5606" width="10.85546875" style="26" customWidth="1"/>
    <col min="5607" max="5608" width="9.140625" style="26"/>
    <col min="5609" max="5609" width="11" style="26" customWidth="1"/>
    <col min="5610" max="5610" width="13.140625" style="26" customWidth="1"/>
    <col min="5611" max="5611" width="11.28515625" style="26" customWidth="1"/>
    <col min="5612" max="5614" width="9.140625" style="26"/>
    <col min="5615" max="5615" width="14.42578125" style="26" customWidth="1"/>
    <col min="5616" max="5616" width="10.5703125" style="26" customWidth="1"/>
    <col min="5617" max="5839" width="9.140625" style="26"/>
    <col min="5840" max="5840" width="8.7109375" style="26" bestFit="1" customWidth="1"/>
    <col min="5841" max="5841" width="8.28515625" style="26" customWidth="1"/>
    <col min="5842" max="5842" width="12.7109375" style="26" customWidth="1"/>
    <col min="5843" max="5843" width="17" style="26" bestFit="1" customWidth="1"/>
    <col min="5844" max="5844" width="13.5703125" style="26" customWidth="1"/>
    <col min="5845" max="5845" width="17.7109375" style="26" customWidth="1"/>
    <col min="5846" max="5846" width="13.42578125" style="26" customWidth="1"/>
    <col min="5847" max="5847" width="11.42578125" style="26" customWidth="1"/>
    <col min="5848" max="5848" width="10.85546875" style="26" customWidth="1"/>
    <col min="5849" max="5849" width="9" style="26" bestFit="1" customWidth="1"/>
    <col min="5850" max="5850" width="10.85546875" style="26" customWidth="1"/>
    <col min="5851" max="5851" width="11" style="26" customWidth="1"/>
    <col min="5852" max="5852" width="43.5703125" style="26" customWidth="1"/>
    <col min="5853" max="5853" width="39.42578125" style="26" customWidth="1"/>
    <col min="5854" max="5854" width="9.140625" style="26"/>
    <col min="5855" max="5855" width="12.140625" style="26" customWidth="1"/>
    <col min="5856" max="5857" width="9.140625" style="26"/>
    <col min="5858" max="5858" width="11.85546875" style="26" customWidth="1"/>
    <col min="5859" max="5859" width="9.140625" style="26"/>
    <col min="5860" max="5860" width="13.5703125" style="26" customWidth="1"/>
    <col min="5861" max="5861" width="9" style="26" customWidth="1"/>
    <col min="5862" max="5862" width="10.85546875" style="26" customWidth="1"/>
    <col min="5863" max="5864" width="9.140625" style="26"/>
    <col min="5865" max="5865" width="11" style="26" customWidth="1"/>
    <col min="5866" max="5866" width="13.140625" style="26" customWidth="1"/>
    <col min="5867" max="5867" width="11.28515625" style="26" customWidth="1"/>
    <col min="5868" max="5870" width="9.140625" style="26"/>
    <col min="5871" max="5871" width="14.42578125" style="26" customWidth="1"/>
    <col min="5872" max="5872" width="10.5703125" style="26" customWidth="1"/>
    <col min="5873" max="6095" width="9.140625" style="26"/>
    <col min="6096" max="6096" width="8.7109375" style="26" bestFit="1" customWidth="1"/>
    <col min="6097" max="6097" width="8.28515625" style="26" customWidth="1"/>
    <col min="6098" max="6098" width="12.7109375" style="26" customWidth="1"/>
    <col min="6099" max="6099" width="17" style="26" bestFit="1" customWidth="1"/>
    <col min="6100" max="6100" width="13.5703125" style="26" customWidth="1"/>
    <col min="6101" max="6101" width="17.7109375" style="26" customWidth="1"/>
    <col min="6102" max="6102" width="13.42578125" style="26" customWidth="1"/>
    <col min="6103" max="6103" width="11.42578125" style="26" customWidth="1"/>
    <col min="6104" max="6104" width="10.85546875" style="26" customWidth="1"/>
    <col min="6105" max="6105" width="9" style="26" bestFit="1" customWidth="1"/>
    <col min="6106" max="6106" width="10.85546875" style="26" customWidth="1"/>
    <col min="6107" max="6107" width="11" style="26" customWidth="1"/>
    <col min="6108" max="6108" width="43.5703125" style="26" customWidth="1"/>
    <col min="6109" max="6109" width="39.42578125" style="26" customWidth="1"/>
    <col min="6110" max="6110" width="9.140625" style="26"/>
    <col min="6111" max="6111" width="12.140625" style="26" customWidth="1"/>
    <col min="6112" max="6113" width="9.140625" style="26"/>
    <col min="6114" max="6114" width="11.85546875" style="26" customWidth="1"/>
    <col min="6115" max="6115" width="9.140625" style="26"/>
    <col min="6116" max="6116" width="13.5703125" style="26" customWidth="1"/>
    <col min="6117" max="6117" width="9" style="26" customWidth="1"/>
    <col min="6118" max="6118" width="10.85546875" style="26" customWidth="1"/>
    <col min="6119" max="6120" width="9.140625" style="26"/>
    <col min="6121" max="6121" width="11" style="26" customWidth="1"/>
    <col min="6122" max="6122" width="13.140625" style="26" customWidth="1"/>
    <col min="6123" max="6123" width="11.28515625" style="26" customWidth="1"/>
    <col min="6124" max="6126" width="9.140625" style="26"/>
    <col min="6127" max="6127" width="14.42578125" style="26" customWidth="1"/>
    <col min="6128" max="6128" width="10.5703125" style="26" customWidth="1"/>
    <col min="6129" max="6351" width="9.140625" style="26"/>
    <col min="6352" max="6352" width="8.7109375" style="26" bestFit="1" customWidth="1"/>
    <col min="6353" max="6353" width="8.28515625" style="26" customWidth="1"/>
    <col min="6354" max="6354" width="12.7109375" style="26" customWidth="1"/>
    <col min="6355" max="6355" width="17" style="26" bestFit="1" customWidth="1"/>
    <col min="6356" max="6356" width="13.5703125" style="26" customWidth="1"/>
    <col min="6357" max="6357" width="17.7109375" style="26" customWidth="1"/>
    <col min="6358" max="6358" width="13.42578125" style="26" customWidth="1"/>
    <col min="6359" max="6359" width="11.42578125" style="26" customWidth="1"/>
    <col min="6360" max="6360" width="10.85546875" style="26" customWidth="1"/>
    <col min="6361" max="6361" width="9" style="26" bestFit="1" customWidth="1"/>
    <col min="6362" max="6362" width="10.85546875" style="26" customWidth="1"/>
    <col min="6363" max="6363" width="11" style="26" customWidth="1"/>
    <col min="6364" max="6364" width="43.5703125" style="26" customWidth="1"/>
    <col min="6365" max="6365" width="39.42578125" style="26" customWidth="1"/>
    <col min="6366" max="6366" width="9.140625" style="26"/>
    <col min="6367" max="6367" width="12.140625" style="26" customWidth="1"/>
    <col min="6368" max="6369" width="9.140625" style="26"/>
    <col min="6370" max="6370" width="11.85546875" style="26" customWidth="1"/>
    <col min="6371" max="6371" width="9.140625" style="26"/>
    <col min="6372" max="6372" width="13.5703125" style="26" customWidth="1"/>
    <col min="6373" max="6373" width="9" style="26" customWidth="1"/>
    <col min="6374" max="6374" width="10.85546875" style="26" customWidth="1"/>
    <col min="6375" max="6376" width="9.140625" style="26"/>
    <col min="6377" max="6377" width="11" style="26" customWidth="1"/>
    <col min="6378" max="6378" width="13.140625" style="26" customWidth="1"/>
    <col min="6379" max="6379" width="11.28515625" style="26" customWidth="1"/>
    <col min="6380" max="6382" width="9.140625" style="26"/>
    <col min="6383" max="6383" width="14.42578125" style="26" customWidth="1"/>
    <col min="6384" max="6384" width="10.5703125" style="26" customWidth="1"/>
    <col min="6385" max="6607" width="9.140625" style="26"/>
    <col min="6608" max="6608" width="8.7109375" style="26" bestFit="1" customWidth="1"/>
    <col min="6609" max="6609" width="8.28515625" style="26" customWidth="1"/>
    <col min="6610" max="6610" width="12.7109375" style="26" customWidth="1"/>
    <col min="6611" max="6611" width="17" style="26" bestFit="1" customWidth="1"/>
    <col min="6612" max="6612" width="13.5703125" style="26" customWidth="1"/>
    <col min="6613" max="6613" width="17.7109375" style="26" customWidth="1"/>
    <col min="6614" max="6614" width="13.42578125" style="26" customWidth="1"/>
    <col min="6615" max="6615" width="11.42578125" style="26" customWidth="1"/>
    <col min="6616" max="6616" width="10.85546875" style="26" customWidth="1"/>
    <col min="6617" max="6617" width="9" style="26" bestFit="1" customWidth="1"/>
    <col min="6618" max="6618" width="10.85546875" style="26" customWidth="1"/>
    <col min="6619" max="6619" width="11" style="26" customWidth="1"/>
    <col min="6620" max="6620" width="43.5703125" style="26" customWidth="1"/>
    <col min="6621" max="6621" width="39.42578125" style="26" customWidth="1"/>
    <col min="6622" max="6622" width="9.140625" style="26"/>
    <col min="6623" max="6623" width="12.140625" style="26" customWidth="1"/>
    <col min="6624" max="6625" width="9.140625" style="26"/>
    <col min="6626" max="6626" width="11.85546875" style="26" customWidth="1"/>
    <col min="6627" max="6627" width="9.140625" style="26"/>
    <col min="6628" max="6628" width="13.5703125" style="26" customWidth="1"/>
    <col min="6629" max="6629" width="9" style="26" customWidth="1"/>
    <col min="6630" max="6630" width="10.85546875" style="26" customWidth="1"/>
    <col min="6631" max="6632" width="9.140625" style="26"/>
    <col min="6633" max="6633" width="11" style="26" customWidth="1"/>
    <col min="6634" max="6634" width="13.140625" style="26" customWidth="1"/>
    <col min="6635" max="6635" width="11.28515625" style="26" customWidth="1"/>
    <col min="6636" max="6638" width="9.140625" style="26"/>
    <col min="6639" max="6639" width="14.42578125" style="26" customWidth="1"/>
    <col min="6640" max="6640" width="10.5703125" style="26" customWidth="1"/>
    <col min="6641" max="6863" width="9.140625" style="26"/>
    <col min="6864" max="6864" width="8.7109375" style="26" bestFit="1" customWidth="1"/>
    <col min="6865" max="6865" width="8.28515625" style="26" customWidth="1"/>
    <col min="6866" max="6866" width="12.7109375" style="26" customWidth="1"/>
    <col min="6867" max="6867" width="17" style="26" bestFit="1" customWidth="1"/>
    <col min="6868" max="6868" width="13.5703125" style="26" customWidth="1"/>
    <col min="6869" max="6869" width="17.7109375" style="26" customWidth="1"/>
    <col min="6870" max="6870" width="13.42578125" style="26" customWidth="1"/>
    <col min="6871" max="6871" width="11.42578125" style="26" customWidth="1"/>
    <col min="6872" max="6872" width="10.85546875" style="26" customWidth="1"/>
    <col min="6873" max="6873" width="9" style="26" bestFit="1" customWidth="1"/>
    <col min="6874" max="6874" width="10.85546875" style="26" customWidth="1"/>
    <col min="6875" max="6875" width="11" style="26" customWidth="1"/>
    <col min="6876" max="6876" width="43.5703125" style="26" customWidth="1"/>
    <col min="6877" max="6877" width="39.42578125" style="26" customWidth="1"/>
    <col min="6878" max="6878" width="9.140625" style="26"/>
    <col min="6879" max="6879" width="12.140625" style="26" customWidth="1"/>
    <col min="6880" max="6881" width="9.140625" style="26"/>
    <col min="6882" max="6882" width="11.85546875" style="26" customWidth="1"/>
    <col min="6883" max="6883" width="9.140625" style="26"/>
    <col min="6884" max="6884" width="13.5703125" style="26" customWidth="1"/>
    <col min="6885" max="6885" width="9" style="26" customWidth="1"/>
    <col min="6886" max="6886" width="10.85546875" style="26" customWidth="1"/>
    <col min="6887" max="6888" width="9.140625" style="26"/>
    <col min="6889" max="6889" width="11" style="26" customWidth="1"/>
    <col min="6890" max="6890" width="13.140625" style="26" customWidth="1"/>
    <col min="6891" max="6891" width="11.28515625" style="26" customWidth="1"/>
    <col min="6892" max="6894" width="9.140625" style="26"/>
    <col min="6895" max="6895" width="14.42578125" style="26" customWidth="1"/>
    <col min="6896" max="6896" width="10.5703125" style="26" customWidth="1"/>
    <col min="6897" max="7119" width="9.140625" style="26"/>
    <col min="7120" max="7120" width="8.7109375" style="26" bestFit="1" customWidth="1"/>
    <col min="7121" max="7121" width="8.28515625" style="26" customWidth="1"/>
    <col min="7122" max="7122" width="12.7109375" style="26" customWidth="1"/>
    <col min="7123" max="7123" width="17" style="26" bestFit="1" customWidth="1"/>
    <col min="7124" max="7124" width="13.5703125" style="26" customWidth="1"/>
    <col min="7125" max="7125" width="17.7109375" style="26" customWidth="1"/>
    <col min="7126" max="7126" width="13.42578125" style="26" customWidth="1"/>
    <col min="7127" max="7127" width="11.42578125" style="26" customWidth="1"/>
    <col min="7128" max="7128" width="10.85546875" style="26" customWidth="1"/>
    <col min="7129" max="7129" width="9" style="26" bestFit="1" customWidth="1"/>
    <col min="7130" max="7130" width="10.85546875" style="26" customWidth="1"/>
    <col min="7131" max="7131" width="11" style="26" customWidth="1"/>
    <col min="7132" max="7132" width="43.5703125" style="26" customWidth="1"/>
    <col min="7133" max="7133" width="39.42578125" style="26" customWidth="1"/>
    <col min="7134" max="7134" width="9.140625" style="26"/>
    <col min="7135" max="7135" width="12.140625" style="26" customWidth="1"/>
    <col min="7136" max="7137" width="9.140625" style="26"/>
    <col min="7138" max="7138" width="11.85546875" style="26" customWidth="1"/>
    <col min="7139" max="7139" width="9.140625" style="26"/>
    <col min="7140" max="7140" width="13.5703125" style="26" customWidth="1"/>
    <col min="7141" max="7141" width="9" style="26" customWidth="1"/>
    <col min="7142" max="7142" width="10.85546875" style="26" customWidth="1"/>
    <col min="7143" max="7144" width="9.140625" style="26"/>
    <col min="7145" max="7145" width="11" style="26" customWidth="1"/>
    <col min="7146" max="7146" width="13.140625" style="26" customWidth="1"/>
    <col min="7147" max="7147" width="11.28515625" style="26" customWidth="1"/>
    <col min="7148" max="7150" width="9.140625" style="26"/>
    <col min="7151" max="7151" width="14.42578125" style="26" customWidth="1"/>
    <col min="7152" max="7152" width="10.5703125" style="26" customWidth="1"/>
    <col min="7153" max="7375" width="9.140625" style="26"/>
    <col min="7376" max="7376" width="8.7109375" style="26" bestFit="1" customWidth="1"/>
    <col min="7377" max="7377" width="8.28515625" style="26" customWidth="1"/>
    <col min="7378" max="7378" width="12.7109375" style="26" customWidth="1"/>
    <col min="7379" max="7379" width="17" style="26" bestFit="1" customWidth="1"/>
    <col min="7380" max="7380" width="13.5703125" style="26" customWidth="1"/>
    <col min="7381" max="7381" width="17.7109375" style="26" customWidth="1"/>
    <col min="7382" max="7382" width="13.42578125" style="26" customWidth="1"/>
    <col min="7383" max="7383" width="11.42578125" style="26" customWidth="1"/>
    <col min="7384" max="7384" width="10.85546875" style="26" customWidth="1"/>
    <col min="7385" max="7385" width="9" style="26" bestFit="1" customWidth="1"/>
    <col min="7386" max="7386" width="10.85546875" style="26" customWidth="1"/>
    <col min="7387" max="7387" width="11" style="26" customWidth="1"/>
    <col min="7388" max="7388" width="43.5703125" style="26" customWidth="1"/>
    <col min="7389" max="7389" width="39.42578125" style="26" customWidth="1"/>
    <col min="7390" max="7390" width="9.140625" style="26"/>
    <col min="7391" max="7391" width="12.140625" style="26" customWidth="1"/>
    <col min="7392" max="7393" width="9.140625" style="26"/>
    <col min="7394" max="7394" width="11.85546875" style="26" customWidth="1"/>
    <col min="7395" max="7395" width="9.140625" style="26"/>
    <col min="7396" max="7396" width="13.5703125" style="26" customWidth="1"/>
    <col min="7397" max="7397" width="9" style="26" customWidth="1"/>
    <col min="7398" max="7398" width="10.85546875" style="26" customWidth="1"/>
    <col min="7399" max="7400" width="9.140625" style="26"/>
    <col min="7401" max="7401" width="11" style="26" customWidth="1"/>
    <col min="7402" max="7402" width="13.140625" style="26" customWidth="1"/>
    <col min="7403" max="7403" width="11.28515625" style="26" customWidth="1"/>
    <col min="7404" max="7406" width="9.140625" style="26"/>
    <col min="7407" max="7407" width="14.42578125" style="26" customWidth="1"/>
    <col min="7408" max="7408" width="10.5703125" style="26" customWidth="1"/>
    <col min="7409" max="7631" width="9.140625" style="26"/>
    <col min="7632" max="7632" width="8.7109375" style="26" bestFit="1" customWidth="1"/>
    <col min="7633" max="7633" width="8.28515625" style="26" customWidth="1"/>
    <col min="7634" max="7634" width="12.7109375" style="26" customWidth="1"/>
    <col min="7635" max="7635" width="17" style="26" bestFit="1" customWidth="1"/>
    <col min="7636" max="7636" width="13.5703125" style="26" customWidth="1"/>
    <col min="7637" max="7637" width="17.7109375" style="26" customWidth="1"/>
    <col min="7638" max="7638" width="13.42578125" style="26" customWidth="1"/>
    <col min="7639" max="7639" width="11.42578125" style="26" customWidth="1"/>
    <col min="7640" max="7640" width="10.85546875" style="26" customWidth="1"/>
    <col min="7641" max="7641" width="9" style="26" bestFit="1" customWidth="1"/>
    <col min="7642" max="7642" width="10.85546875" style="26" customWidth="1"/>
    <col min="7643" max="7643" width="11" style="26" customWidth="1"/>
    <col min="7644" max="7644" width="43.5703125" style="26" customWidth="1"/>
    <col min="7645" max="7645" width="39.42578125" style="26" customWidth="1"/>
    <col min="7646" max="7646" width="9.140625" style="26"/>
    <col min="7647" max="7647" width="12.140625" style="26" customWidth="1"/>
    <col min="7648" max="7649" width="9.140625" style="26"/>
    <col min="7650" max="7650" width="11.85546875" style="26" customWidth="1"/>
    <col min="7651" max="7651" width="9.140625" style="26"/>
    <col min="7652" max="7652" width="13.5703125" style="26" customWidth="1"/>
    <col min="7653" max="7653" width="9" style="26" customWidth="1"/>
    <col min="7654" max="7654" width="10.85546875" style="26" customWidth="1"/>
    <col min="7655" max="7656" width="9.140625" style="26"/>
    <col min="7657" max="7657" width="11" style="26" customWidth="1"/>
    <col min="7658" max="7658" width="13.140625" style="26" customWidth="1"/>
    <col min="7659" max="7659" width="11.28515625" style="26" customWidth="1"/>
    <col min="7660" max="7662" width="9.140625" style="26"/>
    <col min="7663" max="7663" width="14.42578125" style="26" customWidth="1"/>
    <col min="7664" max="7664" width="10.5703125" style="26" customWidth="1"/>
    <col min="7665" max="7887" width="9.140625" style="26"/>
    <col min="7888" max="7888" width="8.7109375" style="26" bestFit="1" customWidth="1"/>
    <col min="7889" max="7889" width="8.28515625" style="26" customWidth="1"/>
    <col min="7890" max="7890" width="12.7109375" style="26" customWidth="1"/>
    <col min="7891" max="7891" width="17" style="26" bestFit="1" customWidth="1"/>
    <col min="7892" max="7892" width="13.5703125" style="26" customWidth="1"/>
    <col min="7893" max="7893" width="17.7109375" style="26" customWidth="1"/>
    <col min="7894" max="7894" width="13.42578125" style="26" customWidth="1"/>
    <col min="7895" max="7895" width="11.42578125" style="26" customWidth="1"/>
    <col min="7896" max="7896" width="10.85546875" style="26" customWidth="1"/>
    <col min="7897" max="7897" width="9" style="26" bestFit="1" customWidth="1"/>
    <col min="7898" max="7898" width="10.85546875" style="26" customWidth="1"/>
    <col min="7899" max="7899" width="11" style="26" customWidth="1"/>
    <col min="7900" max="7900" width="43.5703125" style="26" customWidth="1"/>
    <col min="7901" max="7901" width="39.42578125" style="26" customWidth="1"/>
    <col min="7902" max="7902" width="9.140625" style="26"/>
    <col min="7903" max="7903" width="12.140625" style="26" customWidth="1"/>
    <col min="7904" max="7905" width="9.140625" style="26"/>
    <col min="7906" max="7906" width="11.85546875" style="26" customWidth="1"/>
    <col min="7907" max="7907" width="9.140625" style="26"/>
    <col min="7908" max="7908" width="13.5703125" style="26" customWidth="1"/>
    <col min="7909" max="7909" width="9" style="26" customWidth="1"/>
    <col min="7910" max="7910" width="10.85546875" style="26" customWidth="1"/>
    <col min="7911" max="7912" width="9.140625" style="26"/>
    <col min="7913" max="7913" width="11" style="26" customWidth="1"/>
    <col min="7914" max="7914" width="13.140625" style="26" customWidth="1"/>
    <col min="7915" max="7915" width="11.28515625" style="26" customWidth="1"/>
    <col min="7916" max="7918" width="9.140625" style="26"/>
    <col min="7919" max="7919" width="14.42578125" style="26" customWidth="1"/>
    <col min="7920" max="7920" width="10.5703125" style="26" customWidth="1"/>
    <col min="7921" max="8143" width="9.140625" style="26"/>
    <col min="8144" max="8144" width="8.7109375" style="26" bestFit="1" customWidth="1"/>
    <col min="8145" max="8145" width="8.28515625" style="26" customWidth="1"/>
    <col min="8146" max="8146" width="12.7109375" style="26" customWidth="1"/>
    <col min="8147" max="8147" width="17" style="26" bestFit="1" customWidth="1"/>
    <col min="8148" max="8148" width="13.5703125" style="26" customWidth="1"/>
    <col min="8149" max="8149" width="17.7109375" style="26" customWidth="1"/>
    <col min="8150" max="8150" width="13.42578125" style="26" customWidth="1"/>
    <col min="8151" max="8151" width="11.42578125" style="26" customWidth="1"/>
    <col min="8152" max="8152" width="10.85546875" style="26" customWidth="1"/>
    <col min="8153" max="8153" width="9" style="26" bestFit="1" customWidth="1"/>
    <col min="8154" max="8154" width="10.85546875" style="26" customWidth="1"/>
    <col min="8155" max="8155" width="11" style="26" customWidth="1"/>
    <col min="8156" max="8156" width="43.5703125" style="26" customWidth="1"/>
    <col min="8157" max="8157" width="39.42578125" style="26" customWidth="1"/>
    <col min="8158" max="8158" width="9.140625" style="26"/>
    <col min="8159" max="8159" width="12.140625" style="26" customWidth="1"/>
    <col min="8160" max="8161" width="9.140625" style="26"/>
    <col min="8162" max="8162" width="11.85546875" style="26" customWidth="1"/>
    <col min="8163" max="8163" width="9.140625" style="26"/>
    <col min="8164" max="8164" width="13.5703125" style="26" customWidth="1"/>
    <col min="8165" max="8165" width="9" style="26" customWidth="1"/>
    <col min="8166" max="8166" width="10.85546875" style="26" customWidth="1"/>
    <col min="8167" max="8168" width="9.140625" style="26"/>
    <col min="8169" max="8169" width="11" style="26" customWidth="1"/>
    <col min="8170" max="8170" width="13.140625" style="26" customWidth="1"/>
    <col min="8171" max="8171" width="11.28515625" style="26" customWidth="1"/>
    <col min="8172" max="8174" width="9.140625" style="26"/>
    <col min="8175" max="8175" width="14.42578125" style="26" customWidth="1"/>
    <col min="8176" max="8176" width="10.5703125" style="26" customWidth="1"/>
    <col min="8177" max="8399" width="9.140625" style="26"/>
    <col min="8400" max="8400" width="8.7109375" style="26" bestFit="1" customWidth="1"/>
    <col min="8401" max="8401" width="8.28515625" style="26" customWidth="1"/>
    <col min="8402" max="8402" width="12.7109375" style="26" customWidth="1"/>
    <col min="8403" max="8403" width="17" style="26" bestFit="1" customWidth="1"/>
    <col min="8404" max="8404" width="13.5703125" style="26" customWidth="1"/>
    <col min="8405" max="8405" width="17.7109375" style="26" customWidth="1"/>
    <col min="8406" max="8406" width="13.42578125" style="26" customWidth="1"/>
    <col min="8407" max="8407" width="11.42578125" style="26" customWidth="1"/>
    <col min="8408" max="8408" width="10.85546875" style="26" customWidth="1"/>
    <col min="8409" max="8409" width="9" style="26" bestFit="1" customWidth="1"/>
    <col min="8410" max="8410" width="10.85546875" style="26" customWidth="1"/>
    <col min="8411" max="8411" width="11" style="26" customWidth="1"/>
    <col min="8412" max="8412" width="43.5703125" style="26" customWidth="1"/>
    <col min="8413" max="8413" width="39.42578125" style="26" customWidth="1"/>
    <col min="8414" max="8414" width="9.140625" style="26"/>
    <col min="8415" max="8415" width="12.140625" style="26" customWidth="1"/>
    <col min="8416" max="8417" width="9.140625" style="26"/>
    <col min="8418" max="8418" width="11.85546875" style="26" customWidth="1"/>
    <col min="8419" max="8419" width="9.140625" style="26"/>
    <col min="8420" max="8420" width="13.5703125" style="26" customWidth="1"/>
    <col min="8421" max="8421" width="9" style="26" customWidth="1"/>
    <col min="8422" max="8422" width="10.85546875" style="26" customWidth="1"/>
    <col min="8423" max="8424" width="9.140625" style="26"/>
    <col min="8425" max="8425" width="11" style="26" customWidth="1"/>
    <col min="8426" max="8426" width="13.140625" style="26" customWidth="1"/>
    <col min="8427" max="8427" width="11.28515625" style="26" customWidth="1"/>
    <col min="8428" max="8430" width="9.140625" style="26"/>
    <col min="8431" max="8431" width="14.42578125" style="26" customWidth="1"/>
    <col min="8432" max="8432" width="10.5703125" style="26" customWidth="1"/>
    <col min="8433" max="8655" width="9.140625" style="26"/>
    <col min="8656" max="8656" width="8.7109375" style="26" bestFit="1" customWidth="1"/>
    <col min="8657" max="8657" width="8.28515625" style="26" customWidth="1"/>
    <col min="8658" max="8658" width="12.7109375" style="26" customWidth="1"/>
    <col min="8659" max="8659" width="17" style="26" bestFit="1" customWidth="1"/>
    <col min="8660" max="8660" width="13.5703125" style="26" customWidth="1"/>
    <col min="8661" max="8661" width="17.7109375" style="26" customWidth="1"/>
    <col min="8662" max="8662" width="13.42578125" style="26" customWidth="1"/>
    <col min="8663" max="8663" width="11.42578125" style="26" customWidth="1"/>
    <col min="8664" max="8664" width="10.85546875" style="26" customWidth="1"/>
    <col min="8665" max="8665" width="9" style="26" bestFit="1" customWidth="1"/>
    <col min="8666" max="8666" width="10.85546875" style="26" customWidth="1"/>
    <col min="8667" max="8667" width="11" style="26" customWidth="1"/>
    <col min="8668" max="8668" width="43.5703125" style="26" customWidth="1"/>
    <col min="8669" max="8669" width="39.42578125" style="26" customWidth="1"/>
    <col min="8670" max="8670" width="9.140625" style="26"/>
    <col min="8671" max="8671" width="12.140625" style="26" customWidth="1"/>
    <col min="8672" max="8673" width="9.140625" style="26"/>
    <col min="8674" max="8674" width="11.85546875" style="26" customWidth="1"/>
    <col min="8675" max="8675" width="9.140625" style="26"/>
    <col min="8676" max="8676" width="13.5703125" style="26" customWidth="1"/>
    <col min="8677" max="8677" width="9" style="26" customWidth="1"/>
    <col min="8678" max="8678" width="10.85546875" style="26" customWidth="1"/>
    <col min="8679" max="8680" width="9.140625" style="26"/>
    <col min="8681" max="8681" width="11" style="26" customWidth="1"/>
    <col min="8682" max="8682" width="13.140625" style="26" customWidth="1"/>
    <col min="8683" max="8683" width="11.28515625" style="26" customWidth="1"/>
    <col min="8684" max="8686" width="9.140625" style="26"/>
    <col min="8687" max="8687" width="14.42578125" style="26" customWidth="1"/>
    <col min="8688" max="8688" width="10.5703125" style="26" customWidth="1"/>
    <col min="8689" max="8911" width="9.140625" style="26"/>
    <col min="8912" max="8912" width="8.7109375" style="26" bestFit="1" customWidth="1"/>
    <col min="8913" max="8913" width="8.28515625" style="26" customWidth="1"/>
    <col min="8914" max="8914" width="12.7109375" style="26" customWidth="1"/>
    <col min="8915" max="8915" width="17" style="26" bestFit="1" customWidth="1"/>
    <col min="8916" max="8916" width="13.5703125" style="26" customWidth="1"/>
    <col min="8917" max="8917" width="17.7109375" style="26" customWidth="1"/>
    <col min="8918" max="8918" width="13.42578125" style="26" customWidth="1"/>
    <col min="8919" max="8919" width="11.42578125" style="26" customWidth="1"/>
    <col min="8920" max="8920" width="10.85546875" style="26" customWidth="1"/>
    <col min="8921" max="8921" width="9" style="26" bestFit="1" customWidth="1"/>
    <col min="8922" max="8922" width="10.85546875" style="26" customWidth="1"/>
    <col min="8923" max="8923" width="11" style="26" customWidth="1"/>
    <col min="8924" max="8924" width="43.5703125" style="26" customWidth="1"/>
    <col min="8925" max="8925" width="39.42578125" style="26" customWidth="1"/>
    <col min="8926" max="8926" width="9.140625" style="26"/>
    <col min="8927" max="8927" width="12.140625" style="26" customWidth="1"/>
    <col min="8928" max="8929" width="9.140625" style="26"/>
    <col min="8930" max="8930" width="11.85546875" style="26" customWidth="1"/>
    <col min="8931" max="8931" width="9.140625" style="26"/>
    <col min="8932" max="8932" width="13.5703125" style="26" customWidth="1"/>
    <col min="8933" max="8933" width="9" style="26" customWidth="1"/>
    <col min="8934" max="8934" width="10.85546875" style="26" customWidth="1"/>
    <col min="8935" max="8936" width="9.140625" style="26"/>
    <col min="8937" max="8937" width="11" style="26" customWidth="1"/>
    <col min="8938" max="8938" width="13.140625" style="26" customWidth="1"/>
    <col min="8939" max="8939" width="11.28515625" style="26" customWidth="1"/>
    <col min="8940" max="8942" width="9.140625" style="26"/>
    <col min="8943" max="8943" width="14.42578125" style="26" customWidth="1"/>
    <col min="8944" max="8944" width="10.5703125" style="26" customWidth="1"/>
    <col min="8945" max="9167" width="9.140625" style="26"/>
    <col min="9168" max="9168" width="8.7109375" style="26" bestFit="1" customWidth="1"/>
    <col min="9169" max="9169" width="8.28515625" style="26" customWidth="1"/>
    <col min="9170" max="9170" width="12.7109375" style="26" customWidth="1"/>
    <col min="9171" max="9171" width="17" style="26" bestFit="1" customWidth="1"/>
    <col min="9172" max="9172" width="13.5703125" style="26" customWidth="1"/>
    <col min="9173" max="9173" width="17.7109375" style="26" customWidth="1"/>
    <col min="9174" max="9174" width="13.42578125" style="26" customWidth="1"/>
    <col min="9175" max="9175" width="11.42578125" style="26" customWidth="1"/>
    <col min="9176" max="9176" width="10.85546875" style="26" customWidth="1"/>
    <col min="9177" max="9177" width="9" style="26" bestFit="1" customWidth="1"/>
    <col min="9178" max="9178" width="10.85546875" style="26" customWidth="1"/>
    <col min="9179" max="9179" width="11" style="26" customWidth="1"/>
    <col min="9180" max="9180" width="43.5703125" style="26" customWidth="1"/>
    <col min="9181" max="9181" width="39.42578125" style="26" customWidth="1"/>
    <col min="9182" max="9182" width="9.140625" style="26"/>
    <col min="9183" max="9183" width="12.140625" style="26" customWidth="1"/>
    <col min="9184" max="9185" width="9.140625" style="26"/>
    <col min="9186" max="9186" width="11.85546875" style="26" customWidth="1"/>
    <col min="9187" max="9187" width="9.140625" style="26"/>
    <col min="9188" max="9188" width="13.5703125" style="26" customWidth="1"/>
    <col min="9189" max="9189" width="9" style="26" customWidth="1"/>
    <col min="9190" max="9190" width="10.85546875" style="26" customWidth="1"/>
    <col min="9191" max="9192" width="9.140625" style="26"/>
    <col min="9193" max="9193" width="11" style="26" customWidth="1"/>
    <col min="9194" max="9194" width="13.140625" style="26" customWidth="1"/>
    <col min="9195" max="9195" width="11.28515625" style="26" customWidth="1"/>
    <col min="9196" max="9198" width="9.140625" style="26"/>
    <col min="9199" max="9199" width="14.42578125" style="26" customWidth="1"/>
    <col min="9200" max="9200" width="10.5703125" style="26" customWidth="1"/>
    <col min="9201" max="9423" width="9.140625" style="26"/>
    <col min="9424" max="9424" width="8.7109375" style="26" bestFit="1" customWidth="1"/>
    <col min="9425" max="9425" width="8.28515625" style="26" customWidth="1"/>
    <col min="9426" max="9426" width="12.7109375" style="26" customWidth="1"/>
    <col min="9427" max="9427" width="17" style="26" bestFit="1" customWidth="1"/>
    <col min="9428" max="9428" width="13.5703125" style="26" customWidth="1"/>
    <col min="9429" max="9429" width="17.7109375" style="26" customWidth="1"/>
    <col min="9430" max="9430" width="13.42578125" style="26" customWidth="1"/>
    <col min="9431" max="9431" width="11.42578125" style="26" customWidth="1"/>
    <col min="9432" max="9432" width="10.85546875" style="26" customWidth="1"/>
    <col min="9433" max="9433" width="9" style="26" bestFit="1" customWidth="1"/>
    <col min="9434" max="9434" width="10.85546875" style="26" customWidth="1"/>
    <col min="9435" max="9435" width="11" style="26" customWidth="1"/>
    <col min="9436" max="9436" width="43.5703125" style="26" customWidth="1"/>
    <col min="9437" max="9437" width="39.42578125" style="26" customWidth="1"/>
    <col min="9438" max="9438" width="9.140625" style="26"/>
    <col min="9439" max="9439" width="12.140625" style="26" customWidth="1"/>
    <col min="9440" max="9441" width="9.140625" style="26"/>
    <col min="9442" max="9442" width="11.85546875" style="26" customWidth="1"/>
    <col min="9443" max="9443" width="9.140625" style="26"/>
    <col min="9444" max="9444" width="13.5703125" style="26" customWidth="1"/>
    <col min="9445" max="9445" width="9" style="26" customWidth="1"/>
    <col min="9446" max="9446" width="10.85546875" style="26" customWidth="1"/>
    <col min="9447" max="9448" width="9.140625" style="26"/>
    <col min="9449" max="9449" width="11" style="26" customWidth="1"/>
    <col min="9450" max="9450" width="13.140625" style="26" customWidth="1"/>
    <col min="9451" max="9451" width="11.28515625" style="26" customWidth="1"/>
    <col min="9452" max="9454" width="9.140625" style="26"/>
    <col min="9455" max="9455" width="14.42578125" style="26" customWidth="1"/>
    <col min="9456" max="9456" width="10.5703125" style="26" customWidth="1"/>
    <col min="9457" max="9679" width="9.140625" style="26"/>
    <col min="9680" max="9680" width="8.7109375" style="26" bestFit="1" customWidth="1"/>
    <col min="9681" max="9681" width="8.28515625" style="26" customWidth="1"/>
    <col min="9682" max="9682" width="12.7109375" style="26" customWidth="1"/>
    <col min="9683" max="9683" width="17" style="26" bestFit="1" customWidth="1"/>
    <col min="9684" max="9684" width="13.5703125" style="26" customWidth="1"/>
    <col min="9685" max="9685" width="17.7109375" style="26" customWidth="1"/>
    <col min="9686" max="9686" width="13.42578125" style="26" customWidth="1"/>
    <col min="9687" max="9687" width="11.42578125" style="26" customWidth="1"/>
    <col min="9688" max="9688" width="10.85546875" style="26" customWidth="1"/>
    <col min="9689" max="9689" width="9" style="26" bestFit="1" customWidth="1"/>
    <col min="9690" max="9690" width="10.85546875" style="26" customWidth="1"/>
    <col min="9691" max="9691" width="11" style="26" customWidth="1"/>
    <col min="9692" max="9692" width="43.5703125" style="26" customWidth="1"/>
    <col min="9693" max="9693" width="39.42578125" style="26" customWidth="1"/>
    <col min="9694" max="9694" width="9.140625" style="26"/>
    <col min="9695" max="9695" width="12.140625" style="26" customWidth="1"/>
    <col min="9696" max="9697" width="9.140625" style="26"/>
    <col min="9698" max="9698" width="11.85546875" style="26" customWidth="1"/>
    <col min="9699" max="9699" width="9.140625" style="26"/>
    <col min="9700" max="9700" width="13.5703125" style="26" customWidth="1"/>
    <col min="9701" max="9701" width="9" style="26" customWidth="1"/>
    <col min="9702" max="9702" width="10.85546875" style="26" customWidth="1"/>
    <col min="9703" max="9704" width="9.140625" style="26"/>
    <col min="9705" max="9705" width="11" style="26" customWidth="1"/>
    <col min="9706" max="9706" width="13.140625" style="26" customWidth="1"/>
    <col min="9707" max="9707" width="11.28515625" style="26" customWidth="1"/>
    <col min="9708" max="9710" width="9.140625" style="26"/>
    <col min="9711" max="9711" width="14.42578125" style="26" customWidth="1"/>
    <col min="9712" max="9712" width="10.5703125" style="26" customWidth="1"/>
    <col min="9713" max="9935" width="9.140625" style="26"/>
    <col min="9936" max="9936" width="8.7109375" style="26" bestFit="1" customWidth="1"/>
    <col min="9937" max="9937" width="8.28515625" style="26" customWidth="1"/>
    <col min="9938" max="9938" width="12.7109375" style="26" customWidth="1"/>
    <col min="9939" max="9939" width="17" style="26" bestFit="1" customWidth="1"/>
    <col min="9940" max="9940" width="13.5703125" style="26" customWidth="1"/>
    <col min="9941" max="9941" width="17.7109375" style="26" customWidth="1"/>
    <col min="9942" max="9942" width="13.42578125" style="26" customWidth="1"/>
    <col min="9943" max="9943" width="11.42578125" style="26" customWidth="1"/>
    <col min="9944" max="9944" width="10.85546875" style="26" customWidth="1"/>
    <col min="9945" max="9945" width="9" style="26" bestFit="1" customWidth="1"/>
    <col min="9946" max="9946" width="10.85546875" style="26" customWidth="1"/>
    <col min="9947" max="9947" width="11" style="26" customWidth="1"/>
    <col min="9948" max="9948" width="43.5703125" style="26" customWidth="1"/>
    <col min="9949" max="9949" width="39.42578125" style="26" customWidth="1"/>
    <col min="9950" max="9950" width="9.140625" style="26"/>
    <col min="9951" max="9951" width="12.140625" style="26" customWidth="1"/>
    <col min="9952" max="9953" width="9.140625" style="26"/>
    <col min="9954" max="9954" width="11.85546875" style="26" customWidth="1"/>
    <col min="9955" max="9955" width="9.140625" style="26"/>
    <col min="9956" max="9956" width="13.5703125" style="26" customWidth="1"/>
    <col min="9957" max="9957" width="9" style="26" customWidth="1"/>
    <col min="9958" max="9958" width="10.85546875" style="26" customWidth="1"/>
    <col min="9959" max="9960" width="9.140625" style="26"/>
    <col min="9961" max="9961" width="11" style="26" customWidth="1"/>
    <col min="9962" max="9962" width="13.140625" style="26" customWidth="1"/>
    <col min="9963" max="9963" width="11.28515625" style="26" customWidth="1"/>
    <col min="9964" max="9966" width="9.140625" style="26"/>
    <col min="9967" max="9967" width="14.42578125" style="26" customWidth="1"/>
    <col min="9968" max="9968" width="10.5703125" style="26" customWidth="1"/>
    <col min="9969" max="10191" width="9.140625" style="26"/>
    <col min="10192" max="10192" width="8.7109375" style="26" bestFit="1" customWidth="1"/>
    <col min="10193" max="10193" width="8.28515625" style="26" customWidth="1"/>
    <col min="10194" max="10194" width="12.7109375" style="26" customWidth="1"/>
    <col min="10195" max="10195" width="17" style="26" bestFit="1" customWidth="1"/>
    <col min="10196" max="10196" width="13.5703125" style="26" customWidth="1"/>
    <col min="10197" max="10197" width="17.7109375" style="26" customWidth="1"/>
    <col min="10198" max="10198" width="13.42578125" style="26" customWidth="1"/>
    <col min="10199" max="10199" width="11.42578125" style="26" customWidth="1"/>
    <col min="10200" max="10200" width="10.85546875" style="26" customWidth="1"/>
    <col min="10201" max="10201" width="9" style="26" bestFit="1" customWidth="1"/>
    <col min="10202" max="10202" width="10.85546875" style="26" customWidth="1"/>
    <col min="10203" max="10203" width="11" style="26" customWidth="1"/>
    <col min="10204" max="10204" width="43.5703125" style="26" customWidth="1"/>
    <col min="10205" max="10205" width="39.42578125" style="26" customWidth="1"/>
    <col min="10206" max="10206" width="9.140625" style="26"/>
    <col min="10207" max="10207" width="12.140625" style="26" customWidth="1"/>
    <col min="10208" max="10209" width="9.140625" style="26"/>
    <col min="10210" max="10210" width="11.85546875" style="26" customWidth="1"/>
    <col min="10211" max="10211" width="9.140625" style="26"/>
    <col min="10212" max="10212" width="13.5703125" style="26" customWidth="1"/>
    <col min="10213" max="10213" width="9" style="26" customWidth="1"/>
    <col min="10214" max="10214" width="10.85546875" style="26" customWidth="1"/>
    <col min="10215" max="10216" width="9.140625" style="26"/>
    <col min="10217" max="10217" width="11" style="26" customWidth="1"/>
    <col min="10218" max="10218" width="13.140625" style="26" customWidth="1"/>
    <col min="10219" max="10219" width="11.28515625" style="26" customWidth="1"/>
    <col min="10220" max="10222" width="9.140625" style="26"/>
    <col min="10223" max="10223" width="14.42578125" style="26" customWidth="1"/>
    <col min="10224" max="10224" width="10.5703125" style="26" customWidth="1"/>
    <col min="10225" max="10447" width="9.140625" style="26"/>
    <col min="10448" max="10448" width="8.7109375" style="26" bestFit="1" customWidth="1"/>
    <col min="10449" max="10449" width="8.28515625" style="26" customWidth="1"/>
    <col min="10450" max="10450" width="12.7109375" style="26" customWidth="1"/>
    <col min="10451" max="10451" width="17" style="26" bestFit="1" customWidth="1"/>
    <col min="10452" max="10452" width="13.5703125" style="26" customWidth="1"/>
    <col min="10453" max="10453" width="17.7109375" style="26" customWidth="1"/>
    <col min="10454" max="10454" width="13.42578125" style="26" customWidth="1"/>
    <col min="10455" max="10455" width="11.42578125" style="26" customWidth="1"/>
    <col min="10456" max="10456" width="10.85546875" style="26" customWidth="1"/>
    <col min="10457" max="10457" width="9" style="26" bestFit="1" customWidth="1"/>
    <col min="10458" max="10458" width="10.85546875" style="26" customWidth="1"/>
    <col min="10459" max="10459" width="11" style="26" customWidth="1"/>
    <col min="10460" max="10460" width="43.5703125" style="26" customWidth="1"/>
    <col min="10461" max="10461" width="39.42578125" style="26" customWidth="1"/>
    <col min="10462" max="10462" width="9.140625" style="26"/>
    <col min="10463" max="10463" width="12.140625" style="26" customWidth="1"/>
    <col min="10464" max="10465" width="9.140625" style="26"/>
    <col min="10466" max="10466" width="11.85546875" style="26" customWidth="1"/>
    <col min="10467" max="10467" width="9.140625" style="26"/>
    <col min="10468" max="10468" width="13.5703125" style="26" customWidth="1"/>
    <col min="10469" max="10469" width="9" style="26" customWidth="1"/>
    <col min="10470" max="10470" width="10.85546875" style="26" customWidth="1"/>
    <col min="10471" max="10472" width="9.140625" style="26"/>
    <col min="10473" max="10473" width="11" style="26" customWidth="1"/>
    <col min="10474" max="10474" width="13.140625" style="26" customWidth="1"/>
    <col min="10475" max="10475" width="11.28515625" style="26" customWidth="1"/>
    <col min="10476" max="10478" width="9.140625" style="26"/>
    <col min="10479" max="10479" width="14.42578125" style="26" customWidth="1"/>
    <col min="10480" max="10480" width="10.5703125" style="26" customWidth="1"/>
    <col min="10481" max="10703" width="9.140625" style="26"/>
    <col min="10704" max="10704" width="8.7109375" style="26" bestFit="1" customWidth="1"/>
    <col min="10705" max="10705" width="8.28515625" style="26" customWidth="1"/>
    <col min="10706" max="10706" width="12.7109375" style="26" customWidth="1"/>
    <col min="10707" max="10707" width="17" style="26" bestFit="1" customWidth="1"/>
    <col min="10708" max="10708" width="13.5703125" style="26" customWidth="1"/>
    <col min="10709" max="10709" width="17.7109375" style="26" customWidth="1"/>
    <col min="10710" max="10710" width="13.42578125" style="26" customWidth="1"/>
    <col min="10711" max="10711" width="11.42578125" style="26" customWidth="1"/>
    <col min="10712" max="10712" width="10.85546875" style="26" customWidth="1"/>
    <col min="10713" max="10713" width="9" style="26" bestFit="1" customWidth="1"/>
    <col min="10714" max="10714" width="10.85546875" style="26" customWidth="1"/>
    <col min="10715" max="10715" width="11" style="26" customWidth="1"/>
    <col min="10716" max="10716" width="43.5703125" style="26" customWidth="1"/>
    <col min="10717" max="10717" width="39.42578125" style="26" customWidth="1"/>
    <col min="10718" max="10718" width="9.140625" style="26"/>
    <col min="10719" max="10719" width="12.140625" style="26" customWidth="1"/>
    <col min="10720" max="10721" width="9.140625" style="26"/>
    <col min="10722" max="10722" width="11.85546875" style="26" customWidth="1"/>
    <col min="10723" max="10723" width="9.140625" style="26"/>
    <col min="10724" max="10724" width="13.5703125" style="26" customWidth="1"/>
    <col min="10725" max="10725" width="9" style="26" customWidth="1"/>
    <col min="10726" max="10726" width="10.85546875" style="26" customWidth="1"/>
    <col min="10727" max="10728" width="9.140625" style="26"/>
    <col min="10729" max="10729" width="11" style="26" customWidth="1"/>
    <col min="10730" max="10730" width="13.140625" style="26" customWidth="1"/>
    <col min="10731" max="10731" width="11.28515625" style="26" customWidth="1"/>
    <col min="10732" max="10734" width="9.140625" style="26"/>
    <col min="10735" max="10735" width="14.42578125" style="26" customWidth="1"/>
    <col min="10736" max="10736" width="10.5703125" style="26" customWidth="1"/>
    <col min="10737" max="10959" width="9.140625" style="26"/>
    <col min="10960" max="10960" width="8.7109375" style="26" bestFit="1" customWidth="1"/>
    <col min="10961" max="10961" width="8.28515625" style="26" customWidth="1"/>
    <col min="10962" max="10962" width="12.7109375" style="26" customWidth="1"/>
    <col min="10963" max="10963" width="17" style="26" bestFit="1" customWidth="1"/>
    <col min="10964" max="10964" width="13.5703125" style="26" customWidth="1"/>
    <col min="10965" max="10965" width="17.7109375" style="26" customWidth="1"/>
    <col min="10966" max="10966" width="13.42578125" style="26" customWidth="1"/>
    <col min="10967" max="10967" width="11.42578125" style="26" customWidth="1"/>
    <col min="10968" max="10968" width="10.85546875" style="26" customWidth="1"/>
    <col min="10969" max="10969" width="9" style="26" bestFit="1" customWidth="1"/>
    <col min="10970" max="10970" width="10.85546875" style="26" customWidth="1"/>
    <col min="10971" max="10971" width="11" style="26" customWidth="1"/>
    <col min="10972" max="10972" width="43.5703125" style="26" customWidth="1"/>
    <col min="10973" max="10973" width="39.42578125" style="26" customWidth="1"/>
    <col min="10974" max="10974" width="9.140625" style="26"/>
    <col min="10975" max="10975" width="12.140625" style="26" customWidth="1"/>
    <col min="10976" max="10977" width="9.140625" style="26"/>
    <col min="10978" max="10978" width="11.85546875" style="26" customWidth="1"/>
    <col min="10979" max="10979" width="9.140625" style="26"/>
    <col min="10980" max="10980" width="13.5703125" style="26" customWidth="1"/>
    <col min="10981" max="10981" width="9" style="26" customWidth="1"/>
    <col min="10982" max="10982" width="10.85546875" style="26" customWidth="1"/>
    <col min="10983" max="10984" width="9.140625" style="26"/>
    <col min="10985" max="10985" width="11" style="26" customWidth="1"/>
    <col min="10986" max="10986" width="13.140625" style="26" customWidth="1"/>
    <col min="10987" max="10987" width="11.28515625" style="26" customWidth="1"/>
    <col min="10988" max="10990" width="9.140625" style="26"/>
    <col min="10991" max="10991" width="14.42578125" style="26" customWidth="1"/>
    <col min="10992" max="10992" width="10.5703125" style="26" customWidth="1"/>
    <col min="10993" max="11215" width="9.140625" style="26"/>
    <col min="11216" max="11216" width="8.7109375" style="26" bestFit="1" customWidth="1"/>
    <col min="11217" max="11217" width="8.28515625" style="26" customWidth="1"/>
    <col min="11218" max="11218" width="12.7109375" style="26" customWidth="1"/>
    <col min="11219" max="11219" width="17" style="26" bestFit="1" customWidth="1"/>
    <col min="11220" max="11220" width="13.5703125" style="26" customWidth="1"/>
    <col min="11221" max="11221" width="17.7109375" style="26" customWidth="1"/>
    <col min="11222" max="11222" width="13.42578125" style="26" customWidth="1"/>
    <col min="11223" max="11223" width="11.42578125" style="26" customWidth="1"/>
    <col min="11224" max="11224" width="10.85546875" style="26" customWidth="1"/>
    <col min="11225" max="11225" width="9" style="26" bestFit="1" customWidth="1"/>
    <col min="11226" max="11226" width="10.85546875" style="26" customWidth="1"/>
    <col min="11227" max="11227" width="11" style="26" customWidth="1"/>
    <col min="11228" max="11228" width="43.5703125" style="26" customWidth="1"/>
    <col min="11229" max="11229" width="39.42578125" style="26" customWidth="1"/>
    <col min="11230" max="11230" width="9.140625" style="26"/>
    <col min="11231" max="11231" width="12.140625" style="26" customWidth="1"/>
    <col min="11232" max="11233" width="9.140625" style="26"/>
    <col min="11234" max="11234" width="11.85546875" style="26" customWidth="1"/>
    <col min="11235" max="11235" width="9.140625" style="26"/>
    <col min="11236" max="11236" width="13.5703125" style="26" customWidth="1"/>
    <col min="11237" max="11237" width="9" style="26" customWidth="1"/>
    <col min="11238" max="11238" width="10.85546875" style="26" customWidth="1"/>
    <col min="11239" max="11240" width="9.140625" style="26"/>
    <col min="11241" max="11241" width="11" style="26" customWidth="1"/>
    <col min="11242" max="11242" width="13.140625" style="26" customWidth="1"/>
    <col min="11243" max="11243" width="11.28515625" style="26" customWidth="1"/>
    <col min="11244" max="11246" width="9.140625" style="26"/>
    <col min="11247" max="11247" width="14.42578125" style="26" customWidth="1"/>
    <col min="11248" max="11248" width="10.5703125" style="26" customWidth="1"/>
    <col min="11249" max="11471" width="9.140625" style="26"/>
    <col min="11472" max="11472" width="8.7109375" style="26" bestFit="1" customWidth="1"/>
    <col min="11473" max="11473" width="8.28515625" style="26" customWidth="1"/>
    <col min="11474" max="11474" width="12.7109375" style="26" customWidth="1"/>
    <col min="11475" max="11475" width="17" style="26" bestFit="1" customWidth="1"/>
    <col min="11476" max="11476" width="13.5703125" style="26" customWidth="1"/>
    <col min="11477" max="11477" width="17.7109375" style="26" customWidth="1"/>
    <col min="11478" max="11478" width="13.42578125" style="26" customWidth="1"/>
    <col min="11479" max="11479" width="11.42578125" style="26" customWidth="1"/>
    <col min="11480" max="11480" width="10.85546875" style="26" customWidth="1"/>
    <col min="11481" max="11481" width="9" style="26" bestFit="1" customWidth="1"/>
    <col min="11482" max="11482" width="10.85546875" style="26" customWidth="1"/>
    <col min="11483" max="11483" width="11" style="26" customWidth="1"/>
    <col min="11484" max="11484" width="43.5703125" style="26" customWidth="1"/>
    <col min="11485" max="11485" width="39.42578125" style="26" customWidth="1"/>
    <col min="11486" max="11486" width="9.140625" style="26"/>
    <col min="11487" max="11487" width="12.140625" style="26" customWidth="1"/>
    <col min="11488" max="11489" width="9.140625" style="26"/>
    <col min="11490" max="11490" width="11.85546875" style="26" customWidth="1"/>
    <col min="11491" max="11491" width="9.140625" style="26"/>
    <col min="11492" max="11492" width="13.5703125" style="26" customWidth="1"/>
    <col min="11493" max="11493" width="9" style="26" customWidth="1"/>
    <col min="11494" max="11494" width="10.85546875" style="26" customWidth="1"/>
    <col min="11495" max="11496" width="9.140625" style="26"/>
    <col min="11497" max="11497" width="11" style="26" customWidth="1"/>
    <col min="11498" max="11498" width="13.140625" style="26" customWidth="1"/>
    <col min="11499" max="11499" width="11.28515625" style="26" customWidth="1"/>
    <col min="11500" max="11502" width="9.140625" style="26"/>
    <col min="11503" max="11503" width="14.42578125" style="26" customWidth="1"/>
    <col min="11504" max="11504" width="10.5703125" style="26" customWidth="1"/>
    <col min="11505" max="11727" width="9.140625" style="26"/>
    <col min="11728" max="11728" width="8.7109375" style="26" bestFit="1" customWidth="1"/>
    <col min="11729" max="11729" width="8.28515625" style="26" customWidth="1"/>
    <col min="11730" max="11730" width="12.7109375" style="26" customWidth="1"/>
    <col min="11731" max="11731" width="17" style="26" bestFit="1" customWidth="1"/>
    <col min="11732" max="11732" width="13.5703125" style="26" customWidth="1"/>
    <col min="11733" max="11733" width="17.7109375" style="26" customWidth="1"/>
    <col min="11734" max="11734" width="13.42578125" style="26" customWidth="1"/>
    <col min="11735" max="11735" width="11.42578125" style="26" customWidth="1"/>
    <col min="11736" max="11736" width="10.85546875" style="26" customWidth="1"/>
    <col min="11737" max="11737" width="9" style="26" bestFit="1" customWidth="1"/>
    <col min="11738" max="11738" width="10.85546875" style="26" customWidth="1"/>
    <col min="11739" max="11739" width="11" style="26" customWidth="1"/>
    <col min="11740" max="11740" width="43.5703125" style="26" customWidth="1"/>
    <col min="11741" max="11741" width="39.42578125" style="26" customWidth="1"/>
    <col min="11742" max="11742" width="9.140625" style="26"/>
    <col min="11743" max="11743" width="12.140625" style="26" customWidth="1"/>
    <col min="11744" max="11745" width="9.140625" style="26"/>
    <col min="11746" max="11746" width="11.85546875" style="26" customWidth="1"/>
    <col min="11747" max="11747" width="9.140625" style="26"/>
    <col min="11748" max="11748" width="13.5703125" style="26" customWidth="1"/>
    <col min="11749" max="11749" width="9" style="26" customWidth="1"/>
    <col min="11750" max="11750" width="10.85546875" style="26" customWidth="1"/>
    <col min="11751" max="11752" width="9.140625" style="26"/>
    <col min="11753" max="11753" width="11" style="26" customWidth="1"/>
    <col min="11754" max="11754" width="13.140625" style="26" customWidth="1"/>
    <col min="11755" max="11755" width="11.28515625" style="26" customWidth="1"/>
    <col min="11756" max="11758" width="9.140625" style="26"/>
    <col min="11759" max="11759" width="14.42578125" style="26" customWidth="1"/>
    <col min="11760" max="11760" width="10.5703125" style="26" customWidth="1"/>
    <col min="11761" max="11983" width="9.140625" style="26"/>
    <col min="11984" max="11984" width="8.7109375" style="26" bestFit="1" customWidth="1"/>
    <col min="11985" max="11985" width="8.28515625" style="26" customWidth="1"/>
    <col min="11986" max="11986" width="12.7109375" style="26" customWidth="1"/>
    <col min="11987" max="11987" width="17" style="26" bestFit="1" customWidth="1"/>
    <col min="11988" max="11988" width="13.5703125" style="26" customWidth="1"/>
    <col min="11989" max="11989" width="17.7109375" style="26" customWidth="1"/>
    <col min="11990" max="11990" width="13.42578125" style="26" customWidth="1"/>
    <col min="11991" max="11991" width="11.42578125" style="26" customWidth="1"/>
    <col min="11992" max="11992" width="10.85546875" style="26" customWidth="1"/>
    <col min="11993" max="11993" width="9" style="26" bestFit="1" customWidth="1"/>
    <col min="11994" max="11994" width="10.85546875" style="26" customWidth="1"/>
    <col min="11995" max="11995" width="11" style="26" customWidth="1"/>
    <col min="11996" max="11996" width="43.5703125" style="26" customWidth="1"/>
    <col min="11997" max="11997" width="39.42578125" style="26" customWidth="1"/>
    <col min="11998" max="11998" width="9.140625" style="26"/>
    <col min="11999" max="11999" width="12.140625" style="26" customWidth="1"/>
    <col min="12000" max="12001" width="9.140625" style="26"/>
    <col min="12002" max="12002" width="11.85546875" style="26" customWidth="1"/>
    <col min="12003" max="12003" width="9.140625" style="26"/>
    <col min="12004" max="12004" width="13.5703125" style="26" customWidth="1"/>
    <col min="12005" max="12005" width="9" style="26" customWidth="1"/>
    <col min="12006" max="12006" width="10.85546875" style="26" customWidth="1"/>
    <col min="12007" max="12008" width="9.140625" style="26"/>
    <col min="12009" max="12009" width="11" style="26" customWidth="1"/>
    <col min="12010" max="12010" width="13.140625" style="26" customWidth="1"/>
    <col min="12011" max="12011" width="11.28515625" style="26" customWidth="1"/>
    <col min="12012" max="12014" width="9.140625" style="26"/>
    <col min="12015" max="12015" width="14.42578125" style="26" customWidth="1"/>
    <col min="12016" max="12016" width="10.5703125" style="26" customWidth="1"/>
    <col min="12017" max="12239" width="9.140625" style="26"/>
    <col min="12240" max="12240" width="8.7109375" style="26" bestFit="1" customWidth="1"/>
    <col min="12241" max="12241" width="8.28515625" style="26" customWidth="1"/>
    <col min="12242" max="12242" width="12.7109375" style="26" customWidth="1"/>
    <col min="12243" max="12243" width="17" style="26" bestFit="1" customWidth="1"/>
    <col min="12244" max="12244" width="13.5703125" style="26" customWidth="1"/>
    <col min="12245" max="12245" width="17.7109375" style="26" customWidth="1"/>
    <col min="12246" max="12246" width="13.42578125" style="26" customWidth="1"/>
    <col min="12247" max="12247" width="11.42578125" style="26" customWidth="1"/>
    <col min="12248" max="12248" width="10.85546875" style="26" customWidth="1"/>
    <col min="12249" max="12249" width="9" style="26" bestFit="1" customWidth="1"/>
    <col min="12250" max="12250" width="10.85546875" style="26" customWidth="1"/>
    <col min="12251" max="12251" width="11" style="26" customWidth="1"/>
    <col min="12252" max="12252" width="43.5703125" style="26" customWidth="1"/>
    <col min="12253" max="12253" width="39.42578125" style="26" customWidth="1"/>
    <col min="12254" max="12254" width="9.140625" style="26"/>
    <col min="12255" max="12255" width="12.140625" style="26" customWidth="1"/>
    <col min="12256" max="12257" width="9.140625" style="26"/>
    <col min="12258" max="12258" width="11.85546875" style="26" customWidth="1"/>
    <col min="12259" max="12259" width="9.140625" style="26"/>
    <col min="12260" max="12260" width="13.5703125" style="26" customWidth="1"/>
    <col min="12261" max="12261" width="9" style="26" customWidth="1"/>
    <col min="12262" max="12262" width="10.85546875" style="26" customWidth="1"/>
    <col min="12263" max="12264" width="9.140625" style="26"/>
    <col min="12265" max="12265" width="11" style="26" customWidth="1"/>
    <col min="12266" max="12266" width="13.140625" style="26" customWidth="1"/>
    <col min="12267" max="12267" width="11.28515625" style="26" customWidth="1"/>
    <col min="12268" max="12270" width="9.140625" style="26"/>
    <col min="12271" max="12271" width="14.42578125" style="26" customWidth="1"/>
    <col min="12272" max="12272" width="10.5703125" style="26" customWidth="1"/>
    <col min="12273" max="12495" width="9.140625" style="26"/>
    <col min="12496" max="12496" width="8.7109375" style="26" bestFit="1" customWidth="1"/>
    <col min="12497" max="12497" width="8.28515625" style="26" customWidth="1"/>
    <col min="12498" max="12498" width="12.7109375" style="26" customWidth="1"/>
    <col min="12499" max="12499" width="17" style="26" bestFit="1" customWidth="1"/>
    <col min="12500" max="12500" width="13.5703125" style="26" customWidth="1"/>
    <col min="12501" max="12501" width="17.7109375" style="26" customWidth="1"/>
    <col min="12502" max="12502" width="13.42578125" style="26" customWidth="1"/>
    <col min="12503" max="12503" width="11.42578125" style="26" customWidth="1"/>
    <col min="12504" max="12504" width="10.85546875" style="26" customWidth="1"/>
    <col min="12505" max="12505" width="9" style="26" bestFit="1" customWidth="1"/>
    <col min="12506" max="12506" width="10.85546875" style="26" customWidth="1"/>
    <col min="12507" max="12507" width="11" style="26" customWidth="1"/>
    <col min="12508" max="12508" width="43.5703125" style="26" customWidth="1"/>
    <col min="12509" max="12509" width="39.42578125" style="26" customWidth="1"/>
    <col min="12510" max="12510" width="9.140625" style="26"/>
    <col min="12511" max="12511" width="12.140625" style="26" customWidth="1"/>
    <col min="12512" max="12513" width="9.140625" style="26"/>
    <col min="12514" max="12514" width="11.85546875" style="26" customWidth="1"/>
    <col min="12515" max="12515" width="9.140625" style="26"/>
    <col min="12516" max="12516" width="13.5703125" style="26" customWidth="1"/>
    <col min="12517" max="12517" width="9" style="26" customWidth="1"/>
    <col min="12518" max="12518" width="10.85546875" style="26" customWidth="1"/>
    <col min="12519" max="12520" width="9.140625" style="26"/>
    <col min="12521" max="12521" width="11" style="26" customWidth="1"/>
    <col min="12522" max="12522" width="13.140625" style="26" customWidth="1"/>
    <col min="12523" max="12523" width="11.28515625" style="26" customWidth="1"/>
    <col min="12524" max="12526" width="9.140625" style="26"/>
    <col min="12527" max="12527" width="14.42578125" style="26" customWidth="1"/>
    <col min="12528" max="12528" width="10.5703125" style="26" customWidth="1"/>
    <col min="12529" max="12751" width="9.140625" style="26"/>
    <col min="12752" max="12752" width="8.7109375" style="26" bestFit="1" customWidth="1"/>
    <col min="12753" max="12753" width="8.28515625" style="26" customWidth="1"/>
    <col min="12754" max="12754" width="12.7109375" style="26" customWidth="1"/>
    <col min="12755" max="12755" width="17" style="26" bestFit="1" customWidth="1"/>
    <col min="12756" max="12756" width="13.5703125" style="26" customWidth="1"/>
    <col min="12757" max="12757" width="17.7109375" style="26" customWidth="1"/>
    <col min="12758" max="12758" width="13.42578125" style="26" customWidth="1"/>
    <col min="12759" max="12759" width="11.42578125" style="26" customWidth="1"/>
    <col min="12760" max="12760" width="10.85546875" style="26" customWidth="1"/>
    <col min="12761" max="12761" width="9" style="26" bestFit="1" customWidth="1"/>
    <col min="12762" max="12762" width="10.85546875" style="26" customWidth="1"/>
    <col min="12763" max="12763" width="11" style="26" customWidth="1"/>
    <col min="12764" max="12764" width="43.5703125" style="26" customWidth="1"/>
    <col min="12765" max="12765" width="39.42578125" style="26" customWidth="1"/>
    <col min="12766" max="12766" width="9.140625" style="26"/>
    <col min="12767" max="12767" width="12.140625" style="26" customWidth="1"/>
    <col min="12768" max="12769" width="9.140625" style="26"/>
    <col min="12770" max="12770" width="11.85546875" style="26" customWidth="1"/>
    <col min="12771" max="12771" width="9.140625" style="26"/>
    <col min="12772" max="12772" width="13.5703125" style="26" customWidth="1"/>
    <col min="12773" max="12773" width="9" style="26" customWidth="1"/>
    <col min="12774" max="12774" width="10.85546875" style="26" customWidth="1"/>
    <col min="12775" max="12776" width="9.140625" style="26"/>
    <col min="12777" max="12777" width="11" style="26" customWidth="1"/>
    <col min="12778" max="12778" width="13.140625" style="26" customWidth="1"/>
    <col min="12779" max="12779" width="11.28515625" style="26" customWidth="1"/>
    <col min="12780" max="12782" width="9.140625" style="26"/>
    <col min="12783" max="12783" width="14.42578125" style="26" customWidth="1"/>
    <col min="12784" max="12784" width="10.5703125" style="26" customWidth="1"/>
    <col min="12785" max="13007" width="9.140625" style="26"/>
    <col min="13008" max="13008" width="8.7109375" style="26" bestFit="1" customWidth="1"/>
    <col min="13009" max="13009" width="8.28515625" style="26" customWidth="1"/>
    <col min="13010" max="13010" width="12.7109375" style="26" customWidth="1"/>
    <col min="13011" max="13011" width="17" style="26" bestFit="1" customWidth="1"/>
    <col min="13012" max="13012" width="13.5703125" style="26" customWidth="1"/>
    <col min="13013" max="13013" width="17.7109375" style="26" customWidth="1"/>
    <col min="13014" max="13014" width="13.42578125" style="26" customWidth="1"/>
    <col min="13015" max="13015" width="11.42578125" style="26" customWidth="1"/>
    <col min="13016" max="13016" width="10.85546875" style="26" customWidth="1"/>
    <col min="13017" max="13017" width="9" style="26" bestFit="1" customWidth="1"/>
    <col min="13018" max="13018" width="10.85546875" style="26" customWidth="1"/>
    <col min="13019" max="13019" width="11" style="26" customWidth="1"/>
    <col min="13020" max="13020" width="43.5703125" style="26" customWidth="1"/>
    <col min="13021" max="13021" width="39.42578125" style="26" customWidth="1"/>
    <col min="13022" max="13022" width="9.140625" style="26"/>
    <col min="13023" max="13023" width="12.140625" style="26" customWidth="1"/>
    <col min="13024" max="13025" width="9.140625" style="26"/>
    <col min="13026" max="13026" width="11.85546875" style="26" customWidth="1"/>
    <col min="13027" max="13027" width="9.140625" style="26"/>
    <col min="13028" max="13028" width="13.5703125" style="26" customWidth="1"/>
    <col min="13029" max="13029" width="9" style="26" customWidth="1"/>
    <col min="13030" max="13030" width="10.85546875" style="26" customWidth="1"/>
    <col min="13031" max="13032" width="9.140625" style="26"/>
    <col min="13033" max="13033" width="11" style="26" customWidth="1"/>
    <col min="13034" max="13034" width="13.140625" style="26" customWidth="1"/>
    <col min="13035" max="13035" width="11.28515625" style="26" customWidth="1"/>
    <col min="13036" max="13038" width="9.140625" style="26"/>
    <col min="13039" max="13039" width="14.42578125" style="26" customWidth="1"/>
    <col min="13040" max="13040" width="10.5703125" style="26" customWidth="1"/>
    <col min="13041" max="13263" width="9.140625" style="26"/>
    <col min="13264" max="13264" width="8.7109375" style="26" bestFit="1" customWidth="1"/>
    <col min="13265" max="13265" width="8.28515625" style="26" customWidth="1"/>
    <col min="13266" max="13266" width="12.7109375" style="26" customWidth="1"/>
    <col min="13267" max="13267" width="17" style="26" bestFit="1" customWidth="1"/>
    <col min="13268" max="13268" width="13.5703125" style="26" customWidth="1"/>
    <col min="13269" max="13269" width="17.7109375" style="26" customWidth="1"/>
    <col min="13270" max="13270" width="13.42578125" style="26" customWidth="1"/>
    <col min="13271" max="13271" width="11.42578125" style="26" customWidth="1"/>
    <col min="13272" max="13272" width="10.85546875" style="26" customWidth="1"/>
    <col min="13273" max="13273" width="9" style="26" bestFit="1" customWidth="1"/>
    <col min="13274" max="13274" width="10.85546875" style="26" customWidth="1"/>
    <col min="13275" max="13275" width="11" style="26" customWidth="1"/>
    <col min="13276" max="13276" width="43.5703125" style="26" customWidth="1"/>
    <col min="13277" max="13277" width="39.42578125" style="26" customWidth="1"/>
    <col min="13278" max="13278" width="9.140625" style="26"/>
    <col min="13279" max="13279" width="12.140625" style="26" customWidth="1"/>
    <col min="13280" max="13281" width="9.140625" style="26"/>
    <col min="13282" max="13282" width="11.85546875" style="26" customWidth="1"/>
    <col min="13283" max="13283" width="9.140625" style="26"/>
    <col min="13284" max="13284" width="13.5703125" style="26" customWidth="1"/>
    <col min="13285" max="13285" width="9" style="26" customWidth="1"/>
    <col min="13286" max="13286" width="10.85546875" style="26" customWidth="1"/>
    <col min="13287" max="13288" width="9.140625" style="26"/>
    <col min="13289" max="13289" width="11" style="26" customWidth="1"/>
    <col min="13290" max="13290" width="13.140625" style="26" customWidth="1"/>
    <col min="13291" max="13291" width="11.28515625" style="26" customWidth="1"/>
    <col min="13292" max="13294" width="9.140625" style="26"/>
    <col min="13295" max="13295" width="14.42578125" style="26" customWidth="1"/>
    <col min="13296" max="13296" width="10.5703125" style="26" customWidth="1"/>
    <col min="13297" max="13519" width="9.140625" style="26"/>
    <col min="13520" max="13520" width="8.7109375" style="26" bestFit="1" customWidth="1"/>
    <col min="13521" max="13521" width="8.28515625" style="26" customWidth="1"/>
    <col min="13522" max="13522" width="12.7109375" style="26" customWidth="1"/>
    <col min="13523" max="13523" width="17" style="26" bestFit="1" customWidth="1"/>
    <col min="13524" max="13524" width="13.5703125" style="26" customWidth="1"/>
    <col min="13525" max="13525" width="17.7109375" style="26" customWidth="1"/>
    <col min="13526" max="13526" width="13.42578125" style="26" customWidth="1"/>
    <col min="13527" max="13527" width="11.42578125" style="26" customWidth="1"/>
    <col min="13528" max="13528" width="10.85546875" style="26" customWidth="1"/>
    <col min="13529" max="13529" width="9" style="26" bestFit="1" customWidth="1"/>
    <col min="13530" max="13530" width="10.85546875" style="26" customWidth="1"/>
    <col min="13531" max="13531" width="11" style="26" customWidth="1"/>
    <col min="13532" max="13532" width="43.5703125" style="26" customWidth="1"/>
    <col min="13533" max="13533" width="39.42578125" style="26" customWidth="1"/>
    <col min="13534" max="13534" width="9.140625" style="26"/>
    <col min="13535" max="13535" width="12.140625" style="26" customWidth="1"/>
    <col min="13536" max="13537" width="9.140625" style="26"/>
    <col min="13538" max="13538" width="11.85546875" style="26" customWidth="1"/>
    <col min="13539" max="13539" width="9.140625" style="26"/>
    <col min="13540" max="13540" width="13.5703125" style="26" customWidth="1"/>
    <col min="13541" max="13541" width="9" style="26" customWidth="1"/>
    <col min="13542" max="13542" width="10.85546875" style="26" customWidth="1"/>
    <col min="13543" max="13544" width="9.140625" style="26"/>
    <col min="13545" max="13545" width="11" style="26" customWidth="1"/>
    <col min="13546" max="13546" width="13.140625" style="26" customWidth="1"/>
    <col min="13547" max="13547" width="11.28515625" style="26" customWidth="1"/>
    <col min="13548" max="13550" width="9.140625" style="26"/>
    <col min="13551" max="13551" width="14.42578125" style="26" customWidth="1"/>
    <col min="13552" max="13552" width="10.5703125" style="26" customWidth="1"/>
    <col min="13553" max="13775" width="9.140625" style="26"/>
    <col min="13776" max="13776" width="8.7109375" style="26" bestFit="1" customWidth="1"/>
    <col min="13777" max="13777" width="8.28515625" style="26" customWidth="1"/>
    <col min="13778" max="13778" width="12.7109375" style="26" customWidth="1"/>
    <col min="13779" max="13779" width="17" style="26" bestFit="1" customWidth="1"/>
    <col min="13780" max="13780" width="13.5703125" style="26" customWidth="1"/>
    <col min="13781" max="13781" width="17.7109375" style="26" customWidth="1"/>
    <col min="13782" max="13782" width="13.42578125" style="26" customWidth="1"/>
    <col min="13783" max="13783" width="11.42578125" style="26" customWidth="1"/>
    <col min="13784" max="13784" width="10.85546875" style="26" customWidth="1"/>
    <col min="13785" max="13785" width="9" style="26" bestFit="1" customWidth="1"/>
    <col min="13786" max="13786" width="10.85546875" style="26" customWidth="1"/>
    <col min="13787" max="13787" width="11" style="26" customWidth="1"/>
    <col min="13788" max="13788" width="43.5703125" style="26" customWidth="1"/>
    <col min="13789" max="13789" width="39.42578125" style="26" customWidth="1"/>
    <col min="13790" max="13790" width="9.140625" style="26"/>
    <col min="13791" max="13791" width="12.140625" style="26" customWidth="1"/>
    <col min="13792" max="13793" width="9.140625" style="26"/>
    <col min="13794" max="13794" width="11.85546875" style="26" customWidth="1"/>
    <col min="13795" max="13795" width="9.140625" style="26"/>
    <col min="13796" max="13796" width="13.5703125" style="26" customWidth="1"/>
    <col min="13797" max="13797" width="9" style="26" customWidth="1"/>
    <col min="13798" max="13798" width="10.85546875" style="26" customWidth="1"/>
    <col min="13799" max="13800" width="9.140625" style="26"/>
    <col min="13801" max="13801" width="11" style="26" customWidth="1"/>
    <col min="13802" max="13802" width="13.140625" style="26" customWidth="1"/>
    <col min="13803" max="13803" width="11.28515625" style="26" customWidth="1"/>
    <col min="13804" max="13806" width="9.140625" style="26"/>
    <col min="13807" max="13807" width="14.42578125" style="26" customWidth="1"/>
    <col min="13808" max="13808" width="10.5703125" style="26" customWidth="1"/>
    <col min="13809" max="14031" width="9.140625" style="26"/>
    <col min="14032" max="14032" width="8.7109375" style="26" bestFit="1" customWidth="1"/>
    <col min="14033" max="14033" width="8.28515625" style="26" customWidth="1"/>
    <col min="14034" max="14034" width="12.7109375" style="26" customWidth="1"/>
    <col min="14035" max="14035" width="17" style="26" bestFit="1" customWidth="1"/>
    <col min="14036" max="14036" width="13.5703125" style="26" customWidth="1"/>
    <col min="14037" max="14037" width="17.7109375" style="26" customWidth="1"/>
    <col min="14038" max="14038" width="13.42578125" style="26" customWidth="1"/>
    <col min="14039" max="14039" width="11.42578125" style="26" customWidth="1"/>
    <col min="14040" max="14040" width="10.85546875" style="26" customWidth="1"/>
    <col min="14041" max="14041" width="9" style="26" bestFit="1" customWidth="1"/>
    <col min="14042" max="14042" width="10.85546875" style="26" customWidth="1"/>
    <col min="14043" max="14043" width="11" style="26" customWidth="1"/>
    <col min="14044" max="14044" width="43.5703125" style="26" customWidth="1"/>
    <col min="14045" max="14045" width="39.42578125" style="26" customWidth="1"/>
    <col min="14046" max="14046" width="9.140625" style="26"/>
    <col min="14047" max="14047" width="12.140625" style="26" customWidth="1"/>
    <col min="14048" max="14049" width="9.140625" style="26"/>
    <col min="14050" max="14050" width="11.85546875" style="26" customWidth="1"/>
    <col min="14051" max="14051" width="9.140625" style="26"/>
    <col min="14052" max="14052" width="13.5703125" style="26" customWidth="1"/>
    <col min="14053" max="14053" width="9" style="26" customWidth="1"/>
    <col min="14054" max="14054" width="10.85546875" style="26" customWidth="1"/>
    <col min="14055" max="14056" width="9.140625" style="26"/>
    <col min="14057" max="14057" width="11" style="26" customWidth="1"/>
    <col min="14058" max="14058" width="13.140625" style="26" customWidth="1"/>
    <col min="14059" max="14059" width="11.28515625" style="26" customWidth="1"/>
    <col min="14060" max="14062" width="9.140625" style="26"/>
    <col min="14063" max="14063" width="14.42578125" style="26" customWidth="1"/>
    <col min="14064" max="14064" width="10.5703125" style="26" customWidth="1"/>
    <col min="14065" max="14287" width="9.140625" style="26"/>
    <col min="14288" max="14288" width="8.7109375" style="26" bestFit="1" customWidth="1"/>
    <col min="14289" max="14289" width="8.28515625" style="26" customWidth="1"/>
    <col min="14290" max="14290" width="12.7109375" style="26" customWidth="1"/>
    <col min="14291" max="14291" width="17" style="26" bestFit="1" customWidth="1"/>
    <col min="14292" max="14292" width="13.5703125" style="26" customWidth="1"/>
    <col min="14293" max="14293" width="17.7109375" style="26" customWidth="1"/>
    <col min="14294" max="14294" width="13.42578125" style="26" customWidth="1"/>
    <col min="14295" max="14295" width="11.42578125" style="26" customWidth="1"/>
    <col min="14296" max="14296" width="10.85546875" style="26" customWidth="1"/>
    <col min="14297" max="14297" width="9" style="26" bestFit="1" customWidth="1"/>
    <col min="14298" max="14298" width="10.85546875" style="26" customWidth="1"/>
    <col min="14299" max="14299" width="11" style="26" customWidth="1"/>
    <col min="14300" max="14300" width="43.5703125" style="26" customWidth="1"/>
    <col min="14301" max="14301" width="39.42578125" style="26" customWidth="1"/>
    <col min="14302" max="14302" width="9.140625" style="26"/>
    <col min="14303" max="14303" width="12.140625" style="26" customWidth="1"/>
    <col min="14304" max="14305" width="9.140625" style="26"/>
    <col min="14306" max="14306" width="11.85546875" style="26" customWidth="1"/>
    <col min="14307" max="14307" width="9.140625" style="26"/>
    <col min="14308" max="14308" width="13.5703125" style="26" customWidth="1"/>
    <col min="14309" max="14309" width="9" style="26" customWidth="1"/>
    <col min="14310" max="14310" width="10.85546875" style="26" customWidth="1"/>
    <col min="14311" max="14312" width="9.140625" style="26"/>
    <col min="14313" max="14313" width="11" style="26" customWidth="1"/>
    <col min="14314" max="14314" width="13.140625" style="26" customWidth="1"/>
    <col min="14315" max="14315" width="11.28515625" style="26" customWidth="1"/>
    <col min="14316" max="14318" width="9.140625" style="26"/>
    <col min="14319" max="14319" width="14.42578125" style="26" customWidth="1"/>
    <col min="14320" max="14320" width="10.5703125" style="26" customWidth="1"/>
    <col min="14321" max="14543" width="9.140625" style="26"/>
    <col min="14544" max="14544" width="8.7109375" style="26" bestFit="1" customWidth="1"/>
    <col min="14545" max="14545" width="8.28515625" style="26" customWidth="1"/>
    <col min="14546" max="14546" width="12.7109375" style="26" customWidth="1"/>
    <col min="14547" max="14547" width="17" style="26" bestFit="1" customWidth="1"/>
    <col min="14548" max="14548" width="13.5703125" style="26" customWidth="1"/>
    <col min="14549" max="14549" width="17.7109375" style="26" customWidth="1"/>
    <col min="14550" max="14550" width="13.42578125" style="26" customWidth="1"/>
    <col min="14551" max="14551" width="11.42578125" style="26" customWidth="1"/>
    <col min="14552" max="14552" width="10.85546875" style="26" customWidth="1"/>
    <col min="14553" max="14553" width="9" style="26" bestFit="1" customWidth="1"/>
    <col min="14554" max="14554" width="10.85546875" style="26" customWidth="1"/>
    <col min="14555" max="14555" width="11" style="26" customWidth="1"/>
    <col min="14556" max="14556" width="43.5703125" style="26" customWidth="1"/>
    <col min="14557" max="14557" width="39.42578125" style="26" customWidth="1"/>
    <col min="14558" max="14558" width="9.140625" style="26"/>
    <col min="14559" max="14559" width="12.140625" style="26" customWidth="1"/>
    <col min="14560" max="14561" width="9.140625" style="26"/>
    <col min="14562" max="14562" width="11.85546875" style="26" customWidth="1"/>
    <col min="14563" max="14563" width="9.140625" style="26"/>
    <col min="14564" max="14564" width="13.5703125" style="26" customWidth="1"/>
    <col min="14565" max="14565" width="9" style="26" customWidth="1"/>
    <col min="14566" max="14566" width="10.85546875" style="26" customWidth="1"/>
    <col min="14567" max="14568" width="9.140625" style="26"/>
    <col min="14569" max="14569" width="11" style="26" customWidth="1"/>
    <col min="14570" max="14570" width="13.140625" style="26" customWidth="1"/>
    <col min="14571" max="14571" width="11.28515625" style="26" customWidth="1"/>
    <col min="14572" max="14574" width="9.140625" style="26"/>
    <col min="14575" max="14575" width="14.42578125" style="26" customWidth="1"/>
    <col min="14576" max="14576" width="10.5703125" style="26" customWidth="1"/>
    <col min="14577" max="14799" width="9.140625" style="26"/>
    <col min="14800" max="14800" width="8.7109375" style="26" bestFit="1" customWidth="1"/>
    <col min="14801" max="14801" width="8.28515625" style="26" customWidth="1"/>
    <col min="14802" max="14802" width="12.7109375" style="26" customWidth="1"/>
    <col min="14803" max="14803" width="17" style="26" bestFit="1" customWidth="1"/>
    <col min="14804" max="14804" width="13.5703125" style="26" customWidth="1"/>
    <col min="14805" max="14805" width="17.7109375" style="26" customWidth="1"/>
    <col min="14806" max="14806" width="13.42578125" style="26" customWidth="1"/>
    <col min="14807" max="14807" width="11.42578125" style="26" customWidth="1"/>
    <col min="14808" max="14808" width="10.85546875" style="26" customWidth="1"/>
    <col min="14809" max="14809" width="9" style="26" bestFit="1" customWidth="1"/>
    <col min="14810" max="14810" width="10.85546875" style="26" customWidth="1"/>
    <col min="14811" max="14811" width="11" style="26" customWidth="1"/>
    <col min="14812" max="14812" width="43.5703125" style="26" customWidth="1"/>
    <col min="14813" max="14813" width="39.42578125" style="26" customWidth="1"/>
    <col min="14814" max="14814" width="9.140625" style="26"/>
    <col min="14815" max="14815" width="12.140625" style="26" customWidth="1"/>
    <col min="14816" max="14817" width="9.140625" style="26"/>
    <col min="14818" max="14818" width="11.85546875" style="26" customWidth="1"/>
    <col min="14819" max="14819" width="9.140625" style="26"/>
    <col min="14820" max="14820" width="13.5703125" style="26" customWidth="1"/>
    <col min="14821" max="14821" width="9" style="26" customWidth="1"/>
    <col min="14822" max="14822" width="10.85546875" style="26" customWidth="1"/>
    <col min="14823" max="14824" width="9.140625" style="26"/>
    <col min="14825" max="14825" width="11" style="26" customWidth="1"/>
    <col min="14826" max="14826" width="13.140625" style="26" customWidth="1"/>
    <col min="14827" max="14827" width="11.28515625" style="26" customWidth="1"/>
    <col min="14828" max="14830" width="9.140625" style="26"/>
    <col min="14831" max="14831" width="14.42578125" style="26" customWidth="1"/>
    <col min="14832" max="14832" width="10.5703125" style="26" customWidth="1"/>
    <col min="14833" max="15055" width="9.140625" style="26"/>
    <col min="15056" max="15056" width="8.7109375" style="26" bestFit="1" customWidth="1"/>
    <col min="15057" max="15057" width="8.28515625" style="26" customWidth="1"/>
    <col min="15058" max="15058" width="12.7109375" style="26" customWidth="1"/>
    <col min="15059" max="15059" width="17" style="26" bestFit="1" customWidth="1"/>
    <col min="15060" max="15060" width="13.5703125" style="26" customWidth="1"/>
    <col min="15061" max="15061" width="17.7109375" style="26" customWidth="1"/>
    <col min="15062" max="15062" width="13.42578125" style="26" customWidth="1"/>
    <col min="15063" max="15063" width="11.42578125" style="26" customWidth="1"/>
    <col min="15064" max="15064" width="10.85546875" style="26" customWidth="1"/>
    <col min="15065" max="15065" width="9" style="26" bestFit="1" customWidth="1"/>
    <col min="15066" max="15066" width="10.85546875" style="26" customWidth="1"/>
    <col min="15067" max="15067" width="11" style="26" customWidth="1"/>
    <col min="15068" max="15068" width="43.5703125" style="26" customWidth="1"/>
    <col min="15069" max="15069" width="39.42578125" style="26" customWidth="1"/>
    <col min="15070" max="15070" width="9.140625" style="26"/>
    <col min="15071" max="15071" width="12.140625" style="26" customWidth="1"/>
    <col min="15072" max="15073" width="9.140625" style="26"/>
    <col min="15074" max="15074" width="11.85546875" style="26" customWidth="1"/>
    <col min="15075" max="15075" width="9.140625" style="26"/>
    <col min="15076" max="15076" width="13.5703125" style="26" customWidth="1"/>
    <col min="15077" max="15077" width="9" style="26" customWidth="1"/>
    <col min="15078" max="15078" width="10.85546875" style="26" customWidth="1"/>
    <col min="15079" max="15080" width="9.140625" style="26"/>
    <col min="15081" max="15081" width="11" style="26" customWidth="1"/>
    <col min="15082" max="15082" width="13.140625" style="26" customWidth="1"/>
    <col min="15083" max="15083" width="11.28515625" style="26" customWidth="1"/>
    <col min="15084" max="15086" width="9.140625" style="26"/>
    <col min="15087" max="15087" width="14.42578125" style="26" customWidth="1"/>
    <col min="15088" max="15088" width="10.5703125" style="26" customWidth="1"/>
    <col min="15089" max="15311" width="9.140625" style="26"/>
    <col min="15312" max="15312" width="8.7109375" style="26" bestFit="1" customWidth="1"/>
    <col min="15313" max="15313" width="8.28515625" style="26" customWidth="1"/>
    <col min="15314" max="15314" width="12.7109375" style="26" customWidth="1"/>
    <col min="15315" max="15315" width="17" style="26" bestFit="1" customWidth="1"/>
    <col min="15316" max="15316" width="13.5703125" style="26" customWidth="1"/>
    <col min="15317" max="15317" width="17.7109375" style="26" customWidth="1"/>
    <col min="15318" max="15318" width="13.42578125" style="26" customWidth="1"/>
    <col min="15319" max="15319" width="11.42578125" style="26" customWidth="1"/>
    <col min="15320" max="15320" width="10.85546875" style="26" customWidth="1"/>
    <col min="15321" max="15321" width="9" style="26" bestFit="1" customWidth="1"/>
    <col min="15322" max="15322" width="10.85546875" style="26" customWidth="1"/>
    <col min="15323" max="15323" width="11" style="26" customWidth="1"/>
    <col min="15324" max="15324" width="43.5703125" style="26" customWidth="1"/>
    <col min="15325" max="15325" width="39.42578125" style="26" customWidth="1"/>
    <col min="15326" max="15326" width="9.140625" style="26"/>
    <col min="15327" max="15327" width="12.140625" style="26" customWidth="1"/>
    <col min="15328" max="15329" width="9.140625" style="26"/>
    <col min="15330" max="15330" width="11.85546875" style="26" customWidth="1"/>
    <col min="15331" max="15331" width="9.140625" style="26"/>
    <col min="15332" max="15332" width="13.5703125" style="26" customWidth="1"/>
    <col min="15333" max="15333" width="9" style="26" customWidth="1"/>
    <col min="15334" max="15334" width="10.85546875" style="26" customWidth="1"/>
    <col min="15335" max="15336" width="9.140625" style="26"/>
    <col min="15337" max="15337" width="11" style="26" customWidth="1"/>
    <col min="15338" max="15338" width="13.140625" style="26" customWidth="1"/>
    <col min="15339" max="15339" width="11.28515625" style="26" customWidth="1"/>
    <col min="15340" max="15342" width="9.140625" style="26"/>
    <col min="15343" max="15343" width="14.42578125" style="26" customWidth="1"/>
    <col min="15344" max="15344" width="10.5703125" style="26" customWidth="1"/>
    <col min="15345" max="15567" width="9.140625" style="26"/>
    <col min="15568" max="15568" width="8.7109375" style="26" bestFit="1" customWidth="1"/>
    <col min="15569" max="15569" width="8.28515625" style="26" customWidth="1"/>
    <col min="15570" max="15570" width="12.7109375" style="26" customWidth="1"/>
    <col min="15571" max="15571" width="17" style="26" bestFit="1" customWidth="1"/>
    <col min="15572" max="15572" width="13.5703125" style="26" customWidth="1"/>
    <col min="15573" max="15573" width="17.7109375" style="26" customWidth="1"/>
    <col min="15574" max="15574" width="13.42578125" style="26" customWidth="1"/>
    <col min="15575" max="15575" width="11.42578125" style="26" customWidth="1"/>
    <col min="15576" max="15576" width="10.85546875" style="26" customWidth="1"/>
    <col min="15577" max="15577" width="9" style="26" bestFit="1" customWidth="1"/>
    <col min="15578" max="15578" width="10.85546875" style="26" customWidth="1"/>
    <col min="15579" max="15579" width="11" style="26" customWidth="1"/>
    <col min="15580" max="15580" width="43.5703125" style="26" customWidth="1"/>
    <col min="15581" max="15581" width="39.42578125" style="26" customWidth="1"/>
    <col min="15582" max="15582" width="9.140625" style="26"/>
    <col min="15583" max="15583" width="12.140625" style="26" customWidth="1"/>
    <col min="15584" max="15585" width="9.140625" style="26"/>
    <col min="15586" max="15586" width="11.85546875" style="26" customWidth="1"/>
    <col min="15587" max="15587" width="9.140625" style="26"/>
    <col min="15588" max="15588" width="13.5703125" style="26" customWidth="1"/>
    <col min="15589" max="15589" width="9" style="26" customWidth="1"/>
    <col min="15590" max="15590" width="10.85546875" style="26" customWidth="1"/>
    <col min="15591" max="15592" width="9.140625" style="26"/>
    <col min="15593" max="15593" width="11" style="26" customWidth="1"/>
    <col min="15594" max="15594" width="13.140625" style="26" customWidth="1"/>
    <col min="15595" max="15595" width="11.28515625" style="26" customWidth="1"/>
    <col min="15596" max="15598" width="9.140625" style="26"/>
    <col min="15599" max="15599" width="14.42578125" style="26" customWidth="1"/>
    <col min="15600" max="15600" width="10.5703125" style="26" customWidth="1"/>
    <col min="15601" max="15823" width="9.140625" style="26"/>
    <col min="15824" max="15824" width="8.7109375" style="26" bestFit="1" customWidth="1"/>
    <col min="15825" max="15825" width="8.28515625" style="26" customWidth="1"/>
    <col min="15826" max="15826" width="12.7109375" style="26" customWidth="1"/>
    <col min="15827" max="15827" width="17" style="26" bestFit="1" customWidth="1"/>
    <col min="15828" max="15828" width="13.5703125" style="26" customWidth="1"/>
    <col min="15829" max="15829" width="17.7109375" style="26" customWidth="1"/>
    <col min="15830" max="15830" width="13.42578125" style="26" customWidth="1"/>
    <col min="15831" max="15831" width="11.42578125" style="26" customWidth="1"/>
    <col min="15832" max="15832" width="10.85546875" style="26" customWidth="1"/>
    <col min="15833" max="15833" width="9" style="26" bestFit="1" customWidth="1"/>
    <col min="15834" max="15834" width="10.85546875" style="26" customWidth="1"/>
    <col min="15835" max="15835" width="11" style="26" customWidth="1"/>
    <col min="15836" max="15836" width="43.5703125" style="26" customWidth="1"/>
    <col min="15837" max="15837" width="39.42578125" style="26" customWidth="1"/>
    <col min="15838" max="15838" width="9.140625" style="26"/>
    <col min="15839" max="15839" width="12.140625" style="26" customWidth="1"/>
    <col min="15840" max="15841" width="9.140625" style="26"/>
    <col min="15842" max="15842" width="11.85546875" style="26" customWidth="1"/>
    <col min="15843" max="15843" width="9.140625" style="26"/>
    <col min="15844" max="15844" width="13.5703125" style="26" customWidth="1"/>
    <col min="15845" max="15845" width="9" style="26" customWidth="1"/>
    <col min="15846" max="15846" width="10.85546875" style="26" customWidth="1"/>
    <col min="15847" max="15848" width="9.140625" style="26"/>
    <col min="15849" max="15849" width="11" style="26" customWidth="1"/>
    <col min="15850" max="15850" width="13.140625" style="26" customWidth="1"/>
    <col min="15851" max="15851" width="11.28515625" style="26" customWidth="1"/>
    <col min="15852" max="15854" width="9.140625" style="26"/>
    <col min="15855" max="15855" width="14.42578125" style="26" customWidth="1"/>
    <col min="15856" max="15856" width="10.5703125" style="26" customWidth="1"/>
    <col min="15857" max="16079" width="9.140625" style="26"/>
    <col min="16080" max="16080" width="8.7109375" style="26" bestFit="1" customWidth="1"/>
    <col min="16081" max="16081" width="8.28515625" style="26" customWidth="1"/>
    <col min="16082" max="16082" width="12.7109375" style="26" customWidth="1"/>
    <col min="16083" max="16083" width="17" style="26" bestFit="1" customWidth="1"/>
    <col min="16084" max="16084" width="13.5703125" style="26" customWidth="1"/>
    <col min="16085" max="16085" width="17.7109375" style="26" customWidth="1"/>
    <col min="16086" max="16086" width="13.42578125" style="26" customWidth="1"/>
    <col min="16087" max="16087" width="11.42578125" style="26" customWidth="1"/>
    <col min="16088" max="16088" width="10.85546875" style="26" customWidth="1"/>
    <col min="16089" max="16089" width="9" style="26" bestFit="1" customWidth="1"/>
    <col min="16090" max="16090" width="10.85546875" style="26" customWidth="1"/>
    <col min="16091" max="16091" width="11" style="26" customWidth="1"/>
    <col min="16092" max="16092" width="43.5703125" style="26" customWidth="1"/>
    <col min="16093" max="16093" width="39.42578125" style="26" customWidth="1"/>
    <col min="16094" max="16094" width="9.140625" style="26"/>
    <col min="16095" max="16095" width="12.140625" style="26" customWidth="1"/>
    <col min="16096" max="16097" width="9.140625" style="26"/>
    <col min="16098" max="16098" width="11.85546875" style="26" customWidth="1"/>
    <col min="16099" max="16099" width="9.140625" style="26"/>
    <col min="16100" max="16100" width="13.5703125" style="26" customWidth="1"/>
    <col min="16101" max="16101" width="9" style="26" customWidth="1"/>
    <col min="16102" max="16102" width="10.85546875" style="26" customWidth="1"/>
    <col min="16103" max="16104" width="9.140625" style="26"/>
    <col min="16105" max="16105" width="11" style="26" customWidth="1"/>
    <col min="16106" max="16106" width="13.140625" style="26" customWidth="1"/>
    <col min="16107" max="16107" width="11.28515625" style="26" customWidth="1"/>
    <col min="16108" max="16110" width="9.140625" style="26"/>
    <col min="16111" max="16111" width="14.42578125" style="26" customWidth="1"/>
    <col min="16112" max="16112" width="10.5703125" style="26" customWidth="1"/>
    <col min="16113" max="16384" width="9.140625" style="26"/>
  </cols>
  <sheetData>
    <row r="1" spans="1:14" s="104" customFormat="1" ht="36">
      <c r="A1" s="44" t="s">
        <v>0</v>
      </c>
      <c r="B1" s="45" t="s">
        <v>1</v>
      </c>
      <c r="C1" s="45" t="s">
        <v>2</v>
      </c>
      <c r="D1" s="45" t="s">
        <v>3</v>
      </c>
      <c r="E1" s="45" t="s">
        <v>4</v>
      </c>
      <c r="F1" s="45" t="s">
        <v>5</v>
      </c>
      <c r="G1" s="45" t="s">
        <v>6</v>
      </c>
      <c r="H1" s="45" t="s">
        <v>7</v>
      </c>
      <c r="I1" s="31" t="s">
        <v>8</v>
      </c>
      <c r="J1" s="31" t="s">
        <v>9</v>
      </c>
      <c r="K1" s="43" t="s">
        <v>10</v>
      </c>
      <c r="L1" s="45" t="s">
        <v>11</v>
      </c>
      <c r="M1" s="45" t="s">
        <v>12</v>
      </c>
      <c r="N1" s="45" t="s">
        <v>13</v>
      </c>
    </row>
    <row r="2" spans="1:14" ht="90">
      <c r="A2" s="46" t="s">
        <v>14</v>
      </c>
      <c r="B2" s="13" t="s">
        <v>15</v>
      </c>
      <c r="C2" s="13" t="s">
        <v>16</v>
      </c>
      <c r="D2" s="13" t="s">
        <v>17</v>
      </c>
      <c r="E2" s="10" t="s">
        <v>18</v>
      </c>
      <c r="F2" s="10" t="s">
        <v>19</v>
      </c>
      <c r="G2" s="10" t="s">
        <v>20</v>
      </c>
      <c r="H2" s="10" t="s">
        <v>21</v>
      </c>
      <c r="I2" s="20">
        <v>232.1</v>
      </c>
      <c r="J2" s="11" t="s">
        <v>22</v>
      </c>
      <c r="K2" s="11">
        <f>I2/15/20*20</f>
        <v>15.473333333333333</v>
      </c>
      <c r="L2" s="1">
        <v>0.8</v>
      </c>
      <c r="M2" s="13" t="s">
        <v>23</v>
      </c>
      <c r="N2" s="13" t="s">
        <v>24</v>
      </c>
    </row>
    <row r="3" spans="1:14" ht="90">
      <c r="A3" s="13">
        <v>1122908</v>
      </c>
      <c r="B3" s="16" t="s">
        <v>15</v>
      </c>
      <c r="C3" s="13" t="s">
        <v>16</v>
      </c>
      <c r="D3" s="13" t="s">
        <v>26</v>
      </c>
      <c r="E3" s="10" t="s">
        <v>18</v>
      </c>
      <c r="F3" s="10" t="s">
        <v>19</v>
      </c>
      <c r="G3" s="10" t="s">
        <v>2552</v>
      </c>
      <c r="H3" s="10" t="s">
        <v>2553</v>
      </c>
      <c r="I3" s="20">
        <v>232.1</v>
      </c>
      <c r="J3" s="11" t="s">
        <v>22</v>
      </c>
      <c r="K3" s="37">
        <f>I3/15/20*20</f>
        <v>15.473333333333333</v>
      </c>
      <c r="L3" s="1">
        <v>0.8</v>
      </c>
      <c r="M3" s="13" t="s">
        <v>23</v>
      </c>
      <c r="N3" s="13" t="s">
        <v>24</v>
      </c>
    </row>
    <row r="4" spans="1:14" ht="90">
      <c r="A4" s="46" t="s">
        <v>27</v>
      </c>
      <c r="B4" s="13" t="s">
        <v>28</v>
      </c>
      <c r="C4" s="13" t="s">
        <v>29</v>
      </c>
      <c r="D4" s="13" t="s">
        <v>30</v>
      </c>
      <c r="E4" s="10" t="s">
        <v>31</v>
      </c>
      <c r="F4" s="10" t="s">
        <v>32</v>
      </c>
      <c r="G4" s="47" t="s">
        <v>2495</v>
      </c>
      <c r="H4" s="47" t="s">
        <v>2496</v>
      </c>
      <c r="I4" s="20">
        <v>98.8</v>
      </c>
      <c r="J4" s="11" t="s">
        <v>33</v>
      </c>
      <c r="K4" s="11">
        <f>I4/14/20*40</f>
        <v>14.114285714285714</v>
      </c>
      <c r="L4" s="1">
        <v>0.8</v>
      </c>
      <c r="M4" s="13" t="s">
        <v>34</v>
      </c>
      <c r="N4" s="13" t="s">
        <v>35</v>
      </c>
    </row>
    <row r="5" spans="1:14" ht="90">
      <c r="A5" s="46" t="s">
        <v>37</v>
      </c>
      <c r="B5" s="13" t="s">
        <v>28</v>
      </c>
      <c r="C5" s="13" t="s">
        <v>29</v>
      </c>
      <c r="D5" s="13" t="s">
        <v>30</v>
      </c>
      <c r="E5" s="10" t="s">
        <v>31</v>
      </c>
      <c r="F5" s="10" t="s">
        <v>38</v>
      </c>
      <c r="G5" s="47" t="s">
        <v>2495</v>
      </c>
      <c r="H5" s="47" t="s">
        <v>2496</v>
      </c>
      <c r="I5" s="11">
        <v>119</v>
      </c>
      <c r="J5" s="11" t="s">
        <v>33</v>
      </c>
      <c r="K5" s="11">
        <f>I5/14/40*40</f>
        <v>8.5</v>
      </c>
      <c r="L5" s="1">
        <v>0.8</v>
      </c>
      <c r="M5" s="13" t="s">
        <v>34</v>
      </c>
      <c r="N5" s="13" t="s">
        <v>35</v>
      </c>
    </row>
    <row r="6" spans="1:14" ht="90">
      <c r="A6" s="46" t="s">
        <v>39</v>
      </c>
      <c r="B6" s="13" t="s">
        <v>28</v>
      </c>
      <c r="C6" s="13" t="s">
        <v>29</v>
      </c>
      <c r="D6" s="13" t="s">
        <v>40</v>
      </c>
      <c r="E6" s="10" t="s">
        <v>31</v>
      </c>
      <c r="F6" s="10" t="s">
        <v>32</v>
      </c>
      <c r="G6" s="47" t="s">
        <v>41</v>
      </c>
      <c r="H6" s="47" t="s">
        <v>42</v>
      </c>
      <c r="I6" s="20">
        <v>98.8</v>
      </c>
      <c r="J6" s="11" t="s">
        <v>33</v>
      </c>
      <c r="K6" s="11">
        <f>I6/14/20*40</f>
        <v>14.114285714285714</v>
      </c>
      <c r="L6" s="1">
        <v>0.8</v>
      </c>
      <c r="M6" s="13" t="s">
        <v>34</v>
      </c>
      <c r="N6" s="13" t="s">
        <v>35</v>
      </c>
    </row>
    <row r="7" spans="1:14" ht="90">
      <c r="A7" s="46" t="s">
        <v>43</v>
      </c>
      <c r="B7" s="13" t="s">
        <v>28</v>
      </c>
      <c r="C7" s="13" t="s">
        <v>29</v>
      </c>
      <c r="D7" s="13" t="s">
        <v>40</v>
      </c>
      <c r="E7" s="10" t="s">
        <v>31</v>
      </c>
      <c r="F7" s="10" t="s">
        <v>44</v>
      </c>
      <c r="G7" s="47" t="s">
        <v>41</v>
      </c>
      <c r="H7" s="47" t="s">
        <v>42</v>
      </c>
      <c r="I7" s="20">
        <v>197.6</v>
      </c>
      <c r="J7" s="11" t="s">
        <v>33</v>
      </c>
      <c r="K7" s="11">
        <f>I7/28/20*40</f>
        <v>14.114285714285714</v>
      </c>
      <c r="L7" s="1">
        <v>0.8</v>
      </c>
      <c r="M7" s="13" t="s">
        <v>34</v>
      </c>
      <c r="N7" s="13" t="s">
        <v>35</v>
      </c>
    </row>
    <row r="8" spans="1:14" ht="90">
      <c r="A8" s="46" t="s">
        <v>45</v>
      </c>
      <c r="B8" s="13" t="s">
        <v>28</v>
      </c>
      <c r="C8" s="13" t="s">
        <v>29</v>
      </c>
      <c r="D8" s="13" t="s">
        <v>40</v>
      </c>
      <c r="E8" s="10" t="s">
        <v>31</v>
      </c>
      <c r="F8" s="10" t="s">
        <v>38</v>
      </c>
      <c r="G8" s="25" t="s">
        <v>46</v>
      </c>
      <c r="H8" s="25" t="s">
        <v>25</v>
      </c>
      <c r="I8" s="11">
        <v>119</v>
      </c>
      <c r="J8" s="11" t="s">
        <v>33</v>
      </c>
      <c r="K8" s="11">
        <f>I8/14/40*40</f>
        <v>8.5</v>
      </c>
      <c r="L8" s="1">
        <v>0.8</v>
      </c>
      <c r="M8" s="13" t="s">
        <v>34</v>
      </c>
      <c r="N8" s="13" t="s">
        <v>35</v>
      </c>
    </row>
    <row r="9" spans="1:14" ht="90">
      <c r="A9" s="46" t="s">
        <v>47</v>
      </c>
      <c r="B9" s="13" t="s">
        <v>28</v>
      </c>
      <c r="C9" s="13" t="s">
        <v>29</v>
      </c>
      <c r="D9" s="13" t="s">
        <v>40</v>
      </c>
      <c r="E9" s="10" t="s">
        <v>31</v>
      </c>
      <c r="F9" s="10" t="s">
        <v>48</v>
      </c>
      <c r="G9" s="25" t="s">
        <v>49</v>
      </c>
      <c r="H9" s="25" t="s">
        <v>25</v>
      </c>
      <c r="I9" s="20">
        <v>238</v>
      </c>
      <c r="J9" s="11" t="s">
        <v>33</v>
      </c>
      <c r="K9" s="11">
        <f>I9/28/40*40</f>
        <v>8.5</v>
      </c>
      <c r="L9" s="1">
        <v>0.8</v>
      </c>
      <c r="M9" s="13" t="s">
        <v>34</v>
      </c>
      <c r="N9" s="13" t="s">
        <v>35</v>
      </c>
    </row>
    <row r="10" spans="1:14" ht="90">
      <c r="A10" s="48" t="s">
        <v>50</v>
      </c>
      <c r="B10" s="16" t="s">
        <v>28</v>
      </c>
      <c r="C10" s="13" t="s">
        <v>29</v>
      </c>
      <c r="D10" s="14" t="s">
        <v>51</v>
      </c>
      <c r="E10" s="10" t="s">
        <v>31</v>
      </c>
      <c r="F10" s="10" t="s">
        <v>32</v>
      </c>
      <c r="G10" s="10" t="s">
        <v>52</v>
      </c>
      <c r="H10" s="10" t="s">
        <v>25</v>
      </c>
      <c r="I10" s="11">
        <v>98.8</v>
      </c>
      <c r="J10" s="20" t="s">
        <v>33</v>
      </c>
      <c r="K10" s="11">
        <f>I10/14/20*40</f>
        <v>14.114285714285714</v>
      </c>
      <c r="L10" s="2">
        <v>0.8</v>
      </c>
      <c r="M10" s="13" t="s">
        <v>34</v>
      </c>
      <c r="N10" s="13" t="s">
        <v>35</v>
      </c>
    </row>
    <row r="11" spans="1:14" ht="90">
      <c r="A11" s="48" t="s">
        <v>53</v>
      </c>
      <c r="B11" s="16" t="s">
        <v>28</v>
      </c>
      <c r="C11" s="13" t="s">
        <v>29</v>
      </c>
      <c r="D11" s="14" t="s">
        <v>51</v>
      </c>
      <c r="E11" s="10" t="s">
        <v>31</v>
      </c>
      <c r="F11" s="10" t="s">
        <v>38</v>
      </c>
      <c r="G11" s="10" t="s">
        <v>52</v>
      </c>
      <c r="H11" s="10" t="s">
        <v>25</v>
      </c>
      <c r="I11" s="11">
        <v>119</v>
      </c>
      <c r="J11" s="20" t="s">
        <v>33</v>
      </c>
      <c r="K11" s="11">
        <f>I11/14/40*40</f>
        <v>8.5</v>
      </c>
      <c r="L11" s="105">
        <v>0.8</v>
      </c>
      <c r="M11" s="13" t="s">
        <v>34</v>
      </c>
      <c r="N11" s="13" t="s">
        <v>35</v>
      </c>
    </row>
    <row r="12" spans="1:14" s="106" customFormat="1" ht="90">
      <c r="A12" s="49" t="s">
        <v>54</v>
      </c>
      <c r="B12" s="50" t="s">
        <v>55</v>
      </c>
      <c r="C12" s="51" t="s">
        <v>56</v>
      </c>
      <c r="D12" s="51" t="s">
        <v>57</v>
      </c>
      <c r="E12" s="24" t="s">
        <v>31</v>
      </c>
      <c r="F12" s="30" t="s">
        <v>2409</v>
      </c>
      <c r="G12" s="30" t="s">
        <v>58</v>
      </c>
      <c r="H12" s="30" t="s">
        <v>59</v>
      </c>
      <c r="I12" s="11">
        <v>174.2</v>
      </c>
      <c r="J12" s="20" t="s">
        <v>22</v>
      </c>
      <c r="K12" s="11">
        <f>I12/14/10*20</f>
        <v>24.885714285714286</v>
      </c>
      <c r="L12" s="52">
        <v>0.9</v>
      </c>
      <c r="M12" s="51" t="s">
        <v>23</v>
      </c>
      <c r="N12" s="51" t="s">
        <v>60</v>
      </c>
    </row>
    <row r="13" spans="1:14" ht="90">
      <c r="A13" s="48" t="s">
        <v>61</v>
      </c>
      <c r="B13" s="16" t="s">
        <v>55</v>
      </c>
      <c r="C13" s="13" t="s">
        <v>56</v>
      </c>
      <c r="D13" s="13" t="s">
        <v>57</v>
      </c>
      <c r="E13" s="21" t="s">
        <v>31</v>
      </c>
      <c r="F13" s="10" t="s">
        <v>32</v>
      </c>
      <c r="G13" s="10" t="s">
        <v>2434</v>
      </c>
      <c r="H13" s="10" t="s">
        <v>2435</v>
      </c>
      <c r="I13" s="11">
        <v>304.10000000000002</v>
      </c>
      <c r="J13" s="20" t="s">
        <v>22</v>
      </c>
      <c r="K13" s="20">
        <f>I13/14/20*20</f>
        <v>21.721428571428572</v>
      </c>
      <c r="L13" s="12">
        <v>0.9</v>
      </c>
      <c r="M13" s="13" t="s">
        <v>23</v>
      </c>
      <c r="N13" s="13" t="s">
        <v>60</v>
      </c>
    </row>
    <row r="14" spans="1:14" ht="90">
      <c r="A14" s="46" t="s">
        <v>63</v>
      </c>
      <c r="B14" s="53" t="s">
        <v>55</v>
      </c>
      <c r="C14" s="53" t="s">
        <v>56</v>
      </c>
      <c r="D14" s="53" t="s">
        <v>64</v>
      </c>
      <c r="E14" s="54" t="s">
        <v>31</v>
      </c>
      <c r="F14" s="54" t="s">
        <v>32</v>
      </c>
      <c r="G14" s="10" t="s">
        <v>65</v>
      </c>
      <c r="H14" s="10" t="s">
        <v>66</v>
      </c>
      <c r="I14" s="11">
        <v>304.10000000000002</v>
      </c>
      <c r="J14" s="11" t="s">
        <v>22</v>
      </c>
      <c r="K14" s="11">
        <f>I14/(14*20)*20</f>
        <v>21.721428571428572</v>
      </c>
      <c r="L14" s="12">
        <v>0.9</v>
      </c>
      <c r="M14" s="13" t="s">
        <v>23</v>
      </c>
      <c r="N14" s="13" t="s">
        <v>60</v>
      </c>
    </row>
    <row r="15" spans="1:14" ht="90">
      <c r="A15" s="46" t="s">
        <v>67</v>
      </c>
      <c r="B15" s="13" t="s">
        <v>68</v>
      </c>
      <c r="C15" s="13" t="s">
        <v>69</v>
      </c>
      <c r="D15" s="13" t="s">
        <v>70</v>
      </c>
      <c r="E15" s="10" t="s">
        <v>18</v>
      </c>
      <c r="F15" s="10" t="s">
        <v>32</v>
      </c>
      <c r="G15" s="25" t="s">
        <v>46</v>
      </c>
      <c r="H15" s="25" t="s">
        <v>25</v>
      </c>
      <c r="I15" s="20">
        <v>150</v>
      </c>
      <c r="J15" s="11" t="s">
        <v>71</v>
      </c>
      <c r="K15" s="11">
        <f>I15/14/20*30</f>
        <v>16.071428571428569</v>
      </c>
      <c r="L15" s="1">
        <v>0.75</v>
      </c>
      <c r="M15" s="13" t="s">
        <v>23</v>
      </c>
      <c r="N15" s="13" t="s">
        <v>72</v>
      </c>
    </row>
    <row r="16" spans="1:14" ht="90">
      <c r="A16" s="46" t="s">
        <v>73</v>
      </c>
      <c r="B16" s="13" t="s">
        <v>68</v>
      </c>
      <c r="C16" s="13" t="s">
        <v>69</v>
      </c>
      <c r="D16" s="13" t="s">
        <v>70</v>
      </c>
      <c r="E16" s="10" t="s">
        <v>18</v>
      </c>
      <c r="F16" s="10" t="s">
        <v>44</v>
      </c>
      <c r="G16" s="25" t="s">
        <v>46</v>
      </c>
      <c r="H16" s="10" t="s">
        <v>25</v>
      </c>
      <c r="I16" s="20">
        <v>299.89999999999998</v>
      </c>
      <c r="J16" s="11" t="s">
        <v>71</v>
      </c>
      <c r="K16" s="11">
        <f>I16/28/20*30</f>
        <v>16.066071428571426</v>
      </c>
      <c r="L16" s="1">
        <v>0.75</v>
      </c>
      <c r="M16" s="13" t="s">
        <v>23</v>
      </c>
      <c r="N16" s="13" t="s">
        <v>72</v>
      </c>
    </row>
    <row r="17" spans="1:14" ht="90">
      <c r="A17" s="46" t="s">
        <v>74</v>
      </c>
      <c r="B17" s="13" t="s">
        <v>68</v>
      </c>
      <c r="C17" s="13" t="s">
        <v>69</v>
      </c>
      <c r="D17" s="13" t="s">
        <v>70</v>
      </c>
      <c r="E17" s="10" t="s">
        <v>18</v>
      </c>
      <c r="F17" s="10" t="s">
        <v>38</v>
      </c>
      <c r="G17" s="25" t="s">
        <v>46</v>
      </c>
      <c r="H17" s="25" t="s">
        <v>25</v>
      </c>
      <c r="I17" s="20">
        <v>208.5</v>
      </c>
      <c r="J17" s="11" t="s">
        <v>71</v>
      </c>
      <c r="K17" s="11">
        <f>I17/14/40*30</f>
        <v>11.169642857142858</v>
      </c>
      <c r="L17" s="1">
        <v>0.75</v>
      </c>
      <c r="M17" s="13" t="s">
        <v>23</v>
      </c>
      <c r="N17" s="13" t="s">
        <v>72</v>
      </c>
    </row>
    <row r="18" spans="1:14" ht="90">
      <c r="A18" s="46" t="s">
        <v>75</v>
      </c>
      <c r="B18" s="13" t="s">
        <v>68</v>
      </c>
      <c r="C18" s="13" t="s">
        <v>69</v>
      </c>
      <c r="D18" s="13" t="s">
        <v>70</v>
      </c>
      <c r="E18" s="10" t="s">
        <v>18</v>
      </c>
      <c r="F18" s="10" t="s">
        <v>48</v>
      </c>
      <c r="G18" s="25" t="s">
        <v>46</v>
      </c>
      <c r="H18" s="10" t="s">
        <v>25</v>
      </c>
      <c r="I18" s="20">
        <v>417.1</v>
      </c>
      <c r="J18" s="11" t="s">
        <v>71</v>
      </c>
      <c r="K18" s="11">
        <f>I18/28/40*30</f>
        <v>11.172321428571429</v>
      </c>
      <c r="L18" s="1">
        <v>0.75</v>
      </c>
      <c r="M18" s="13" t="s">
        <v>23</v>
      </c>
      <c r="N18" s="13" t="s">
        <v>72</v>
      </c>
    </row>
    <row r="19" spans="1:14" s="106" customFormat="1" ht="22.5">
      <c r="A19" s="49" t="s">
        <v>76</v>
      </c>
      <c r="B19" s="50" t="s">
        <v>77</v>
      </c>
      <c r="C19" s="51" t="s">
        <v>78</v>
      </c>
      <c r="D19" s="55" t="s">
        <v>79</v>
      </c>
      <c r="E19" s="24" t="s">
        <v>80</v>
      </c>
      <c r="F19" s="30" t="s">
        <v>2410</v>
      </c>
      <c r="G19" s="30" t="s">
        <v>81</v>
      </c>
      <c r="H19" s="30" t="s">
        <v>82</v>
      </c>
      <c r="I19" s="11">
        <v>3432.9</v>
      </c>
      <c r="J19" s="20" t="s">
        <v>36</v>
      </c>
      <c r="K19" s="11" t="s">
        <v>36</v>
      </c>
      <c r="L19" s="52">
        <v>0.75</v>
      </c>
      <c r="M19" s="51" t="s">
        <v>83</v>
      </c>
      <c r="N19" s="51" t="s">
        <v>84</v>
      </c>
    </row>
    <row r="20" spans="1:14" ht="22.5">
      <c r="A20" s="46" t="s">
        <v>86</v>
      </c>
      <c r="B20" s="13" t="s">
        <v>87</v>
      </c>
      <c r="C20" s="13" t="s">
        <v>88</v>
      </c>
      <c r="D20" s="13" t="s">
        <v>89</v>
      </c>
      <c r="E20" s="10" t="s">
        <v>90</v>
      </c>
      <c r="F20" s="10" t="s">
        <v>91</v>
      </c>
      <c r="G20" s="10" t="s">
        <v>92</v>
      </c>
      <c r="H20" s="10" t="s">
        <v>82</v>
      </c>
      <c r="I20" s="20">
        <v>685.7</v>
      </c>
      <c r="J20" s="11" t="s">
        <v>93</v>
      </c>
      <c r="K20" s="11">
        <f>I20/10/500*1500</f>
        <v>205.71</v>
      </c>
      <c r="L20" s="12">
        <v>0.2</v>
      </c>
      <c r="M20" s="13" t="s">
        <v>94</v>
      </c>
      <c r="N20" s="13" t="s">
        <v>95</v>
      </c>
    </row>
    <row r="21" spans="1:14" ht="22.5">
      <c r="A21" s="46" t="s">
        <v>96</v>
      </c>
      <c r="B21" s="13" t="s">
        <v>87</v>
      </c>
      <c r="C21" s="13" t="s">
        <v>88</v>
      </c>
      <c r="D21" s="13" t="s">
        <v>89</v>
      </c>
      <c r="E21" s="10" t="s">
        <v>90</v>
      </c>
      <c r="F21" s="10" t="s">
        <v>2411</v>
      </c>
      <c r="G21" s="10" t="s">
        <v>97</v>
      </c>
      <c r="H21" s="10" t="s">
        <v>82</v>
      </c>
      <c r="I21" s="20">
        <v>1174</v>
      </c>
      <c r="J21" s="11" t="s">
        <v>93</v>
      </c>
      <c r="K21" s="11">
        <f>I21/10/1000*1500</f>
        <v>176.1</v>
      </c>
      <c r="L21" s="12">
        <v>0.2</v>
      </c>
      <c r="M21" s="13" t="s">
        <v>94</v>
      </c>
      <c r="N21" s="13" t="s">
        <v>95</v>
      </c>
    </row>
    <row r="22" spans="1:14" s="107" customFormat="1" ht="33.75">
      <c r="A22" s="46" t="s">
        <v>98</v>
      </c>
      <c r="B22" s="13" t="s">
        <v>87</v>
      </c>
      <c r="C22" s="13" t="s">
        <v>88</v>
      </c>
      <c r="D22" s="13" t="s">
        <v>89</v>
      </c>
      <c r="E22" s="10" t="s">
        <v>99</v>
      </c>
      <c r="F22" s="10" t="s">
        <v>100</v>
      </c>
      <c r="G22" s="10" t="s">
        <v>97</v>
      </c>
      <c r="H22" s="10" t="s">
        <v>82</v>
      </c>
      <c r="I22" s="20">
        <v>1748.2</v>
      </c>
      <c r="J22" s="61" t="s">
        <v>93</v>
      </c>
      <c r="K22" s="11">
        <f>+I22/50/500*1500</f>
        <v>104.89200000000001</v>
      </c>
      <c r="L22" s="12">
        <v>0.2</v>
      </c>
      <c r="M22" s="13" t="s">
        <v>101</v>
      </c>
      <c r="N22" s="13" t="s">
        <v>102</v>
      </c>
    </row>
    <row r="23" spans="1:14" s="107" customFormat="1" ht="33.75">
      <c r="A23" s="46" t="s">
        <v>103</v>
      </c>
      <c r="B23" s="13" t="s">
        <v>87</v>
      </c>
      <c r="C23" s="13" t="s">
        <v>88</v>
      </c>
      <c r="D23" s="13" t="s">
        <v>89</v>
      </c>
      <c r="E23" s="10" t="s">
        <v>99</v>
      </c>
      <c r="F23" s="10" t="s">
        <v>104</v>
      </c>
      <c r="G23" s="10" t="s">
        <v>97</v>
      </c>
      <c r="H23" s="10" t="s">
        <v>82</v>
      </c>
      <c r="I23" s="20">
        <v>3160.1</v>
      </c>
      <c r="J23" s="61" t="s">
        <v>93</v>
      </c>
      <c r="K23" s="11">
        <f>+I23/50/1000*1500</f>
        <v>94.802999999999997</v>
      </c>
      <c r="L23" s="12">
        <v>0.2</v>
      </c>
      <c r="M23" s="13" t="s">
        <v>101</v>
      </c>
      <c r="N23" s="13" t="s">
        <v>102</v>
      </c>
    </row>
    <row r="24" spans="1:14" s="107" customFormat="1" ht="33.75">
      <c r="A24" s="46" t="s">
        <v>105</v>
      </c>
      <c r="B24" s="13" t="s">
        <v>87</v>
      </c>
      <c r="C24" s="13" t="s">
        <v>88</v>
      </c>
      <c r="D24" s="13" t="s">
        <v>89</v>
      </c>
      <c r="E24" s="10" t="s">
        <v>99</v>
      </c>
      <c r="F24" s="10" t="s">
        <v>106</v>
      </c>
      <c r="G24" s="10" t="s">
        <v>97</v>
      </c>
      <c r="H24" s="10" t="s">
        <v>82</v>
      </c>
      <c r="I24" s="20">
        <v>6320.3</v>
      </c>
      <c r="J24" s="61" t="s">
        <v>93</v>
      </c>
      <c r="K24" s="11">
        <f>+I24/100/1000*1500</f>
        <v>94.804500000000019</v>
      </c>
      <c r="L24" s="12">
        <v>0.2</v>
      </c>
      <c r="M24" s="13" t="s">
        <v>101</v>
      </c>
      <c r="N24" s="13" t="s">
        <v>102</v>
      </c>
    </row>
    <row r="25" spans="1:14" ht="22.5">
      <c r="A25" s="46" t="s">
        <v>107</v>
      </c>
      <c r="B25" s="13" t="s">
        <v>87</v>
      </c>
      <c r="C25" s="13" t="s">
        <v>88</v>
      </c>
      <c r="D25" s="13" t="s">
        <v>108</v>
      </c>
      <c r="E25" s="10" t="s">
        <v>31</v>
      </c>
      <c r="F25" s="10" t="s">
        <v>109</v>
      </c>
      <c r="G25" s="10" t="s">
        <v>92</v>
      </c>
      <c r="H25" s="10" t="s">
        <v>82</v>
      </c>
      <c r="I25" s="20">
        <v>1101.4000000000001</v>
      </c>
      <c r="J25" s="11" t="s">
        <v>93</v>
      </c>
      <c r="K25" s="11">
        <f>I25/50/500*1500</f>
        <v>66.084000000000003</v>
      </c>
      <c r="L25" s="12">
        <v>0.2</v>
      </c>
      <c r="M25" s="13" t="s">
        <v>110</v>
      </c>
      <c r="N25" s="13" t="s">
        <v>95</v>
      </c>
    </row>
    <row r="26" spans="1:14" ht="22.5">
      <c r="A26" s="46" t="s">
        <v>111</v>
      </c>
      <c r="B26" s="13" t="s">
        <v>87</v>
      </c>
      <c r="C26" s="13" t="s">
        <v>88</v>
      </c>
      <c r="D26" s="13" t="s">
        <v>108</v>
      </c>
      <c r="E26" s="10" t="s">
        <v>31</v>
      </c>
      <c r="F26" s="10" t="s">
        <v>112</v>
      </c>
      <c r="G26" s="10" t="s">
        <v>92</v>
      </c>
      <c r="H26" s="10" t="s">
        <v>82</v>
      </c>
      <c r="I26" s="20">
        <v>2202.8000000000002</v>
      </c>
      <c r="J26" s="11" t="s">
        <v>93</v>
      </c>
      <c r="K26" s="11">
        <f>I26/100/500*1500</f>
        <v>66.084000000000003</v>
      </c>
      <c r="L26" s="12">
        <v>0.2</v>
      </c>
      <c r="M26" s="13" t="s">
        <v>110</v>
      </c>
      <c r="N26" s="13" t="s">
        <v>95</v>
      </c>
    </row>
    <row r="27" spans="1:14" ht="22.5">
      <c r="A27" s="46" t="s">
        <v>113</v>
      </c>
      <c r="B27" s="13" t="s">
        <v>87</v>
      </c>
      <c r="C27" s="13" t="s">
        <v>88</v>
      </c>
      <c r="D27" s="13" t="s">
        <v>114</v>
      </c>
      <c r="E27" s="10" t="s">
        <v>31</v>
      </c>
      <c r="F27" s="10" t="s">
        <v>115</v>
      </c>
      <c r="G27" s="10" t="s">
        <v>2507</v>
      </c>
      <c r="H27" s="10" t="s">
        <v>82</v>
      </c>
      <c r="I27" s="20">
        <v>2048.1</v>
      </c>
      <c r="J27" s="11" t="s">
        <v>93</v>
      </c>
      <c r="K27" s="11">
        <f>I27/100/400*1500</f>
        <v>76.803749999999994</v>
      </c>
      <c r="L27" s="12">
        <v>0.2</v>
      </c>
      <c r="M27" s="13" t="s">
        <v>94</v>
      </c>
      <c r="N27" s="13" t="s">
        <v>95</v>
      </c>
    </row>
    <row r="28" spans="1:14" ht="33.75">
      <c r="A28" s="46" t="s">
        <v>116</v>
      </c>
      <c r="B28" s="13" t="s">
        <v>87</v>
      </c>
      <c r="C28" s="13" t="s">
        <v>88</v>
      </c>
      <c r="D28" s="13" t="s">
        <v>117</v>
      </c>
      <c r="E28" s="10" t="s">
        <v>118</v>
      </c>
      <c r="F28" s="10" t="s">
        <v>112</v>
      </c>
      <c r="G28" s="10" t="s">
        <v>119</v>
      </c>
      <c r="H28" s="10" t="s">
        <v>120</v>
      </c>
      <c r="I28" s="20">
        <v>2878.9</v>
      </c>
      <c r="J28" s="11" t="s">
        <v>93</v>
      </c>
      <c r="K28" s="11">
        <f>I28/100/500*1500</f>
        <v>86.367000000000004</v>
      </c>
      <c r="L28" s="12">
        <v>0.2</v>
      </c>
      <c r="M28" s="13" t="s">
        <v>94</v>
      </c>
      <c r="N28" s="13" t="s">
        <v>95</v>
      </c>
    </row>
    <row r="29" spans="1:14" ht="33.75">
      <c r="A29" s="46" t="s">
        <v>121</v>
      </c>
      <c r="B29" s="13" t="s">
        <v>87</v>
      </c>
      <c r="C29" s="13" t="s">
        <v>88</v>
      </c>
      <c r="D29" s="13" t="s">
        <v>117</v>
      </c>
      <c r="E29" s="10" t="s">
        <v>90</v>
      </c>
      <c r="F29" s="10" t="s">
        <v>122</v>
      </c>
      <c r="G29" s="10" t="s">
        <v>119</v>
      </c>
      <c r="H29" s="10" t="s">
        <v>120</v>
      </c>
      <c r="I29" s="20">
        <v>3424.7</v>
      </c>
      <c r="J29" s="11" t="s">
        <v>93</v>
      </c>
      <c r="K29" s="11">
        <f>I29/28/1000*1500</f>
        <v>183.46607142857144</v>
      </c>
      <c r="L29" s="12">
        <v>0.25</v>
      </c>
      <c r="M29" s="13" t="s">
        <v>94</v>
      </c>
      <c r="N29" s="13" t="s">
        <v>95</v>
      </c>
    </row>
    <row r="30" spans="1:14" ht="33.75">
      <c r="A30" s="48" t="s">
        <v>123</v>
      </c>
      <c r="B30" s="13" t="s">
        <v>87</v>
      </c>
      <c r="C30" s="13" t="s">
        <v>88</v>
      </c>
      <c r="D30" s="14" t="s">
        <v>117</v>
      </c>
      <c r="E30" s="10" t="s">
        <v>99</v>
      </c>
      <c r="F30" s="10" t="s">
        <v>124</v>
      </c>
      <c r="G30" s="10" t="s">
        <v>125</v>
      </c>
      <c r="H30" s="10" t="s">
        <v>82</v>
      </c>
      <c r="I30" s="11">
        <v>7395.6</v>
      </c>
      <c r="J30" s="11" t="s">
        <v>93</v>
      </c>
      <c r="K30" s="11">
        <f>I30/60/2*1.5</f>
        <v>92.445000000000007</v>
      </c>
      <c r="L30" s="12">
        <v>0.2</v>
      </c>
      <c r="M30" s="13" t="s">
        <v>126</v>
      </c>
      <c r="N30" s="13" t="s">
        <v>102</v>
      </c>
    </row>
    <row r="31" spans="1:14" ht="33.75">
      <c r="A31" s="48" t="s">
        <v>127</v>
      </c>
      <c r="B31" s="13" t="s">
        <v>87</v>
      </c>
      <c r="C31" s="13" t="s">
        <v>88</v>
      </c>
      <c r="D31" s="14" t="s">
        <v>117</v>
      </c>
      <c r="E31" s="10" t="s">
        <v>99</v>
      </c>
      <c r="F31" s="10" t="s">
        <v>128</v>
      </c>
      <c r="G31" s="10" t="s">
        <v>125</v>
      </c>
      <c r="H31" s="10" t="s">
        <v>82</v>
      </c>
      <c r="I31" s="11">
        <v>7231.6</v>
      </c>
      <c r="J31" s="11" t="s">
        <v>93</v>
      </c>
      <c r="K31" s="11">
        <f>I31/30/4*1.5</f>
        <v>90.39500000000001</v>
      </c>
      <c r="L31" s="12">
        <v>0.2</v>
      </c>
      <c r="M31" s="13" t="s">
        <v>126</v>
      </c>
      <c r="N31" s="13" t="s">
        <v>102</v>
      </c>
    </row>
    <row r="32" spans="1:14" ht="78.75">
      <c r="A32" s="46" t="s">
        <v>129</v>
      </c>
      <c r="B32" s="13" t="s">
        <v>130</v>
      </c>
      <c r="C32" s="13" t="s">
        <v>131</v>
      </c>
      <c r="D32" s="13" t="s">
        <v>132</v>
      </c>
      <c r="E32" s="10" t="s">
        <v>133</v>
      </c>
      <c r="F32" s="10" t="s">
        <v>134</v>
      </c>
      <c r="G32" s="10" t="s">
        <v>135</v>
      </c>
      <c r="H32" s="10" t="s">
        <v>136</v>
      </c>
      <c r="I32" s="11">
        <v>189.6</v>
      </c>
      <c r="J32" s="11" t="s">
        <v>137</v>
      </c>
      <c r="K32" s="11">
        <f>I32/60/500*2000</f>
        <v>12.639999999999999</v>
      </c>
      <c r="L32" s="1">
        <v>0.25</v>
      </c>
      <c r="M32" s="13"/>
      <c r="N32" s="13"/>
    </row>
    <row r="33" spans="1:14" ht="78.75">
      <c r="A33" s="46" t="s">
        <v>138</v>
      </c>
      <c r="B33" s="13" t="s">
        <v>130</v>
      </c>
      <c r="C33" s="13" t="s">
        <v>131</v>
      </c>
      <c r="D33" s="13" t="s">
        <v>132</v>
      </c>
      <c r="E33" s="10" t="s">
        <v>133</v>
      </c>
      <c r="F33" s="10" t="s">
        <v>139</v>
      </c>
      <c r="G33" s="10" t="s">
        <v>135</v>
      </c>
      <c r="H33" s="10" t="s">
        <v>136</v>
      </c>
      <c r="I33" s="11">
        <v>94.8</v>
      </c>
      <c r="J33" s="11" t="s">
        <v>140</v>
      </c>
      <c r="K33" s="11">
        <f>I33/30/500*2000</f>
        <v>12.639999999999999</v>
      </c>
      <c r="L33" s="1">
        <v>0.25</v>
      </c>
      <c r="M33" s="13"/>
      <c r="N33" s="13"/>
    </row>
    <row r="34" spans="1:14" ht="45">
      <c r="A34" s="46" t="s">
        <v>141</v>
      </c>
      <c r="B34" s="13" t="s">
        <v>130</v>
      </c>
      <c r="C34" s="13" t="s">
        <v>131</v>
      </c>
      <c r="D34" s="13" t="s">
        <v>142</v>
      </c>
      <c r="E34" s="10" t="s">
        <v>118</v>
      </c>
      <c r="F34" s="10" t="s">
        <v>143</v>
      </c>
      <c r="G34" s="10" t="s">
        <v>144</v>
      </c>
      <c r="H34" s="10" t="s">
        <v>145</v>
      </c>
      <c r="I34" s="11">
        <v>247.6</v>
      </c>
      <c r="J34" s="11" t="s">
        <v>140</v>
      </c>
      <c r="K34" s="11">
        <f>+I34/30/750*2000</f>
        <v>22.00888888888889</v>
      </c>
      <c r="L34" s="1">
        <v>0.7</v>
      </c>
      <c r="M34" s="13"/>
      <c r="N34" s="13"/>
    </row>
    <row r="35" spans="1:14" ht="45">
      <c r="A35" s="46" t="s">
        <v>146</v>
      </c>
      <c r="B35" s="13" t="s">
        <v>130</v>
      </c>
      <c r="C35" s="13" t="s">
        <v>131</v>
      </c>
      <c r="D35" s="13" t="s">
        <v>142</v>
      </c>
      <c r="E35" s="10" t="s">
        <v>118</v>
      </c>
      <c r="F35" s="10" t="s">
        <v>147</v>
      </c>
      <c r="G35" s="10" t="s">
        <v>148</v>
      </c>
      <c r="H35" s="10" t="s">
        <v>149</v>
      </c>
      <c r="I35" s="11">
        <v>328</v>
      </c>
      <c r="J35" s="11" t="s">
        <v>137</v>
      </c>
      <c r="K35" s="11">
        <f>I35/30/1000*2000</f>
        <v>21.866666666666667</v>
      </c>
      <c r="L35" s="1">
        <v>0.7</v>
      </c>
      <c r="M35" s="13"/>
      <c r="N35" s="13"/>
    </row>
    <row r="36" spans="1:14" ht="90">
      <c r="A36" s="46" t="s">
        <v>150</v>
      </c>
      <c r="B36" s="13" t="s">
        <v>151</v>
      </c>
      <c r="C36" s="13" t="s">
        <v>152</v>
      </c>
      <c r="D36" s="13" t="s">
        <v>153</v>
      </c>
      <c r="E36" s="10" t="s">
        <v>154</v>
      </c>
      <c r="F36" s="10" t="s">
        <v>155</v>
      </c>
      <c r="G36" s="10" t="s">
        <v>156</v>
      </c>
      <c r="H36" s="10" t="s">
        <v>157</v>
      </c>
      <c r="I36" s="20">
        <v>330.4</v>
      </c>
      <c r="J36" s="11" t="s">
        <v>158</v>
      </c>
      <c r="K36" s="11">
        <f>I36/30/60*60</f>
        <v>11.013333333333332</v>
      </c>
      <c r="L36" s="12">
        <v>0.65</v>
      </c>
      <c r="M36" s="13"/>
      <c r="N36" s="13"/>
    </row>
    <row r="37" spans="1:14" ht="33.75">
      <c r="A37" s="46" t="s">
        <v>159</v>
      </c>
      <c r="B37" s="13" t="s">
        <v>151</v>
      </c>
      <c r="C37" s="13" t="s">
        <v>152</v>
      </c>
      <c r="D37" s="13" t="s">
        <v>160</v>
      </c>
      <c r="E37" s="10" t="s">
        <v>118</v>
      </c>
      <c r="F37" s="10" t="s">
        <v>161</v>
      </c>
      <c r="G37" s="10" t="s">
        <v>162</v>
      </c>
      <c r="H37" s="10" t="s">
        <v>25</v>
      </c>
      <c r="I37" s="20">
        <v>254.2</v>
      </c>
      <c r="J37" s="11" t="s">
        <v>158</v>
      </c>
      <c r="K37" s="11">
        <f>I37/30/60*60</f>
        <v>8.4733333333333327</v>
      </c>
      <c r="L37" s="12">
        <v>0.5</v>
      </c>
      <c r="M37" s="13"/>
      <c r="N37" s="13"/>
    </row>
    <row r="38" spans="1:14" ht="33.75">
      <c r="A38" s="46" t="s">
        <v>163</v>
      </c>
      <c r="B38" s="13" t="s">
        <v>151</v>
      </c>
      <c r="C38" s="13" t="s">
        <v>152</v>
      </c>
      <c r="D38" s="13" t="s">
        <v>160</v>
      </c>
      <c r="E38" s="10" t="s">
        <v>118</v>
      </c>
      <c r="F38" s="10" t="s">
        <v>164</v>
      </c>
      <c r="G38" s="10" t="s">
        <v>165</v>
      </c>
      <c r="H38" s="10" t="s">
        <v>166</v>
      </c>
      <c r="I38" s="20">
        <v>330.8</v>
      </c>
      <c r="J38" s="10" t="s">
        <v>158</v>
      </c>
      <c r="K38" s="11">
        <f>+(I38/30)/90*60</f>
        <v>7.3511111111111118</v>
      </c>
      <c r="L38" s="12">
        <v>0.6</v>
      </c>
      <c r="M38" s="13"/>
      <c r="N38" s="13"/>
    </row>
    <row r="39" spans="1:14" ht="56.25">
      <c r="A39" s="13">
        <v>1042050</v>
      </c>
      <c r="B39" s="13" t="s">
        <v>151</v>
      </c>
      <c r="C39" s="13" t="s">
        <v>152</v>
      </c>
      <c r="D39" s="13" t="s">
        <v>167</v>
      </c>
      <c r="E39" s="10" t="s">
        <v>154</v>
      </c>
      <c r="F39" s="10" t="s">
        <v>155</v>
      </c>
      <c r="G39" s="10" t="s">
        <v>168</v>
      </c>
      <c r="H39" s="10" t="s">
        <v>169</v>
      </c>
      <c r="I39" s="20">
        <v>254.2</v>
      </c>
      <c r="J39" s="32" t="s">
        <v>158</v>
      </c>
      <c r="K39" s="11">
        <f>I39/30/60*60</f>
        <v>8.4733333333333327</v>
      </c>
      <c r="L39" s="12">
        <v>0.5</v>
      </c>
      <c r="M39" s="13"/>
      <c r="N39" s="13"/>
    </row>
    <row r="40" spans="1:14" ht="33.75">
      <c r="A40" s="18" t="s">
        <v>170</v>
      </c>
      <c r="B40" s="56" t="s">
        <v>171</v>
      </c>
      <c r="C40" s="56" t="s">
        <v>172</v>
      </c>
      <c r="D40" s="56" t="s">
        <v>173</v>
      </c>
      <c r="E40" s="57" t="s">
        <v>174</v>
      </c>
      <c r="F40" s="57" t="s">
        <v>175</v>
      </c>
      <c r="G40" s="57" t="s">
        <v>176</v>
      </c>
      <c r="H40" s="41" t="s">
        <v>177</v>
      </c>
      <c r="I40" s="20">
        <v>397.3</v>
      </c>
      <c r="J40" s="57" t="s">
        <v>71</v>
      </c>
      <c r="K40" s="41">
        <f>I40/30/15*30</f>
        <v>26.486666666666668</v>
      </c>
      <c r="L40" s="12">
        <v>0.5</v>
      </c>
      <c r="M40" s="13" t="s">
        <v>178</v>
      </c>
      <c r="N40" s="13" t="s">
        <v>2521</v>
      </c>
    </row>
    <row r="41" spans="1:14" ht="191.25">
      <c r="A41" s="18" t="s">
        <v>170</v>
      </c>
      <c r="B41" s="56" t="s">
        <v>171</v>
      </c>
      <c r="C41" s="56" t="s">
        <v>172</v>
      </c>
      <c r="D41" s="56" t="s">
        <v>173</v>
      </c>
      <c r="E41" s="57" t="s">
        <v>174</v>
      </c>
      <c r="F41" s="57" t="s">
        <v>175</v>
      </c>
      <c r="G41" s="57" t="s">
        <v>176</v>
      </c>
      <c r="H41" s="41" t="s">
        <v>177</v>
      </c>
      <c r="I41" s="20">
        <v>397.3</v>
      </c>
      <c r="J41" s="57" t="s">
        <v>71</v>
      </c>
      <c r="K41" s="41">
        <f>I41/30/15*30</f>
        <v>26.486666666666668</v>
      </c>
      <c r="L41" s="12">
        <v>0.7</v>
      </c>
      <c r="M41" s="13" t="s">
        <v>179</v>
      </c>
      <c r="N41" s="13" t="s">
        <v>180</v>
      </c>
    </row>
    <row r="42" spans="1:14" ht="33.75">
      <c r="A42" s="18" t="s">
        <v>181</v>
      </c>
      <c r="B42" s="56" t="s">
        <v>171</v>
      </c>
      <c r="C42" s="56" t="s">
        <v>172</v>
      </c>
      <c r="D42" s="56" t="s">
        <v>173</v>
      </c>
      <c r="E42" s="57" t="s">
        <v>182</v>
      </c>
      <c r="F42" s="57" t="s">
        <v>183</v>
      </c>
      <c r="G42" s="57" t="s">
        <v>176</v>
      </c>
      <c r="H42" s="41" t="s">
        <v>177</v>
      </c>
      <c r="I42" s="20">
        <v>794.7</v>
      </c>
      <c r="J42" s="57" t="s">
        <v>71</v>
      </c>
      <c r="K42" s="41">
        <f>I42/30/30*30</f>
        <v>26.490000000000002</v>
      </c>
      <c r="L42" s="12">
        <v>0.5</v>
      </c>
      <c r="M42" s="13" t="s">
        <v>178</v>
      </c>
      <c r="N42" s="13" t="s">
        <v>2521</v>
      </c>
    </row>
    <row r="43" spans="1:14" ht="191.25">
      <c r="A43" s="18" t="s">
        <v>181</v>
      </c>
      <c r="B43" s="56" t="s">
        <v>171</v>
      </c>
      <c r="C43" s="56" t="s">
        <v>172</v>
      </c>
      <c r="D43" s="56" t="s">
        <v>173</v>
      </c>
      <c r="E43" s="57" t="s">
        <v>182</v>
      </c>
      <c r="F43" s="57" t="s">
        <v>183</v>
      </c>
      <c r="G43" s="57" t="s">
        <v>176</v>
      </c>
      <c r="H43" s="41" t="s">
        <v>177</v>
      </c>
      <c r="I43" s="20">
        <v>794.7</v>
      </c>
      <c r="J43" s="57" t="s">
        <v>71</v>
      </c>
      <c r="K43" s="41">
        <f>I43/30/30*30</f>
        <v>26.490000000000002</v>
      </c>
      <c r="L43" s="12">
        <v>0.7</v>
      </c>
      <c r="M43" s="13" t="s">
        <v>179</v>
      </c>
      <c r="N43" s="13" t="s">
        <v>180</v>
      </c>
    </row>
    <row r="44" spans="1:14" ht="146.25">
      <c r="A44" s="13">
        <v>1341035</v>
      </c>
      <c r="B44" s="13" t="s">
        <v>184</v>
      </c>
      <c r="C44" s="13" t="s">
        <v>185</v>
      </c>
      <c r="D44" s="16" t="s">
        <v>186</v>
      </c>
      <c r="E44" s="10" t="s">
        <v>133</v>
      </c>
      <c r="F44" s="10" t="s">
        <v>187</v>
      </c>
      <c r="G44" s="10" t="s">
        <v>188</v>
      </c>
      <c r="H44" s="10" t="s">
        <v>25</v>
      </c>
      <c r="I44" s="11">
        <v>727.6</v>
      </c>
      <c r="J44" s="95" t="s">
        <v>189</v>
      </c>
      <c r="K44" s="11">
        <f>I44/28/50*100</f>
        <v>51.971428571428582</v>
      </c>
      <c r="L44" s="12">
        <v>0.8</v>
      </c>
      <c r="M44" s="16" t="s">
        <v>2490</v>
      </c>
      <c r="N44" s="13" t="s">
        <v>190</v>
      </c>
    </row>
    <row r="45" spans="1:14" ht="146.25">
      <c r="A45" s="13">
        <v>1341036</v>
      </c>
      <c r="B45" s="13" t="s">
        <v>184</v>
      </c>
      <c r="C45" s="13" t="s">
        <v>185</v>
      </c>
      <c r="D45" s="16" t="s">
        <v>186</v>
      </c>
      <c r="E45" s="10" t="s">
        <v>133</v>
      </c>
      <c r="F45" s="10" t="s">
        <v>191</v>
      </c>
      <c r="G45" s="10" t="s">
        <v>188</v>
      </c>
      <c r="H45" s="10" t="s">
        <v>25</v>
      </c>
      <c r="I45" s="11">
        <v>974.4</v>
      </c>
      <c r="J45" s="95" t="s">
        <v>189</v>
      </c>
      <c r="K45" s="11">
        <f>I45/28/100*100</f>
        <v>34.799999999999997</v>
      </c>
      <c r="L45" s="12">
        <v>0.8</v>
      </c>
      <c r="M45" s="16" t="s">
        <v>2490</v>
      </c>
      <c r="N45" s="13" t="s">
        <v>190</v>
      </c>
    </row>
    <row r="46" spans="1:14" ht="146.25">
      <c r="A46" s="46" t="s">
        <v>192</v>
      </c>
      <c r="B46" s="16" t="s">
        <v>184</v>
      </c>
      <c r="C46" s="51" t="s">
        <v>185</v>
      </c>
      <c r="D46" s="13" t="s">
        <v>193</v>
      </c>
      <c r="E46" s="30" t="s">
        <v>133</v>
      </c>
      <c r="F46" s="30" t="s">
        <v>194</v>
      </c>
      <c r="G46" s="30" t="s">
        <v>195</v>
      </c>
      <c r="H46" s="30" t="s">
        <v>21</v>
      </c>
      <c r="I46" s="11">
        <v>582.20000000000005</v>
      </c>
      <c r="J46" s="11" t="s">
        <v>189</v>
      </c>
      <c r="K46" s="11">
        <f>+(I46/30)/25*100</f>
        <v>77.626666666666679</v>
      </c>
      <c r="L46" s="12">
        <v>0.8</v>
      </c>
      <c r="M46" s="16" t="s">
        <v>2490</v>
      </c>
      <c r="N46" s="13" t="s">
        <v>190</v>
      </c>
    </row>
    <row r="47" spans="1:14" ht="146.25">
      <c r="A47" s="46" t="s">
        <v>196</v>
      </c>
      <c r="B47" s="16" t="s">
        <v>184</v>
      </c>
      <c r="C47" s="51" t="s">
        <v>185</v>
      </c>
      <c r="D47" s="13" t="s">
        <v>193</v>
      </c>
      <c r="E47" s="30" t="s">
        <v>133</v>
      </c>
      <c r="F47" s="30" t="s">
        <v>197</v>
      </c>
      <c r="G47" s="30" t="s">
        <v>195</v>
      </c>
      <c r="H47" s="30" t="s">
        <v>21</v>
      </c>
      <c r="I47" s="11">
        <v>779.6</v>
      </c>
      <c r="J47" s="11" t="s">
        <v>189</v>
      </c>
      <c r="K47" s="11">
        <f>+(I47/30)/50*100</f>
        <v>51.973333333333336</v>
      </c>
      <c r="L47" s="12">
        <v>0.8</v>
      </c>
      <c r="M47" s="16" t="s">
        <v>2490</v>
      </c>
      <c r="N47" s="13" t="s">
        <v>190</v>
      </c>
    </row>
    <row r="48" spans="1:14" ht="146.25">
      <c r="A48" s="46" t="s">
        <v>198</v>
      </c>
      <c r="B48" s="16" t="s">
        <v>184</v>
      </c>
      <c r="C48" s="51" t="s">
        <v>185</v>
      </c>
      <c r="D48" s="13" t="s">
        <v>193</v>
      </c>
      <c r="E48" s="30" t="s">
        <v>133</v>
      </c>
      <c r="F48" s="30" t="s">
        <v>199</v>
      </c>
      <c r="G48" s="30" t="s">
        <v>195</v>
      </c>
      <c r="H48" s="30" t="s">
        <v>21</v>
      </c>
      <c r="I48" s="11">
        <v>1044</v>
      </c>
      <c r="J48" s="11" t="s">
        <v>189</v>
      </c>
      <c r="K48" s="11">
        <f>+(I48/30)/100*100</f>
        <v>34.799999999999997</v>
      </c>
      <c r="L48" s="12">
        <v>0.8</v>
      </c>
      <c r="M48" s="16" t="s">
        <v>2490</v>
      </c>
      <c r="N48" s="13" t="s">
        <v>190</v>
      </c>
    </row>
    <row r="49" spans="1:14" ht="146.25">
      <c r="A49" s="58" t="s">
        <v>2455</v>
      </c>
      <c r="B49" s="58" t="s">
        <v>184</v>
      </c>
      <c r="C49" s="59" t="s">
        <v>185</v>
      </c>
      <c r="D49" s="59" t="s">
        <v>2456</v>
      </c>
      <c r="E49" s="60" t="s">
        <v>133</v>
      </c>
      <c r="F49" s="24" t="s">
        <v>2457</v>
      </c>
      <c r="G49" s="60" t="s">
        <v>2458</v>
      </c>
      <c r="H49" s="60" t="s">
        <v>25</v>
      </c>
      <c r="I49" s="11">
        <v>1044</v>
      </c>
      <c r="J49" s="54" t="s">
        <v>189</v>
      </c>
      <c r="K49" s="108">
        <f>I49/(30*100)*100</f>
        <v>34.799999999999997</v>
      </c>
      <c r="L49" s="12">
        <v>0.8</v>
      </c>
      <c r="M49" s="16" t="s">
        <v>2490</v>
      </c>
      <c r="N49" s="13" t="s">
        <v>190</v>
      </c>
    </row>
    <row r="50" spans="1:14" ht="78.75">
      <c r="A50" s="46" t="s">
        <v>200</v>
      </c>
      <c r="B50" s="13" t="s">
        <v>201</v>
      </c>
      <c r="C50" s="13" t="s">
        <v>202</v>
      </c>
      <c r="D50" s="13" t="s">
        <v>203</v>
      </c>
      <c r="E50" s="10" t="s">
        <v>204</v>
      </c>
      <c r="F50" s="10" t="s">
        <v>2522</v>
      </c>
      <c r="G50" s="10" t="s">
        <v>2523</v>
      </c>
      <c r="H50" s="10" t="s">
        <v>2524</v>
      </c>
      <c r="I50" s="20">
        <v>545.5</v>
      </c>
      <c r="J50" s="11" t="s">
        <v>205</v>
      </c>
      <c r="K50" s="11">
        <f>I50/50/0.25*1</f>
        <v>43.64</v>
      </c>
      <c r="L50" s="1">
        <v>0.25</v>
      </c>
      <c r="M50" s="13" t="s">
        <v>206</v>
      </c>
      <c r="N50" s="13" t="s">
        <v>207</v>
      </c>
    </row>
    <row r="51" spans="1:14" ht="78.75">
      <c r="A51" s="46" t="s">
        <v>208</v>
      </c>
      <c r="B51" s="13" t="s">
        <v>201</v>
      </c>
      <c r="C51" s="13" t="s">
        <v>202</v>
      </c>
      <c r="D51" s="13" t="s">
        <v>203</v>
      </c>
      <c r="E51" s="10" t="s">
        <v>204</v>
      </c>
      <c r="F51" s="10" t="s">
        <v>2525</v>
      </c>
      <c r="G51" s="10" t="s">
        <v>2523</v>
      </c>
      <c r="H51" s="10" t="s">
        <v>2524</v>
      </c>
      <c r="I51" s="20">
        <v>536.5</v>
      </c>
      <c r="J51" s="11" t="s">
        <v>205</v>
      </c>
      <c r="K51" s="11">
        <f>I51/30/0.5*1</f>
        <v>35.766666666666666</v>
      </c>
      <c r="L51" s="1">
        <v>0.25</v>
      </c>
      <c r="M51" s="13" t="s">
        <v>206</v>
      </c>
      <c r="N51" s="13" t="s">
        <v>207</v>
      </c>
    </row>
    <row r="52" spans="1:14" ht="78.75">
      <c r="A52" s="46" t="s">
        <v>209</v>
      </c>
      <c r="B52" s="13" t="s">
        <v>201</v>
      </c>
      <c r="C52" s="13" t="s">
        <v>202</v>
      </c>
      <c r="D52" s="13" t="s">
        <v>203</v>
      </c>
      <c r="E52" s="10" t="s">
        <v>204</v>
      </c>
      <c r="F52" s="10" t="s">
        <v>2526</v>
      </c>
      <c r="G52" s="10" t="s">
        <v>2523</v>
      </c>
      <c r="H52" s="10" t="s">
        <v>2524</v>
      </c>
      <c r="I52" s="20">
        <v>1001.1</v>
      </c>
      <c r="J52" s="11" t="s">
        <v>205</v>
      </c>
      <c r="K52" s="11">
        <f>I52/30/1*1</f>
        <v>33.369999999999997</v>
      </c>
      <c r="L52" s="1">
        <v>0.25</v>
      </c>
      <c r="M52" s="13" t="s">
        <v>206</v>
      </c>
      <c r="N52" s="13" t="s">
        <v>207</v>
      </c>
    </row>
    <row r="53" spans="1:14" ht="22.5">
      <c r="A53" s="46" t="s">
        <v>210</v>
      </c>
      <c r="B53" s="13" t="s">
        <v>211</v>
      </c>
      <c r="C53" s="13" t="s">
        <v>212</v>
      </c>
      <c r="D53" s="13" t="s">
        <v>213</v>
      </c>
      <c r="E53" s="10" t="s">
        <v>204</v>
      </c>
      <c r="F53" s="10" t="s">
        <v>214</v>
      </c>
      <c r="G53" s="10" t="s">
        <v>215</v>
      </c>
      <c r="H53" s="10" t="s">
        <v>120</v>
      </c>
      <c r="I53" s="20">
        <v>1561.6</v>
      </c>
      <c r="J53" s="11" t="s">
        <v>205</v>
      </c>
      <c r="K53" s="11">
        <f>I53/100/0.25*1</f>
        <v>62.463999999999999</v>
      </c>
      <c r="L53" s="1">
        <v>0.25</v>
      </c>
      <c r="M53" s="13" t="s">
        <v>216</v>
      </c>
      <c r="N53" s="13" t="s">
        <v>217</v>
      </c>
    </row>
    <row r="54" spans="1:14" ht="56.25">
      <c r="A54" s="48" t="s">
        <v>218</v>
      </c>
      <c r="B54" s="16" t="s">
        <v>219</v>
      </c>
      <c r="C54" s="16" t="s">
        <v>220</v>
      </c>
      <c r="D54" s="16" t="s">
        <v>2513</v>
      </c>
      <c r="E54" s="21" t="s">
        <v>221</v>
      </c>
      <c r="F54" s="21" t="s">
        <v>222</v>
      </c>
      <c r="G54" s="10" t="s">
        <v>223</v>
      </c>
      <c r="H54" s="10" t="s">
        <v>224</v>
      </c>
      <c r="I54" s="20">
        <v>228.5</v>
      </c>
      <c r="J54" s="20" t="s">
        <v>225</v>
      </c>
      <c r="K54" s="37">
        <f>+I54/10/500*20</f>
        <v>0.91400000000000015</v>
      </c>
      <c r="L54" s="1">
        <v>0.5</v>
      </c>
      <c r="M54" s="16"/>
      <c r="N54" s="16"/>
    </row>
    <row r="55" spans="1:14" ht="22.5">
      <c r="A55" s="46" t="s">
        <v>226</v>
      </c>
      <c r="B55" s="13" t="s">
        <v>227</v>
      </c>
      <c r="C55" s="13" t="s">
        <v>228</v>
      </c>
      <c r="D55" s="13" t="s">
        <v>229</v>
      </c>
      <c r="E55" s="38" t="s">
        <v>174</v>
      </c>
      <c r="F55" s="38" t="s">
        <v>230</v>
      </c>
      <c r="G55" s="10" t="s">
        <v>231</v>
      </c>
      <c r="H55" s="10" t="s">
        <v>21</v>
      </c>
      <c r="I55" s="20">
        <v>225.8</v>
      </c>
      <c r="J55" s="61" t="s">
        <v>232</v>
      </c>
      <c r="K55" s="11">
        <f>I55/30/4*5</f>
        <v>9.408333333333335</v>
      </c>
      <c r="L55" s="12">
        <v>0.45</v>
      </c>
      <c r="M55" s="13"/>
      <c r="N55" s="13"/>
    </row>
    <row r="56" spans="1:14" ht="101.25">
      <c r="A56" s="46" t="s">
        <v>233</v>
      </c>
      <c r="B56" s="13" t="s">
        <v>234</v>
      </c>
      <c r="C56" s="13" t="s">
        <v>235</v>
      </c>
      <c r="D56" s="13" t="s">
        <v>236</v>
      </c>
      <c r="E56" s="10" t="s">
        <v>133</v>
      </c>
      <c r="F56" s="10" t="s">
        <v>237</v>
      </c>
      <c r="G56" s="10" t="s">
        <v>238</v>
      </c>
      <c r="H56" s="10" t="s">
        <v>239</v>
      </c>
      <c r="I56" s="20">
        <v>490.5</v>
      </c>
      <c r="J56" s="11" t="s">
        <v>240</v>
      </c>
      <c r="K56" s="11">
        <f t="shared" ref="K56:K61" si="0">I56/28/75*75</f>
        <v>17.517857142857142</v>
      </c>
      <c r="L56" s="12">
        <v>0.5</v>
      </c>
      <c r="M56" s="13"/>
      <c r="N56" s="13" t="s">
        <v>241</v>
      </c>
    </row>
    <row r="57" spans="1:14" ht="101.25">
      <c r="A57" s="46" t="s">
        <v>242</v>
      </c>
      <c r="B57" s="13" t="s">
        <v>234</v>
      </c>
      <c r="C57" s="13" t="s">
        <v>235</v>
      </c>
      <c r="D57" s="13" t="s">
        <v>243</v>
      </c>
      <c r="E57" s="10" t="s">
        <v>133</v>
      </c>
      <c r="F57" s="10" t="s">
        <v>244</v>
      </c>
      <c r="G57" s="10" t="s">
        <v>2412</v>
      </c>
      <c r="H57" s="10" t="s">
        <v>245</v>
      </c>
      <c r="I57" s="20">
        <v>490.5</v>
      </c>
      <c r="J57" s="11" t="s">
        <v>240</v>
      </c>
      <c r="K57" s="11">
        <f t="shared" si="0"/>
        <v>17.517857142857142</v>
      </c>
      <c r="L57" s="12">
        <v>0.5</v>
      </c>
      <c r="M57" s="13"/>
      <c r="N57" s="13" t="s">
        <v>241</v>
      </c>
    </row>
    <row r="58" spans="1:14" ht="101.25">
      <c r="A58" s="46" t="s">
        <v>246</v>
      </c>
      <c r="B58" s="13" t="s">
        <v>234</v>
      </c>
      <c r="C58" s="13" t="s">
        <v>235</v>
      </c>
      <c r="D58" s="13" t="s">
        <v>247</v>
      </c>
      <c r="E58" s="10" t="s">
        <v>133</v>
      </c>
      <c r="F58" s="10" t="s">
        <v>244</v>
      </c>
      <c r="G58" s="25" t="s">
        <v>248</v>
      </c>
      <c r="H58" s="25" t="s">
        <v>249</v>
      </c>
      <c r="I58" s="20">
        <v>490.5</v>
      </c>
      <c r="J58" s="11" t="s">
        <v>240</v>
      </c>
      <c r="K58" s="11">
        <f t="shared" si="0"/>
        <v>17.517857142857142</v>
      </c>
      <c r="L58" s="12">
        <v>0.5</v>
      </c>
      <c r="M58" s="13"/>
      <c r="N58" s="13" t="s">
        <v>241</v>
      </c>
    </row>
    <row r="59" spans="1:14" ht="101.25">
      <c r="A59" s="46" t="s">
        <v>250</v>
      </c>
      <c r="B59" s="13" t="s">
        <v>234</v>
      </c>
      <c r="C59" s="13" t="s">
        <v>235</v>
      </c>
      <c r="D59" s="13" t="s">
        <v>251</v>
      </c>
      <c r="E59" s="10" t="s">
        <v>133</v>
      </c>
      <c r="F59" s="10" t="s">
        <v>244</v>
      </c>
      <c r="G59" s="10" t="s">
        <v>252</v>
      </c>
      <c r="H59" s="10" t="s">
        <v>21</v>
      </c>
      <c r="I59" s="20">
        <v>490.5</v>
      </c>
      <c r="J59" s="11" t="s">
        <v>240</v>
      </c>
      <c r="K59" s="11">
        <f t="shared" si="0"/>
        <v>17.517857142857142</v>
      </c>
      <c r="L59" s="12">
        <v>0.5</v>
      </c>
      <c r="M59" s="13"/>
      <c r="N59" s="13" t="s">
        <v>241</v>
      </c>
    </row>
    <row r="60" spans="1:14" ht="101.25">
      <c r="A60" s="46" t="s">
        <v>254</v>
      </c>
      <c r="B60" s="13" t="s">
        <v>234</v>
      </c>
      <c r="C60" s="13" t="s">
        <v>235</v>
      </c>
      <c r="D60" s="13" t="s">
        <v>255</v>
      </c>
      <c r="E60" s="10" t="s">
        <v>133</v>
      </c>
      <c r="F60" s="10" t="s">
        <v>244</v>
      </c>
      <c r="G60" s="10" t="s">
        <v>256</v>
      </c>
      <c r="H60" s="10" t="s">
        <v>21</v>
      </c>
      <c r="I60" s="20">
        <v>490.5</v>
      </c>
      <c r="J60" s="11" t="s">
        <v>240</v>
      </c>
      <c r="K60" s="11">
        <f t="shared" si="0"/>
        <v>17.517857142857142</v>
      </c>
      <c r="L60" s="12">
        <v>0.5</v>
      </c>
      <c r="M60" s="13"/>
      <c r="N60" s="13" t="s">
        <v>241</v>
      </c>
    </row>
    <row r="61" spans="1:14" ht="101.25">
      <c r="A61" s="46" t="s">
        <v>257</v>
      </c>
      <c r="B61" s="13" t="s">
        <v>234</v>
      </c>
      <c r="C61" s="13" t="s">
        <v>235</v>
      </c>
      <c r="D61" s="13" t="s">
        <v>258</v>
      </c>
      <c r="E61" s="10" t="s">
        <v>133</v>
      </c>
      <c r="F61" s="10" t="s">
        <v>244</v>
      </c>
      <c r="G61" s="10" t="s">
        <v>259</v>
      </c>
      <c r="H61" s="10" t="s">
        <v>260</v>
      </c>
      <c r="I61" s="20">
        <v>490.5</v>
      </c>
      <c r="J61" s="11" t="s">
        <v>261</v>
      </c>
      <c r="K61" s="11">
        <f t="shared" si="0"/>
        <v>17.517857142857142</v>
      </c>
      <c r="L61" s="1">
        <v>0.5</v>
      </c>
      <c r="M61" s="13"/>
      <c r="N61" s="13" t="s">
        <v>241</v>
      </c>
    </row>
    <row r="62" spans="1:14" ht="78.75">
      <c r="A62" s="46" t="s">
        <v>262</v>
      </c>
      <c r="B62" s="13" t="s">
        <v>263</v>
      </c>
      <c r="C62" s="13" t="s">
        <v>264</v>
      </c>
      <c r="D62" s="13" t="s">
        <v>265</v>
      </c>
      <c r="E62" s="10" t="s">
        <v>133</v>
      </c>
      <c r="F62" s="10" t="s">
        <v>266</v>
      </c>
      <c r="G62" s="10" t="s">
        <v>238</v>
      </c>
      <c r="H62" s="10" t="s">
        <v>239</v>
      </c>
      <c r="I62" s="20">
        <v>1260.2</v>
      </c>
      <c r="J62" s="11" t="s">
        <v>267</v>
      </c>
      <c r="K62" s="11">
        <f>I62/28</f>
        <v>45.00714285714286</v>
      </c>
      <c r="L62" s="61" t="s">
        <v>268</v>
      </c>
      <c r="M62" s="13" t="s">
        <v>269</v>
      </c>
      <c r="N62" s="13"/>
    </row>
    <row r="63" spans="1:14" ht="33.75">
      <c r="A63" s="46" t="s">
        <v>270</v>
      </c>
      <c r="B63" s="13" t="s">
        <v>271</v>
      </c>
      <c r="C63" s="13" t="s">
        <v>272</v>
      </c>
      <c r="D63" s="13" t="s">
        <v>273</v>
      </c>
      <c r="E63" s="10" t="s">
        <v>274</v>
      </c>
      <c r="F63" s="10" t="s">
        <v>275</v>
      </c>
      <c r="G63" s="10" t="s">
        <v>276</v>
      </c>
      <c r="H63" s="10" t="s">
        <v>277</v>
      </c>
      <c r="I63" s="20">
        <v>327.5</v>
      </c>
      <c r="J63" s="11" t="s">
        <v>278</v>
      </c>
      <c r="K63" s="11">
        <f>I63/30/115*200</f>
        <v>18.985507246376809</v>
      </c>
      <c r="L63" s="12">
        <v>0.15</v>
      </c>
      <c r="M63" s="13"/>
      <c r="N63" s="13"/>
    </row>
    <row r="64" spans="1:14" ht="45">
      <c r="A64" s="46" t="s">
        <v>279</v>
      </c>
      <c r="B64" s="13" t="s">
        <v>280</v>
      </c>
      <c r="C64" s="13" t="s">
        <v>281</v>
      </c>
      <c r="D64" s="13" t="s">
        <v>282</v>
      </c>
      <c r="E64" s="10" t="s">
        <v>283</v>
      </c>
      <c r="F64" s="10" t="s">
        <v>199</v>
      </c>
      <c r="G64" s="10" t="s">
        <v>284</v>
      </c>
      <c r="H64" s="10" t="s">
        <v>21</v>
      </c>
      <c r="I64" s="20">
        <v>468.1</v>
      </c>
      <c r="J64" s="11" t="s">
        <v>285</v>
      </c>
      <c r="K64" s="11">
        <f>I64/30/100*90</f>
        <v>14.042999999999999</v>
      </c>
      <c r="L64" s="12">
        <v>0.15</v>
      </c>
      <c r="M64" s="13"/>
      <c r="N64" s="13"/>
    </row>
    <row r="65" spans="1:14" ht="112.5">
      <c r="A65" s="46" t="s">
        <v>286</v>
      </c>
      <c r="B65" s="13" t="s">
        <v>287</v>
      </c>
      <c r="C65" s="13" t="s">
        <v>288</v>
      </c>
      <c r="D65" s="13" t="s">
        <v>289</v>
      </c>
      <c r="E65" s="10" t="s">
        <v>290</v>
      </c>
      <c r="F65" s="10" t="s">
        <v>291</v>
      </c>
      <c r="G65" s="10" t="s">
        <v>292</v>
      </c>
      <c r="H65" s="10" t="s">
        <v>66</v>
      </c>
      <c r="I65" s="20">
        <v>721.1</v>
      </c>
      <c r="J65" s="11" t="s">
        <v>278</v>
      </c>
      <c r="K65" s="11">
        <f>I65/60/50*200</f>
        <v>48.073333333333338</v>
      </c>
      <c r="L65" s="12">
        <v>0.5</v>
      </c>
      <c r="M65" s="13" t="s">
        <v>293</v>
      </c>
      <c r="N65" s="13" t="s">
        <v>294</v>
      </c>
    </row>
    <row r="66" spans="1:14" ht="112.5">
      <c r="A66" s="46" t="s">
        <v>295</v>
      </c>
      <c r="B66" s="13" t="s">
        <v>287</v>
      </c>
      <c r="C66" s="13" t="s">
        <v>288</v>
      </c>
      <c r="D66" s="13" t="s">
        <v>289</v>
      </c>
      <c r="E66" s="10" t="s">
        <v>290</v>
      </c>
      <c r="F66" s="10" t="s">
        <v>296</v>
      </c>
      <c r="G66" s="10" t="s">
        <v>292</v>
      </c>
      <c r="H66" s="10" t="s">
        <v>66</v>
      </c>
      <c r="I66" s="20">
        <v>1203.0999999999999</v>
      </c>
      <c r="J66" s="11" t="s">
        <v>278</v>
      </c>
      <c r="K66" s="11">
        <f>I66/60/100*200</f>
        <v>40.103333333333332</v>
      </c>
      <c r="L66" s="12">
        <v>0.5</v>
      </c>
      <c r="M66" s="13" t="s">
        <v>293</v>
      </c>
      <c r="N66" s="13" t="s">
        <v>294</v>
      </c>
    </row>
    <row r="67" spans="1:14" ht="112.5">
      <c r="A67" s="46" t="s">
        <v>297</v>
      </c>
      <c r="B67" s="13" t="s">
        <v>287</v>
      </c>
      <c r="C67" s="13" t="s">
        <v>288</v>
      </c>
      <c r="D67" s="13" t="s">
        <v>289</v>
      </c>
      <c r="E67" s="10" t="s">
        <v>290</v>
      </c>
      <c r="F67" s="10" t="s">
        <v>298</v>
      </c>
      <c r="G67" s="10" t="s">
        <v>292</v>
      </c>
      <c r="H67" s="10" t="s">
        <v>66</v>
      </c>
      <c r="I67" s="20">
        <v>2308.9</v>
      </c>
      <c r="J67" s="11" t="s">
        <v>278</v>
      </c>
      <c r="K67" s="11">
        <f>I67/60/200*200</f>
        <v>38.481666666666669</v>
      </c>
      <c r="L67" s="12">
        <v>0.5</v>
      </c>
      <c r="M67" s="13" t="s">
        <v>293</v>
      </c>
      <c r="N67" s="13" t="s">
        <v>294</v>
      </c>
    </row>
    <row r="68" spans="1:14" ht="33.75">
      <c r="A68" s="46" t="s">
        <v>299</v>
      </c>
      <c r="B68" s="13" t="s">
        <v>300</v>
      </c>
      <c r="C68" s="13" t="s">
        <v>301</v>
      </c>
      <c r="D68" s="13" t="s">
        <v>302</v>
      </c>
      <c r="E68" s="10" t="s">
        <v>303</v>
      </c>
      <c r="F68" s="10" t="s">
        <v>304</v>
      </c>
      <c r="G68" s="10" t="s">
        <v>305</v>
      </c>
      <c r="H68" s="10" t="s">
        <v>82</v>
      </c>
      <c r="I68" s="20">
        <v>562.20000000000005</v>
      </c>
      <c r="J68" s="11" t="s">
        <v>306</v>
      </c>
      <c r="K68" s="11">
        <f>I68/200/0.4*2.5</f>
        <v>17.568750000000001</v>
      </c>
      <c r="L68" s="12">
        <v>0.75</v>
      </c>
      <c r="M68" s="13"/>
      <c r="N68" s="13"/>
    </row>
    <row r="69" spans="1:14" ht="45">
      <c r="A69" s="46" t="s">
        <v>308</v>
      </c>
      <c r="B69" s="13" t="s">
        <v>309</v>
      </c>
      <c r="C69" s="13" t="s">
        <v>310</v>
      </c>
      <c r="D69" s="13" t="s">
        <v>311</v>
      </c>
      <c r="E69" s="10" t="s">
        <v>154</v>
      </c>
      <c r="F69" s="10" t="s">
        <v>312</v>
      </c>
      <c r="G69" s="10" t="s">
        <v>313</v>
      </c>
      <c r="H69" s="10" t="s">
        <v>314</v>
      </c>
      <c r="I69" s="33">
        <v>343.5</v>
      </c>
      <c r="J69" s="10" t="s">
        <v>33</v>
      </c>
      <c r="K69" s="11">
        <f>I69/60/35*40</f>
        <v>6.5428571428571427</v>
      </c>
      <c r="L69" s="12">
        <v>0.55000000000000004</v>
      </c>
      <c r="M69" s="13" t="s">
        <v>315</v>
      </c>
      <c r="N69" s="13" t="s">
        <v>316</v>
      </c>
    </row>
    <row r="70" spans="1:14" ht="45">
      <c r="A70" s="46" t="s">
        <v>318</v>
      </c>
      <c r="B70" s="62" t="s">
        <v>309</v>
      </c>
      <c r="C70" s="62" t="s">
        <v>310</v>
      </c>
      <c r="D70" s="62" t="s">
        <v>319</v>
      </c>
      <c r="E70" s="63" t="s">
        <v>118</v>
      </c>
      <c r="F70" s="63" t="s">
        <v>312</v>
      </c>
      <c r="G70" s="63" t="s">
        <v>320</v>
      </c>
      <c r="H70" s="63" t="s">
        <v>321</v>
      </c>
      <c r="I70" s="33">
        <v>343.5</v>
      </c>
      <c r="J70" s="63" t="s">
        <v>33</v>
      </c>
      <c r="K70" s="32">
        <f>I70/60/35*40</f>
        <v>6.5428571428571427</v>
      </c>
      <c r="L70" s="12">
        <v>0.55000000000000004</v>
      </c>
      <c r="M70" s="13" t="s">
        <v>315</v>
      </c>
      <c r="N70" s="13" t="s">
        <v>316</v>
      </c>
    </row>
    <row r="71" spans="1:14" ht="33.75">
      <c r="A71" s="46" t="s">
        <v>322</v>
      </c>
      <c r="B71" s="13" t="s">
        <v>309</v>
      </c>
      <c r="C71" s="13" t="s">
        <v>310</v>
      </c>
      <c r="D71" s="13" t="s">
        <v>323</v>
      </c>
      <c r="E71" s="10" t="s">
        <v>118</v>
      </c>
      <c r="F71" s="10" t="s">
        <v>312</v>
      </c>
      <c r="G71" s="10" t="s">
        <v>380</v>
      </c>
      <c r="H71" s="10" t="s">
        <v>324</v>
      </c>
      <c r="I71" s="33">
        <v>343.5</v>
      </c>
      <c r="J71" s="10" t="s">
        <v>33</v>
      </c>
      <c r="K71" s="32">
        <f>I71/60/35*40</f>
        <v>6.5428571428571427</v>
      </c>
      <c r="L71" s="12">
        <v>0.55000000000000004</v>
      </c>
      <c r="M71" s="13" t="s">
        <v>315</v>
      </c>
      <c r="N71" s="13" t="s">
        <v>316</v>
      </c>
    </row>
    <row r="72" spans="1:14" ht="33.75">
      <c r="A72" s="48" t="s">
        <v>325</v>
      </c>
      <c r="B72" s="64" t="s">
        <v>309</v>
      </c>
      <c r="C72" s="64" t="s">
        <v>310</v>
      </c>
      <c r="D72" s="64" t="s">
        <v>326</v>
      </c>
      <c r="E72" s="23" t="s">
        <v>327</v>
      </c>
      <c r="F72" s="23" t="s">
        <v>328</v>
      </c>
      <c r="G72" s="23" t="s">
        <v>329</v>
      </c>
      <c r="H72" s="23" t="s">
        <v>330</v>
      </c>
      <c r="I72" s="33">
        <v>588.5</v>
      </c>
      <c r="J72" s="10" t="s">
        <v>33</v>
      </c>
      <c r="K72" s="37">
        <f>I72/30/80*40</f>
        <v>9.8083333333333336</v>
      </c>
      <c r="L72" s="105">
        <v>0.9</v>
      </c>
      <c r="M72" s="13" t="s">
        <v>315</v>
      </c>
      <c r="N72" s="13" t="s">
        <v>316</v>
      </c>
    </row>
    <row r="73" spans="1:14" ht="22.5">
      <c r="A73" s="46" t="s">
        <v>332</v>
      </c>
      <c r="B73" s="13" t="s">
        <v>333</v>
      </c>
      <c r="C73" s="13" t="s">
        <v>334</v>
      </c>
      <c r="D73" s="13" t="s">
        <v>335</v>
      </c>
      <c r="E73" s="10" t="s">
        <v>133</v>
      </c>
      <c r="F73" s="10" t="s">
        <v>336</v>
      </c>
      <c r="G73" s="10" t="s">
        <v>256</v>
      </c>
      <c r="H73" s="10" t="s">
        <v>21</v>
      </c>
      <c r="I73" s="20">
        <v>167.7</v>
      </c>
      <c r="J73" s="11" t="s">
        <v>137</v>
      </c>
      <c r="K73" s="11">
        <f>I73/20/250*2000</f>
        <v>67.08</v>
      </c>
      <c r="L73" s="1">
        <v>0.5</v>
      </c>
      <c r="M73" s="13"/>
      <c r="N73" s="13" t="s">
        <v>337</v>
      </c>
    </row>
    <row r="74" spans="1:14" ht="22.5">
      <c r="A74" s="46" t="s">
        <v>338</v>
      </c>
      <c r="B74" s="13" t="s">
        <v>339</v>
      </c>
      <c r="C74" s="13" t="s">
        <v>340</v>
      </c>
      <c r="D74" s="13" t="s">
        <v>341</v>
      </c>
      <c r="E74" s="10" t="s">
        <v>133</v>
      </c>
      <c r="F74" s="10" t="s">
        <v>342</v>
      </c>
      <c r="G74" s="10" t="s">
        <v>343</v>
      </c>
      <c r="H74" s="10" t="s">
        <v>239</v>
      </c>
      <c r="I74" s="20">
        <v>296</v>
      </c>
      <c r="J74" s="10" t="s">
        <v>344</v>
      </c>
      <c r="K74" s="11">
        <f>I74/28/0.2*0.3</f>
        <v>15.857142857142856</v>
      </c>
      <c r="L74" s="12">
        <v>0.6</v>
      </c>
      <c r="M74" s="13" t="s">
        <v>345</v>
      </c>
      <c r="N74" s="13"/>
    </row>
    <row r="75" spans="1:14" ht="22.5">
      <c r="A75" s="46" t="s">
        <v>346</v>
      </c>
      <c r="B75" s="13" t="s">
        <v>339</v>
      </c>
      <c r="C75" s="13" t="s">
        <v>340</v>
      </c>
      <c r="D75" s="13" t="s">
        <v>341</v>
      </c>
      <c r="E75" s="10" t="s">
        <v>133</v>
      </c>
      <c r="F75" s="10" t="s">
        <v>347</v>
      </c>
      <c r="G75" s="10" t="s">
        <v>343</v>
      </c>
      <c r="H75" s="10" t="s">
        <v>239</v>
      </c>
      <c r="I75" s="20">
        <v>453.9</v>
      </c>
      <c r="J75" s="10" t="s">
        <v>344</v>
      </c>
      <c r="K75" s="11">
        <f>I75/28/0.4*0.3</f>
        <v>12.158035714285711</v>
      </c>
      <c r="L75" s="12">
        <v>0.6</v>
      </c>
      <c r="M75" s="13" t="s">
        <v>345</v>
      </c>
      <c r="N75" s="13"/>
    </row>
    <row r="76" spans="1:14" ht="22.5">
      <c r="A76" s="46" t="s">
        <v>348</v>
      </c>
      <c r="B76" s="13" t="s">
        <v>339</v>
      </c>
      <c r="C76" s="13" t="s">
        <v>340</v>
      </c>
      <c r="D76" s="13" t="s">
        <v>349</v>
      </c>
      <c r="E76" s="10" t="s">
        <v>133</v>
      </c>
      <c r="F76" s="10" t="s">
        <v>350</v>
      </c>
      <c r="G76" s="10" t="s">
        <v>351</v>
      </c>
      <c r="H76" s="10" t="s">
        <v>82</v>
      </c>
      <c r="I76" s="20">
        <v>317.10000000000002</v>
      </c>
      <c r="J76" s="10" t="s">
        <v>344</v>
      </c>
      <c r="K76" s="11">
        <f>I76/30/0.2*0.3</f>
        <v>15.855</v>
      </c>
      <c r="L76" s="1">
        <v>0.6</v>
      </c>
      <c r="M76" s="13" t="s">
        <v>345</v>
      </c>
      <c r="N76" s="13"/>
    </row>
    <row r="77" spans="1:14" ht="22.5">
      <c r="A77" s="46" t="s">
        <v>352</v>
      </c>
      <c r="B77" s="13" t="s">
        <v>339</v>
      </c>
      <c r="C77" s="13" t="s">
        <v>340</v>
      </c>
      <c r="D77" s="13" t="s">
        <v>353</v>
      </c>
      <c r="E77" s="10" t="s">
        <v>133</v>
      </c>
      <c r="F77" s="10" t="s">
        <v>354</v>
      </c>
      <c r="G77" s="10" t="s">
        <v>351</v>
      </c>
      <c r="H77" s="10" t="s">
        <v>82</v>
      </c>
      <c r="I77" s="20">
        <v>311.39999999999998</v>
      </c>
      <c r="J77" s="10" t="s">
        <v>344</v>
      </c>
      <c r="K77" s="11">
        <f>I77/30/0.3*0.3</f>
        <v>10.38</v>
      </c>
      <c r="L77" s="1">
        <v>0.6</v>
      </c>
      <c r="M77" s="13" t="s">
        <v>345</v>
      </c>
      <c r="N77" s="13"/>
    </row>
    <row r="78" spans="1:14" ht="22.5">
      <c r="A78" s="46" t="s">
        <v>355</v>
      </c>
      <c r="B78" s="13" t="s">
        <v>339</v>
      </c>
      <c r="C78" s="13" t="s">
        <v>340</v>
      </c>
      <c r="D78" s="13" t="s">
        <v>356</v>
      </c>
      <c r="E78" s="10" t="s">
        <v>133</v>
      </c>
      <c r="F78" s="10" t="s">
        <v>357</v>
      </c>
      <c r="G78" s="10" t="s">
        <v>351</v>
      </c>
      <c r="H78" s="10" t="s">
        <v>82</v>
      </c>
      <c r="I78" s="20">
        <v>486.3</v>
      </c>
      <c r="J78" s="10" t="s">
        <v>344</v>
      </c>
      <c r="K78" s="11">
        <f>I78/30/0.4*0.3</f>
        <v>12.157499999999999</v>
      </c>
      <c r="L78" s="1">
        <v>0.6</v>
      </c>
      <c r="M78" s="13" t="s">
        <v>345</v>
      </c>
      <c r="N78" s="13"/>
    </row>
    <row r="79" spans="1:14" ht="22.5">
      <c r="A79" s="46" t="s">
        <v>360</v>
      </c>
      <c r="B79" s="13" t="s">
        <v>361</v>
      </c>
      <c r="C79" s="13" t="s">
        <v>362</v>
      </c>
      <c r="D79" s="13" t="s">
        <v>363</v>
      </c>
      <c r="E79" s="10" t="s">
        <v>174</v>
      </c>
      <c r="F79" s="10" t="s">
        <v>364</v>
      </c>
      <c r="G79" s="10" t="s">
        <v>365</v>
      </c>
      <c r="H79" s="10" t="s">
        <v>366</v>
      </c>
      <c r="I79" s="20">
        <v>273.5</v>
      </c>
      <c r="J79" s="11" t="s">
        <v>367</v>
      </c>
      <c r="K79" s="11">
        <f>I79/30/2*4</f>
        <v>18.233333333333334</v>
      </c>
      <c r="L79" s="1">
        <v>0.6</v>
      </c>
      <c r="M79" s="13"/>
      <c r="N79" s="13" t="s">
        <v>368</v>
      </c>
    </row>
    <row r="80" spans="1:14" ht="22.5">
      <c r="A80" s="46" t="s">
        <v>369</v>
      </c>
      <c r="B80" s="13" t="s">
        <v>361</v>
      </c>
      <c r="C80" s="13" t="s">
        <v>362</v>
      </c>
      <c r="D80" s="13" t="s">
        <v>363</v>
      </c>
      <c r="E80" s="10" t="s">
        <v>174</v>
      </c>
      <c r="F80" s="10" t="s">
        <v>230</v>
      </c>
      <c r="G80" s="10" t="s">
        <v>365</v>
      </c>
      <c r="H80" s="10" t="s">
        <v>366</v>
      </c>
      <c r="I80" s="20">
        <v>463.6</v>
      </c>
      <c r="J80" s="11" t="s">
        <v>367</v>
      </c>
      <c r="K80" s="11">
        <f>I80/30/4*4</f>
        <v>15.453333333333335</v>
      </c>
      <c r="L80" s="1">
        <v>0.6</v>
      </c>
      <c r="M80" s="13"/>
      <c r="N80" s="13" t="s">
        <v>368</v>
      </c>
    </row>
    <row r="81" spans="1:14" ht="33.75">
      <c r="A81" s="46" t="s">
        <v>370</v>
      </c>
      <c r="B81" s="13" t="s">
        <v>371</v>
      </c>
      <c r="C81" s="13" t="s">
        <v>372</v>
      </c>
      <c r="D81" s="13" t="s">
        <v>373</v>
      </c>
      <c r="E81" s="10" t="s">
        <v>118</v>
      </c>
      <c r="F81" s="10" t="s">
        <v>374</v>
      </c>
      <c r="G81" s="10" t="s">
        <v>256</v>
      </c>
      <c r="H81" s="10" t="s">
        <v>21</v>
      </c>
      <c r="I81" s="20">
        <v>224.6</v>
      </c>
      <c r="J81" s="11" t="s">
        <v>306</v>
      </c>
      <c r="K81" s="11">
        <f>I81/30/1.5*2.5</f>
        <v>12.477777777777776</v>
      </c>
      <c r="L81" s="12">
        <v>0.75</v>
      </c>
      <c r="M81" s="13"/>
      <c r="N81" s="13"/>
    </row>
    <row r="82" spans="1:14" ht="33.75">
      <c r="A82" s="46" t="s">
        <v>375</v>
      </c>
      <c r="B82" s="13" t="s">
        <v>371</v>
      </c>
      <c r="C82" s="13" t="s">
        <v>372</v>
      </c>
      <c r="D82" s="46" t="s">
        <v>376</v>
      </c>
      <c r="E82" s="10" t="s">
        <v>118</v>
      </c>
      <c r="F82" s="10" t="s">
        <v>374</v>
      </c>
      <c r="G82" s="10" t="s">
        <v>377</v>
      </c>
      <c r="H82" s="10" t="s">
        <v>25</v>
      </c>
      <c r="I82" s="20">
        <v>224.6</v>
      </c>
      <c r="J82" s="11" t="s">
        <v>306</v>
      </c>
      <c r="K82" s="11">
        <f>I82/30/1.5*2.5</f>
        <v>12.477777777777776</v>
      </c>
      <c r="L82" s="12">
        <v>0.75</v>
      </c>
      <c r="M82" s="13"/>
      <c r="N82" s="13"/>
    </row>
    <row r="83" spans="1:14" ht="33.75">
      <c r="A83" s="46" t="s">
        <v>378</v>
      </c>
      <c r="B83" s="13" t="s">
        <v>371</v>
      </c>
      <c r="C83" s="13" t="s">
        <v>372</v>
      </c>
      <c r="D83" s="46" t="s">
        <v>379</v>
      </c>
      <c r="E83" s="10" t="s">
        <v>118</v>
      </c>
      <c r="F83" s="10" t="s">
        <v>374</v>
      </c>
      <c r="G83" s="21" t="s">
        <v>380</v>
      </c>
      <c r="H83" s="10" t="s">
        <v>381</v>
      </c>
      <c r="I83" s="20">
        <v>224.6</v>
      </c>
      <c r="J83" s="11" t="s">
        <v>306</v>
      </c>
      <c r="K83" s="11">
        <f>I83/30/1.5*2.5</f>
        <v>12.477777777777776</v>
      </c>
      <c r="L83" s="12">
        <v>0.75</v>
      </c>
      <c r="M83" s="13"/>
      <c r="N83" s="13"/>
    </row>
    <row r="84" spans="1:14" ht="33.75">
      <c r="A84" s="58" t="s">
        <v>382</v>
      </c>
      <c r="B84" s="51" t="s">
        <v>371</v>
      </c>
      <c r="C84" s="51" t="s">
        <v>372</v>
      </c>
      <c r="D84" s="51" t="s">
        <v>383</v>
      </c>
      <c r="E84" s="30" t="s">
        <v>118</v>
      </c>
      <c r="F84" s="24" t="s">
        <v>374</v>
      </c>
      <c r="G84" s="30" t="s">
        <v>384</v>
      </c>
      <c r="H84" s="30" t="s">
        <v>385</v>
      </c>
      <c r="I84" s="11">
        <v>224.6</v>
      </c>
      <c r="J84" s="11" t="s">
        <v>306</v>
      </c>
      <c r="K84" s="11">
        <f>I84/30/1.5*2.5</f>
        <v>12.477777777777776</v>
      </c>
      <c r="L84" s="52">
        <v>0.75</v>
      </c>
      <c r="M84" s="51"/>
      <c r="N84" s="51"/>
    </row>
    <row r="85" spans="1:14" ht="22.5">
      <c r="A85" s="46" t="s">
        <v>386</v>
      </c>
      <c r="B85" s="13" t="s">
        <v>387</v>
      </c>
      <c r="C85" s="13" t="s">
        <v>388</v>
      </c>
      <c r="D85" s="18" t="s">
        <v>389</v>
      </c>
      <c r="E85" s="65" t="s">
        <v>174</v>
      </c>
      <c r="F85" s="65" t="s">
        <v>390</v>
      </c>
      <c r="G85" s="65" t="s">
        <v>391</v>
      </c>
      <c r="H85" s="65" t="s">
        <v>366</v>
      </c>
      <c r="I85" s="11">
        <v>430.8</v>
      </c>
      <c r="J85" s="11" t="s">
        <v>392</v>
      </c>
      <c r="K85" s="11">
        <f>I85/30/5*15</f>
        <v>43.080000000000005</v>
      </c>
      <c r="L85" s="12">
        <v>0.7</v>
      </c>
      <c r="M85" s="13"/>
      <c r="N85" s="13"/>
    </row>
    <row r="86" spans="1:14" ht="22.5">
      <c r="A86" s="46" t="s">
        <v>393</v>
      </c>
      <c r="B86" s="13" t="s">
        <v>387</v>
      </c>
      <c r="C86" s="13" t="s">
        <v>388</v>
      </c>
      <c r="D86" s="18" t="s">
        <v>389</v>
      </c>
      <c r="E86" s="65" t="s">
        <v>174</v>
      </c>
      <c r="F86" s="65" t="s">
        <v>394</v>
      </c>
      <c r="G86" s="65" t="s">
        <v>391</v>
      </c>
      <c r="H86" s="65" t="s">
        <v>366</v>
      </c>
      <c r="I86" s="11">
        <v>496</v>
      </c>
      <c r="J86" s="11" t="s">
        <v>392</v>
      </c>
      <c r="K86" s="11">
        <f>I86/30/10*15</f>
        <v>24.800000000000004</v>
      </c>
      <c r="L86" s="12">
        <v>0.7</v>
      </c>
      <c r="M86" s="13"/>
      <c r="N86" s="13"/>
    </row>
    <row r="87" spans="1:14" ht="67.5">
      <c r="A87" s="46" t="s">
        <v>395</v>
      </c>
      <c r="B87" s="13" t="s">
        <v>396</v>
      </c>
      <c r="C87" s="13" t="s">
        <v>397</v>
      </c>
      <c r="D87" s="13" t="s">
        <v>398</v>
      </c>
      <c r="E87" s="10" t="s">
        <v>133</v>
      </c>
      <c r="F87" s="10" t="s">
        <v>194</v>
      </c>
      <c r="G87" s="10" t="s">
        <v>399</v>
      </c>
      <c r="H87" s="10" t="s">
        <v>239</v>
      </c>
      <c r="I87" s="20">
        <v>1292.7</v>
      </c>
      <c r="J87" s="10" t="s">
        <v>400</v>
      </c>
      <c r="K87" s="11">
        <f>I87/30/25*50</f>
        <v>86.18</v>
      </c>
      <c r="L87" s="12">
        <v>0.9</v>
      </c>
      <c r="M87" s="13" t="s">
        <v>401</v>
      </c>
      <c r="N87" s="13"/>
    </row>
    <row r="88" spans="1:14" ht="67.5">
      <c r="A88" s="46" t="s">
        <v>402</v>
      </c>
      <c r="B88" s="13" t="s">
        <v>396</v>
      </c>
      <c r="C88" s="13" t="s">
        <v>397</v>
      </c>
      <c r="D88" s="13" t="s">
        <v>398</v>
      </c>
      <c r="E88" s="10" t="s">
        <v>133</v>
      </c>
      <c r="F88" s="10" t="s">
        <v>197</v>
      </c>
      <c r="G88" s="10" t="s">
        <v>399</v>
      </c>
      <c r="H88" s="10" t="s">
        <v>239</v>
      </c>
      <c r="I88" s="20">
        <v>1339.3</v>
      </c>
      <c r="J88" s="10" t="s">
        <v>400</v>
      </c>
      <c r="K88" s="11">
        <f>I88/30/50*50</f>
        <v>44.643333333333331</v>
      </c>
      <c r="L88" s="12">
        <v>0.9</v>
      </c>
      <c r="M88" s="13" t="s">
        <v>401</v>
      </c>
      <c r="N88" s="13"/>
    </row>
    <row r="89" spans="1:14" ht="67.5">
      <c r="A89" s="58" t="s">
        <v>403</v>
      </c>
      <c r="B89" s="51" t="s">
        <v>396</v>
      </c>
      <c r="C89" s="51" t="s">
        <v>397</v>
      </c>
      <c r="D89" s="51" t="s">
        <v>404</v>
      </c>
      <c r="E89" s="30" t="s">
        <v>133</v>
      </c>
      <c r="F89" s="24" t="s">
        <v>194</v>
      </c>
      <c r="G89" s="30" t="s">
        <v>405</v>
      </c>
      <c r="H89" s="30" t="s">
        <v>21</v>
      </c>
      <c r="I89" s="20">
        <v>1104.9000000000001</v>
      </c>
      <c r="J89" s="10" t="s">
        <v>400</v>
      </c>
      <c r="K89" s="11">
        <f>I89/30/25*50</f>
        <v>73.660000000000011</v>
      </c>
      <c r="L89" s="12">
        <v>0.9</v>
      </c>
      <c r="M89" s="51" t="s">
        <v>401</v>
      </c>
      <c r="N89" s="51"/>
    </row>
    <row r="90" spans="1:14" ht="67.5">
      <c r="A90" s="58" t="s">
        <v>406</v>
      </c>
      <c r="B90" s="51" t="s">
        <v>396</v>
      </c>
      <c r="C90" s="51" t="s">
        <v>397</v>
      </c>
      <c r="D90" s="51" t="s">
        <v>404</v>
      </c>
      <c r="E90" s="30" t="s">
        <v>133</v>
      </c>
      <c r="F90" s="24" t="s">
        <v>197</v>
      </c>
      <c r="G90" s="30" t="s">
        <v>405</v>
      </c>
      <c r="H90" s="30" t="s">
        <v>21</v>
      </c>
      <c r="I90" s="11">
        <v>1144.7</v>
      </c>
      <c r="J90" s="10" t="s">
        <v>400</v>
      </c>
      <c r="K90" s="11">
        <f>I90/30/50*50</f>
        <v>38.156666666666666</v>
      </c>
      <c r="L90" s="12">
        <v>0.9</v>
      </c>
      <c r="M90" s="51" t="s">
        <v>401</v>
      </c>
      <c r="N90" s="51"/>
    </row>
    <row r="91" spans="1:14" ht="67.5">
      <c r="A91" s="13">
        <v>1400488</v>
      </c>
      <c r="B91" s="13" t="s">
        <v>396</v>
      </c>
      <c r="C91" s="13" t="s">
        <v>397</v>
      </c>
      <c r="D91" s="13" t="s">
        <v>408</v>
      </c>
      <c r="E91" s="10" t="s">
        <v>133</v>
      </c>
      <c r="F91" s="10" t="s">
        <v>194</v>
      </c>
      <c r="G91" s="10" t="s">
        <v>391</v>
      </c>
      <c r="H91" s="10" t="s">
        <v>366</v>
      </c>
      <c r="I91" s="20">
        <v>1104.9000000000001</v>
      </c>
      <c r="J91" s="10" t="s">
        <v>400</v>
      </c>
      <c r="K91" s="11">
        <f>I91/30/25*50</f>
        <v>73.660000000000011</v>
      </c>
      <c r="L91" s="12">
        <v>0.9</v>
      </c>
      <c r="M91" s="13" t="s">
        <v>401</v>
      </c>
      <c r="N91" s="13"/>
    </row>
    <row r="92" spans="1:14" ht="67.5">
      <c r="A92" s="13">
        <v>1400489</v>
      </c>
      <c r="B92" s="13" t="s">
        <v>396</v>
      </c>
      <c r="C92" s="13" t="s">
        <v>397</v>
      </c>
      <c r="D92" s="13" t="s">
        <v>408</v>
      </c>
      <c r="E92" s="10" t="s">
        <v>133</v>
      </c>
      <c r="F92" s="10" t="s">
        <v>197</v>
      </c>
      <c r="G92" s="10" t="s">
        <v>391</v>
      </c>
      <c r="H92" s="10" t="s">
        <v>366</v>
      </c>
      <c r="I92" s="11">
        <v>1144.7</v>
      </c>
      <c r="J92" s="10" t="s">
        <v>400</v>
      </c>
      <c r="K92" s="11">
        <f>I92/30/50*50</f>
        <v>38.156666666666666</v>
      </c>
      <c r="L92" s="12">
        <v>0.9</v>
      </c>
      <c r="M92" s="13" t="s">
        <v>401</v>
      </c>
      <c r="N92" s="13"/>
    </row>
    <row r="93" spans="1:14" ht="33.75">
      <c r="A93" s="46" t="s">
        <v>409</v>
      </c>
      <c r="B93" s="13" t="s">
        <v>410</v>
      </c>
      <c r="C93" s="13" t="s">
        <v>411</v>
      </c>
      <c r="D93" s="13" t="s">
        <v>412</v>
      </c>
      <c r="E93" s="10" t="s">
        <v>174</v>
      </c>
      <c r="F93" s="10" t="s">
        <v>413</v>
      </c>
      <c r="G93" s="25" t="s">
        <v>414</v>
      </c>
      <c r="H93" s="10" t="s">
        <v>82</v>
      </c>
      <c r="I93" s="20">
        <v>452.5</v>
      </c>
      <c r="J93" s="11" t="s">
        <v>415</v>
      </c>
      <c r="K93" s="11">
        <f>I93/50/80*160</f>
        <v>18.100000000000001</v>
      </c>
      <c r="L93" s="1">
        <v>0.5</v>
      </c>
      <c r="M93" s="13" t="s">
        <v>416</v>
      </c>
      <c r="N93" s="13" t="s">
        <v>294</v>
      </c>
    </row>
    <row r="94" spans="1:14" ht="33.75">
      <c r="A94" s="46" t="s">
        <v>417</v>
      </c>
      <c r="B94" s="13" t="s">
        <v>418</v>
      </c>
      <c r="C94" s="13" t="s">
        <v>419</v>
      </c>
      <c r="D94" s="13" t="s">
        <v>420</v>
      </c>
      <c r="E94" s="10" t="s">
        <v>421</v>
      </c>
      <c r="F94" s="10" t="s">
        <v>422</v>
      </c>
      <c r="G94" s="10" t="s">
        <v>423</v>
      </c>
      <c r="H94" s="10" t="s">
        <v>82</v>
      </c>
      <c r="I94" s="20">
        <v>137.6</v>
      </c>
      <c r="J94" s="11" t="s">
        <v>424</v>
      </c>
      <c r="K94" s="11">
        <f>I94/30/47.5*142.5</f>
        <v>13.76</v>
      </c>
      <c r="L94" s="1">
        <v>0.4</v>
      </c>
      <c r="M94" s="13" t="s">
        <v>425</v>
      </c>
      <c r="N94" s="13" t="s">
        <v>426</v>
      </c>
    </row>
    <row r="95" spans="1:14" ht="33.75">
      <c r="A95" s="46" t="s">
        <v>427</v>
      </c>
      <c r="B95" s="13" t="s">
        <v>418</v>
      </c>
      <c r="C95" s="13" t="s">
        <v>419</v>
      </c>
      <c r="D95" s="13" t="s">
        <v>420</v>
      </c>
      <c r="E95" s="10" t="s">
        <v>421</v>
      </c>
      <c r="F95" s="10" t="s">
        <v>428</v>
      </c>
      <c r="G95" s="10" t="s">
        <v>423</v>
      </c>
      <c r="H95" s="10" t="s">
        <v>82</v>
      </c>
      <c r="I95" s="20">
        <v>251.9</v>
      </c>
      <c r="J95" s="11" t="s">
        <v>424</v>
      </c>
      <c r="K95" s="11">
        <f>I95/30/95*142.5</f>
        <v>12.595000000000001</v>
      </c>
      <c r="L95" s="1">
        <v>0.4</v>
      </c>
      <c r="M95" s="13" t="s">
        <v>425</v>
      </c>
      <c r="N95" s="13" t="s">
        <v>426</v>
      </c>
    </row>
    <row r="96" spans="1:14" ht="22.5">
      <c r="A96" s="46" t="s">
        <v>429</v>
      </c>
      <c r="B96" s="13" t="s">
        <v>430</v>
      </c>
      <c r="C96" s="13" t="s">
        <v>431</v>
      </c>
      <c r="D96" s="13" t="s">
        <v>432</v>
      </c>
      <c r="E96" s="10" t="s">
        <v>174</v>
      </c>
      <c r="F96" s="10" t="s">
        <v>390</v>
      </c>
      <c r="G96" s="10" t="s">
        <v>433</v>
      </c>
      <c r="H96" s="10" t="s">
        <v>21</v>
      </c>
      <c r="I96" s="20">
        <v>300.60000000000002</v>
      </c>
      <c r="J96" s="11" t="s">
        <v>232</v>
      </c>
      <c r="K96" s="11">
        <f>I96/30/5*5</f>
        <v>10.020000000000003</v>
      </c>
      <c r="L96" s="1">
        <v>0.35</v>
      </c>
      <c r="M96" s="13"/>
      <c r="N96" s="13"/>
    </row>
    <row r="97" spans="1:14" ht="33.75">
      <c r="A97" s="46" t="s">
        <v>434</v>
      </c>
      <c r="B97" s="13" t="s">
        <v>430</v>
      </c>
      <c r="C97" s="13" t="s">
        <v>431</v>
      </c>
      <c r="D97" s="13" t="s">
        <v>435</v>
      </c>
      <c r="E97" s="10" t="s">
        <v>174</v>
      </c>
      <c r="F97" s="10" t="s">
        <v>390</v>
      </c>
      <c r="G97" s="47" t="s">
        <v>2498</v>
      </c>
      <c r="H97" s="47" t="s">
        <v>2496</v>
      </c>
      <c r="I97" s="20">
        <v>300.60000000000002</v>
      </c>
      <c r="J97" s="11" t="s">
        <v>232</v>
      </c>
      <c r="K97" s="11">
        <f>I97/30/5*5</f>
        <v>10.020000000000003</v>
      </c>
      <c r="L97" s="1">
        <v>0.35</v>
      </c>
      <c r="M97" s="13"/>
      <c r="N97" s="13"/>
    </row>
    <row r="98" spans="1:14" ht="22.5">
      <c r="A98" s="46" t="s">
        <v>436</v>
      </c>
      <c r="B98" s="13" t="s">
        <v>430</v>
      </c>
      <c r="C98" s="13" t="s">
        <v>431</v>
      </c>
      <c r="D98" s="13" t="s">
        <v>437</v>
      </c>
      <c r="E98" s="10" t="s">
        <v>174</v>
      </c>
      <c r="F98" s="10" t="s">
        <v>390</v>
      </c>
      <c r="G98" s="10" t="s">
        <v>438</v>
      </c>
      <c r="H98" s="10" t="s">
        <v>21</v>
      </c>
      <c r="I98" s="20">
        <v>300.60000000000002</v>
      </c>
      <c r="J98" s="11" t="s">
        <v>232</v>
      </c>
      <c r="K98" s="11">
        <f>I98/30/5*5</f>
        <v>10.020000000000003</v>
      </c>
      <c r="L98" s="1">
        <v>0.35</v>
      </c>
      <c r="M98" s="66"/>
      <c r="N98" s="13"/>
    </row>
    <row r="99" spans="1:14" ht="56.25">
      <c r="A99" s="46" t="s">
        <v>439</v>
      </c>
      <c r="B99" s="13" t="s">
        <v>430</v>
      </c>
      <c r="C99" s="13" t="s">
        <v>431</v>
      </c>
      <c r="D99" s="13" t="s">
        <v>440</v>
      </c>
      <c r="E99" s="10" t="s">
        <v>174</v>
      </c>
      <c r="F99" s="10" t="s">
        <v>441</v>
      </c>
      <c r="G99" s="10" t="s">
        <v>442</v>
      </c>
      <c r="H99" s="10" t="s">
        <v>443</v>
      </c>
      <c r="I99" s="20">
        <v>364.7</v>
      </c>
      <c r="J99" s="11" t="s">
        <v>232</v>
      </c>
      <c r="K99" s="11">
        <f>I99/28/5*5</f>
        <v>13.025</v>
      </c>
      <c r="L99" s="1">
        <v>0.5</v>
      </c>
      <c r="M99" s="66"/>
      <c r="N99" s="13"/>
    </row>
    <row r="100" spans="1:14" ht="22.5">
      <c r="A100" s="46" t="s">
        <v>444</v>
      </c>
      <c r="B100" s="13" t="s">
        <v>430</v>
      </c>
      <c r="C100" s="13" t="s">
        <v>431</v>
      </c>
      <c r="D100" s="13" t="s">
        <v>445</v>
      </c>
      <c r="E100" s="10" t="s">
        <v>174</v>
      </c>
      <c r="F100" s="10" t="s">
        <v>390</v>
      </c>
      <c r="G100" s="10" t="s">
        <v>446</v>
      </c>
      <c r="H100" s="10" t="s">
        <v>21</v>
      </c>
      <c r="I100" s="20">
        <v>300.60000000000002</v>
      </c>
      <c r="J100" s="11" t="s">
        <v>232</v>
      </c>
      <c r="K100" s="11">
        <f>+I100/30/5*5</f>
        <v>10.020000000000003</v>
      </c>
      <c r="L100" s="1">
        <v>0.35</v>
      </c>
      <c r="M100" s="66"/>
      <c r="N100" s="13"/>
    </row>
    <row r="101" spans="1:14" ht="33.75">
      <c r="A101" s="58" t="s">
        <v>447</v>
      </c>
      <c r="B101" s="51" t="s">
        <v>430</v>
      </c>
      <c r="C101" s="51" t="s">
        <v>431</v>
      </c>
      <c r="D101" s="51" t="s">
        <v>448</v>
      </c>
      <c r="E101" s="30" t="s">
        <v>174</v>
      </c>
      <c r="F101" s="30" t="s">
        <v>441</v>
      </c>
      <c r="G101" s="30" t="s">
        <v>449</v>
      </c>
      <c r="H101" s="10" t="s">
        <v>277</v>
      </c>
      <c r="I101" s="11">
        <v>280.60000000000002</v>
      </c>
      <c r="J101" s="10" t="s">
        <v>232</v>
      </c>
      <c r="K101" s="11">
        <f>I101/28/5*5</f>
        <v>10.021428571428572</v>
      </c>
      <c r="L101" s="52">
        <v>0.35</v>
      </c>
      <c r="M101" s="67"/>
      <c r="N101" s="51"/>
    </row>
    <row r="102" spans="1:14" ht="33.75">
      <c r="A102" s="58">
        <v>1107301</v>
      </c>
      <c r="B102" s="51" t="s">
        <v>430</v>
      </c>
      <c r="C102" s="51" t="s">
        <v>431</v>
      </c>
      <c r="D102" s="51" t="s">
        <v>450</v>
      </c>
      <c r="E102" s="30" t="s">
        <v>174</v>
      </c>
      <c r="F102" s="30" t="s">
        <v>441</v>
      </c>
      <c r="G102" s="30" t="s">
        <v>451</v>
      </c>
      <c r="H102" s="30" t="s">
        <v>452</v>
      </c>
      <c r="I102" s="11">
        <v>280.60000000000002</v>
      </c>
      <c r="J102" s="10" t="s">
        <v>232</v>
      </c>
      <c r="K102" s="11">
        <f>I102/28/5*5</f>
        <v>10.021428571428572</v>
      </c>
      <c r="L102" s="52">
        <v>0.35</v>
      </c>
      <c r="M102" s="67"/>
      <c r="N102" s="51"/>
    </row>
    <row r="103" spans="1:14" ht="22.5">
      <c r="A103" s="13">
        <v>1107668</v>
      </c>
      <c r="B103" s="13" t="s">
        <v>430</v>
      </c>
      <c r="C103" s="13" t="s">
        <v>431</v>
      </c>
      <c r="D103" s="13" t="s">
        <v>453</v>
      </c>
      <c r="E103" s="10" t="s">
        <v>174</v>
      </c>
      <c r="F103" s="10" t="s">
        <v>390</v>
      </c>
      <c r="G103" s="10" t="s">
        <v>454</v>
      </c>
      <c r="H103" s="10" t="s">
        <v>324</v>
      </c>
      <c r="I103" s="20">
        <v>300.60000000000002</v>
      </c>
      <c r="J103" s="11" t="s">
        <v>232</v>
      </c>
      <c r="K103" s="11">
        <f>I103/30/5*5</f>
        <v>10.020000000000003</v>
      </c>
      <c r="L103" s="12">
        <v>0.35</v>
      </c>
      <c r="M103" s="66"/>
      <c r="N103" s="13"/>
    </row>
    <row r="104" spans="1:14" ht="22.5">
      <c r="A104" s="46" t="s">
        <v>455</v>
      </c>
      <c r="B104" s="13" t="s">
        <v>456</v>
      </c>
      <c r="C104" s="13" t="s">
        <v>457</v>
      </c>
      <c r="D104" s="13" t="s">
        <v>458</v>
      </c>
      <c r="E104" s="10" t="s">
        <v>174</v>
      </c>
      <c r="F104" s="10" t="s">
        <v>459</v>
      </c>
      <c r="G104" s="10" t="s">
        <v>20</v>
      </c>
      <c r="H104" s="10" t="s">
        <v>21</v>
      </c>
      <c r="I104" s="20">
        <v>135.4</v>
      </c>
      <c r="J104" s="11" t="s">
        <v>460</v>
      </c>
      <c r="K104" s="11">
        <f>I104/30/12.5*37.5</f>
        <v>13.540000000000001</v>
      </c>
      <c r="L104" s="12">
        <v>0.5</v>
      </c>
      <c r="M104" s="13" t="s">
        <v>461</v>
      </c>
      <c r="N104" s="13" t="s">
        <v>462</v>
      </c>
    </row>
    <row r="105" spans="1:14" ht="22.5">
      <c r="A105" s="46" t="s">
        <v>463</v>
      </c>
      <c r="B105" s="13" t="s">
        <v>456</v>
      </c>
      <c r="C105" s="13" t="s">
        <v>457</v>
      </c>
      <c r="D105" s="13" t="s">
        <v>464</v>
      </c>
      <c r="E105" s="10" t="s">
        <v>174</v>
      </c>
      <c r="F105" s="10" t="s">
        <v>459</v>
      </c>
      <c r="G105" s="10" t="s">
        <v>465</v>
      </c>
      <c r="H105" s="10" t="s">
        <v>21</v>
      </c>
      <c r="I105" s="20">
        <v>135.4</v>
      </c>
      <c r="J105" s="11" t="s">
        <v>466</v>
      </c>
      <c r="K105" s="11">
        <f>I105/30/12.5*37.5</f>
        <v>13.540000000000001</v>
      </c>
      <c r="L105" s="1">
        <v>0.5</v>
      </c>
      <c r="M105" s="13" t="s">
        <v>461</v>
      </c>
      <c r="N105" s="13" t="s">
        <v>462</v>
      </c>
    </row>
    <row r="106" spans="1:14" ht="22.5">
      <c r="A106" s="46" t="s">
        <v>467</v>
      </c>
      <c r="B106" s="13" t="s">
        <v>456</v>
      </c>
      <c r="C106" s="13" t="s">
        <v>457</v>
      </c>
      <c r="D106" s="13" t="s">
        <v>464</v>
      </c>
      <c r="E106" s="10" t="s">
        <v>174</v>
      </c>
      <c r="F106" s="10" t="s">
        <v>194</v>
      </c>
      <c r="G106" s="10" t="s">
        <v>465</v>
      </c>
      <c r="H106" s="10" t="s">
        <v>21</v>
      </c>
      <c r="I106" s="20">
        <v>208.8</v>
      </c>
      <c r="J106" s="11" t="s">
        <v>466</v>
      </c>
      <c r="K106" s="11">
        <f>I106/30/25*37.5</f>
        <v>10.44</v>
      </c>
      <c r="L106" s="1">
        <v>0.5</v>
      </c>
      <c r="M106" s="13" t="s">
        <v>461</v>
      </c>
      <c r="N106" s="13" t="s">
        <v>462</v>
      </c>
    </row>
    <row r="107" spans="1:14" ht="22.5">
      <c r="A107" s="46" t="s">
        <v>468</v>
      </c>
      <c r="B107" s="13" t="s">
        <v>456</v>
      </c>
      <c r="C107" s="13" t="s">
        <v>457</v>
      </c>
      <c r="D107" s="13" t="s">
        <v>469</v>
      </c>
      <c r="E107" s="10" t="s">
        <v>174</v>
      </c>
      <c r="F107" s="10" t="s">
        <v>2527</v>
      </c>
      <c r="G107" s="10" t="s">
        <v>377</v>
      </c>
      <c r="H107" s="10" t="s">
        <v>25</v>
      </c>
      <c r="I107" s="20">
        <v>126.4</v>
      </c>
      <c r="J107" s="11" t="s">
        <v>460</v>
      </c>
      <c r="K107" s="11">
        <f>I107/28/12.5*37.5</f>
        <v>13.542857142857143</v>
      </c>
      <c r="L107" s="12">
        <v>0.5</v>
      </c>
      <c r="M107" s="13" t="s">
        <v>461</v>
      </c>
      <c r="N107" s="13" t="s">
        <v>462</v>
      </c>
    </row>
    <row r="108" spans="1:14" ht="33.75">
      <c r="A108" s="46" t="s">
        <v>470</v>
      </c>
      <c r="B108" s="13" t="s">
        <v>456</v>
      </c>
      <c r="C108" s="13" t="s">
        <v>457</v>
      </c>
      <c r="D108" s="13" t="s">
        <v>471</v>
      </c>
      <c r="E108" s="10" t="s">
        <v>174</v>
      </c>
      <c r="F108" s="10" t="s">
        <v>459</v>
      </c>
      <c r="G108" s="10" t="s">
        <v>472</v>
      </c>
      <c r="H108" s="10" t="s">
        <v>21</v>
      </c>
      <c r="I108" s="20">
        <v>135.4</v>
      </c>
      <c r="J108" s="11" t="s">
        <v>460</v>
      </c>
      <c r="K108" s="11">
        <f>I108/30/12.5*37.5</f>
        <v>13.540000000000001</v>
      </c>
      <c r="L108" s="1">
        <v>0.5</v>
      </c>
      <c r="M108" s="13" t="s">
        <v>461</v>
      </c>
      <c r="N108" s="13" t="s">
        <v>462</v>
      </c>
    </row>
    <row r="109" spans="1:14" ht="33.75">
      <c r="A109" s="46" t="s">
        <v>473</v>
      </c>
      <c r="B109" s="13" t="s">
        <v>456</v>
      </c>
      <c r="C109" s="13" t="s">
        <v>457</v>
      </c>
      <c r="D109" s="13" t="s">
        <v>471</v>
      </c>
      <c r="E109" s="10" t="s">
        <v>174</v>
      </c>
      <c r="F109" s="10" t="s">
        <v>194</v>
      </c>
      <c r="G109" s="10" t="s">
        <v>472</v>
      </c>
      <c r="H109" s="10" t="s">
        <v>21</v>
      </c>
      <c r="I109" s="20">
        <v>208.8</v>
      </c>
      <c r="J109" s="11" t="s">
        <v>460</v>
      </c>
      <c r="K109" s="11">
        <f>I109/30/25*37.5</f>
        <v>10.44</v>
      </c>
      <c r="L109" s="1">
        <v>0.5</v>
      </c>
      <c r="M109" s="13" t="s">
        <v>461</v>
      </c>
      <c r="N109" s="13" t="s">
        <v>462</v>
      </c>
    </row>
    <row r="110" spans="1:14" ht="45">
      <c r="A110" s="46" t="s">
        <v>474</v>
      </c>
      <c r="B110" s="16" t="s">
        <v>456</v>
      </c>
      <c r="C110" s="13" t="s">
        <v>457</v>
      </c>
      <c r="D110" s="13" t="s">
        <v>475</v>
      </c>
      <c r="E110" s="30" t="s">
        <v>174</v>
      </c>
      <c r="F110" s="30" t="s">
        <v>459</v>
      </c>
      <c r="G110" s="30" t="s">
        <v>476</v>
      </c>
      <c r="H110" s="30" t="s">
        <v>330</v>
      </c>
      <c r="I110" s="11">
        <v>135.4</v>
      </c>
      <c r="J110" s="11" t="s">
        <v>466</v>
      </c>
      <c r="K110" s="11">
        <f>+(I110/30)/12.5*37.5</f>
        <v>13.540000000000001</v>
      </c>
      <c r="L110" s="1">
        <v>0.5</v>
      </c>
      <c r="M110" s="13" t="s">
        <v>461</v>
      </c>
      <c r="N110" s="13" t="s">
        <v>462</v>
      </c>
    </row>
    <row r="111" spans="1:14" ht="45">
      <c r="A111" s="46" t="s">
        <v>477</v>
      </c>
      <c r="B111" s="13" t="s">
        <v>478</v>
      </c>
      <c r="C111" s="13" t="s">
        <v>479</v>
      </c>
      <c r="D111" s="13" t="s">
        <v>480</v>
      </c>
      <c r="E111" s="10" t="s">
        <v>133</v>
      </c>
      <c r="F111" s="10" t="s">
        <v>2436</v>
      </c>
      <c r="G111" s="10" t="s">
        <v>481</v>
      </c>
      <c r="H111" s="10" t="s">
        <v>443</v>
      </c>
      <c r="I111" s="20">
        <v>397.2</v>
      </c>
      <c r="J111" s="11" t="s">
        <v>267</v>
      </c>
      <c r="K111" s="11">
        <f>+I111/28</f>
        <v>14.185714285714285</v>
      </c>
      <c r="L111" s="1">
        <v>0.55000000000000004</v>
      </c>
      <c r="M111" s="13" t="s">
        <v>482</v>
      </c>
      <c r="N111" s="13"/>
    </row>
    <row r="112" spans="1:14" ht="45">
      <c r="A112" s="46" t="s">
        <v>483</v>
      </c>
      <c r="B112" s="13" t="s">
        <v>478</v>
      </c>
      <c r="C112" s="13" t="s">
        <v>479</v>
      </c>
      <c r="D112" s="13" t="s">
        <v>484</v>
      </c>
      <c r="E112" s="10" t="s">
        <v>133</v>
      </c>
      <c r="F112" s="10" t="s">
        <v>2437</v>
      </c>
      <c r="G112" s="10" t="s">
        <v>485</v>
      </c>
      <c r="H112" s="10" t="s">
        <v>21</v>
      </c>
      <c r="I112" s="20">
        <v>327.39999999999998</v>
      </c>
      <c r="J112" s="11" t="s">
        <v>267</v>
      </c>
      <c r="K112" s="11">
        <f>I112/30</f>
        <v>10.913333333333332</v>
      </c>
      <c r="L112" s="1">
        <v>0.45</v>
      </c>
      <c r="M112" s="13" t="s">
        <v>486</v>
      </c>
      <c r="N112" s="13"/>
    </row>
    <row r="113" spans="1:14" ht="45">
      <c r="A113" s="46" t="s">
        <v>488</v>
      </c>
      <c r="B113" s="13" t="s">
        <v>478</v>
      </c>
      <c r="C113" s="13" t="s">
        <v>479</v>
      </c>
      <c r="D113" s="13" t="s">
        <v>484</v>
      </c>
      <c r="E113" s="10" t="s">
        <v>133</v>
      </c>
      <c r="F113" s="10" t="s">
        <v>2438</v>
      </c>
      <c r="G113" s="10" t="s">
        <v>485</v>
      </c>
      <c r="H113" s="10" t="s">
        <v>21</v>
      </c>
      <c r="I113" s="20">
        <v>352</v>
      </c>
      <c r="J113" s="11" t="s">
        <v>267</v>
      </c>
      <c r="K113" s="11">
        <f>I113/30</f>
        <v>11.733333333333333</v>
      </c>
      <c r="L113" s="1">
        <v>0.45</v>
      </c>
      <c r="M113" s="13" t="s">
        <v>486</v>
      </c>
      <c r="N113" s="13"/>
    </row>
    <row r="114" spans="1:14" ht="33.75">
      <c r="A114" s="46" t="s">
        <v>489</v>
      </c>
      <c r="B114" s="13" t="s">
        <v>490</v>
      </c>
      <c r="C114" s="13" t="s">
        <v>491</v>
      </c>
      <c r="D114" s="13" t="s">
        <v>492</v>
      </c>
      <c r="E114" s="10" t="s">
        <v>118</v>
      </c>
      <c r="F114" s="10" t="s">
        <v>493</v>
      </c>
      <c r="G114" s="10" t="s">
        <v>494</v>
      </c>
      <c r="H114" s="10" t="s">
        <v>495</v>
      </c>
      <c r="I114" s="20">
        <v>204.2</v>
      </c>
      <c r="J114" s="10" t="s">
        <v>232</v>
      </c>
      <c r="K114" s="11">
        <f>I114/30/5*5</f>
        <v>6.8066666666666666</v>
      </c>
      <c r="L114" s="1">
        <v>0.35</v>
      </c>
      <c r="M114" s="13" t="s">
        <v>496</v>
      </c>
      <c r="N114" s="13"/>
    </row>
    <row r="115" spans="1:14" ht="22.5">
      <c r="A115" s="46" t="s">
        <v>497</v>
      </c>
      <c r="B115" s="68" t="s">
        <v>498</v>
      </c>
      <c r="C115" s="68" t="s">
        <v>499</v>
      </c>
      <c r="D115" s="68" t="s">
        <v>500</v>
      </c>
      <c r="E115" s="11" t="s">
        <v>133</v>
      </c>
      <c r="F115" s="11" t="s">
        <v>501</v>
      </c>
      <c r="G115" s="11" t="s">
        <v>502</v>
      </c>
      <c r="H115" s="11" t="s">
        <v>21</v>
      </c>
      <c r="I115" s="33">
        <v>151.5</v>
      </c>
      <c r="J115" s="11" t="s">
        <v>331</v>
      </c>
      <c r="K115" s="11">
        <f>I115/28/10*10</f>
        <v>5.4107142857142856</v>
      </c>
      <c r="L115" s="12">
        <v>0.55000000000000004</v>
      </c>
      <c r="M115" s="13" t="s">
        <v>503</v>
      </c>
      <c r="N115" s="13"/>
    </row>
    <row r="116" spans="1:14" ht="22.5">
      <c r="A116" s="68" t="s">
        <v>504</v>
      </c>
      <c r="B116" s="68" t="s">
        <v>498</v>
      </c>
      <c r="C116" s="68" t="s">
        <v>499</v>
      </c>
      <c r="D116" s="68" t="s">
        <v>500</v>
      </c>
      <c r="E116" s="11" t="s">
        <v>133</v>
      </c>
      <c r="F116" s="11" t="s">
        <v>44</v>
      </c>
      <c r="G116" s="11" t="s">
        <v>502</v>
      </c>
      <c r="H116" s="11" t="s">
        <v>21</v>
      </c>
      <c r="I116" s="33">
        <v>287.89999999999998</v>
      </c>
      <c r="J116" s="11" t="s">
        <v>331</v>
      </c>
      <c r="K116" s="11">
        <f>I116/28/20*10</f>
        <v>5.1410714285714292</v>
      </c>
      <c r="L116" s="12">
        <v>0.55000000000000004</v>
      </c>
      <c r="M116" s="13" t="s">
        <v>503</v>
      </c>
      <c r="N116" s="13"/>
    </row>
    <row r="117" spans="1:14" ht="22.5">
      <c r="A117" s="46" t="s">
        <v>505</v>
      </c>
      <c r="B117" s="68" t="s">
        <v>498</v>
      </c>
      <c r="C117" s="68" t="s">
        <v>499</v>
      </c>
      <c r="D117" s="68" t="s">
        <v>500</v>
      </c>
      <c r="E117" s="11" t="s">
        <v>133</v>
      </c>
      <c r="F117" s="11" t="s">
        <v>506</v>
      </c>
      <c r="G117" s="11" t="s">
        <v>407</v>
      </c>
      <c r="H117" s="11" t="s">
        <v>21</v>
      </c>
      <c r="I117" s="33">
        <v>324.60000000000002</v>
      </c>
      <c r="J117" s="11" t="s">
        <v>331</v>
      </c>
      <c r="K117" s="11">
        <f>I117/60/10*10</f>
        <v>5.41</v>
      </c>
      <c r="L117" s="12">
        <v>0.55000000000000004</v>
      </c>
      <c r="M117" s="13" t="s">
        <v>503</v>
      </c>
      <c r="N117" s="13"/>
    </row>
    <row r="118" spans="1:14" ht="22.5">
      <c r="A118" s="68" t="s">
        <v>507</v>
      </c>
      <c r="B118" s="68" t="s">
        <v>498</v>
      </c>
      <c r="C118" s="68" t="s">
        <v>499</v>
      </c>
      <c r="D118" s="68" t="s">
        <v>500</v>
      </c>
      <c r="E118" s="11" t="s">
        <v>133</v>
      </c>
      <c r="F118" s="11" t="s">
        <v>508</v>
      </c>
      <c r="G118" s="11" t="s">
        <v>407</v>
      </c>
      <c r="H118" s="11" t="s">
        <v>21</v>
      </c>
      <c r="I118" s="33">
        <v>617</v>
      </c>
      <c r="J118" s="11" t="s">
        <v>331</v>
      </c>
      <c r="K118" s="11">
        <f>I118/60/20*10</f>
        <v>5.1416666666666666</v>
      </c>
      <c r="L118" s="12">
        <v>0.55000000000000004</v>
      </c>
      <c r="M118" s="13" t="s">
        <v>503</v>
      </c>
      <c r="N118" s="13"/>
    </row>
    <row r="119" spans="1:14" ht="90">
      <c r="A119" s="13" t="s">
        <v>509</v>
      </c>
      <c r="B119" s="13" t="s">
        <v>510</v>
      </c>
      <c r="C119" s="13" t="s">
        <v>511</v>
      </c>
      <c r="D119" s="13" t="s">
        <v>512</v>
      </c>
      <c r="E119" s="10" t="s">
        <v>133</v>
      </c>
      <c r="F119" s="10" t="s">
        <v>513</v>
      </c>
      <c r="G119" s="10" t="s">
        <v>514</v>
      </c>
      <c r="H119" s="10" t="s">
        <v>515</v>
      </c>
      <c r="I119" s="20">
        <v>338.8</v>
      </c>
      <c r="J119" s="11" t="s">
        <v>367</v>
      </c>
      <c r="K119" s="11">
        <f>I119/30/5*4</f>
        <v>9.0346666666666664</v>
      </c>
      <c r="L119" s="12">
        <v>0.45</v>
      </c>
      <c r="M119" s="13"/>
      <c r="N119" s="13"/>
    </row>
    <row r="120" spans="1:14" ht="90">
      <c r="A120" s="13" t="s">
        <v>516</v>
      </c>
      <c r="B120" s="13" t="s">
        <v>510</v>
      </c>
      <c r="C120" s="13" t="s">
        <v>511</v>
      </c>
      <c r="D120" s="13" t="s">
        <v>512</v>
      </c>
      <c r="E120" s="10" t="s">
        <v>133</v>
      </c>
      <c r="F120" s="10" t="s">
        <v>517</v>
      </c>
      <c r="G120" s="10" t="s">
        <v>514</v>
      </c>
      <c r="H120" s="10" t="s">
        <v>515</v>
      </c>
      <c r="I120" s="20">
        <v>338.8</v>
      </c>
      <c r="J120" s="11" t="s">
        <v>367</v>
      </c>
      <c r="K120" s="11">
        <f>I120/30/10*4</f>
        <v>4.5173333333333332</v>
      </c>
      <c r="L120" s="12">
        <v>0.4</v>
      </c>
      <c r="M120" s="13"/>
      <c r="N120" s="13"/>
    </row>
    <row r="121" spans="1:14" ht="22.5">
      <c r="A121" s="46" t="s">
        <v>518</v>
      </c>
      <c r="B121" s="13" t="s">
        <v>510</v>
      </c>
      <c r="C121" s="13" t="s">
        <v>511</v>
      </c>
      <c r="D121" s="13" t="s">
        <v>519</v>
      </c>
      <c r="E121" s="10" t="s">
        <v>174</v>
      </c>
      <c r="F121" s="10" t="s">
        <v>230</v>
      </c>
      <c r="G121" s="10" t="s">
        <v>520</v>
      </c>
      <c r="H121" s="10" t="s">
        <v>21</v>
      </c>
      <c r="I121" s="20">
        <v>144.5</v>
      </c>
      <c r="J121" s="11" t="s">
        <v>367</v>
      </c>
      <c r="K121" s="11">
        <f>I121/30/4*4</f>
        <v>4.8166666666666664</v>
      </c>
      <c r="L121" s="12">
        <v>0.35</v>
      </c>
      <c r="M121" s="13"/>
      <c r="N121" s="13"/>
    </row>
    <row r="122" spans="1:14" ht="22.5">
      <c r="A122" s="46" t="s">
        <v>521</v>
      </c>
      <c r="B122" s="13" t="s">
        <v>510</v>
      </c>
      <c r="C122" s="13" t="s">
        <v>511</v>
      </c>
      <c r="D122" s="13" t="s">
        <v>519</v>
      </c>
      <c r="E122" s="10" t="s">
        <v>174</v>
      </c>
      <c r="F122" s="10" t="s">
        <v>522</v>
      </c>
      <c r="G122" s="10" t="s">
        <v>520</v>
      </c>
      <c r="H122" s="10" t="s">
        <v>21</v>
      </c>
      <c r="I122" s="20">
        <v>281.2</v>
      </c>
      <c r="J122" s="11" t="s">
        <v>367</v>
      </c>
      <c r="K122" s="11">
        <f>I122/30/8*4</f>
        <v>4.6866666666666665</v>
      </c>
      <c r="L122" s="12">
        <v>0.35</v>
      </c>
      <c r="M122" s="13"/>
      <c r="N122" s="13"/>
    </row>
    <row r="123" spans="1:14" ht="22.5">
      <c r="A123" s="46" t="s">
        <v>523</v>
      </c>
      <c r="B123" s="13" t="s">
        <v>510</v>
      </c>
      <c r="C123" s="13" t="s">
        <v>511</v>
      </c>
      <c r="D123" s="13" t="s">
        <v>524</v>
      </c>
      <c r="E123" s="10" t="s">
        <v>174</v>
      </c>
      <c r="F123" s="10" t="s">
        <v>230</v>
      </c>
      <c r="G123" s="10" t="s">
        <v>433</v>
      </c>
      <c r="H123" s="10" t="s">
        <v>21</v>
      </c>
      <c r="I123" s="20">
        <v>145</v>
      </c>
      <c r="J123" s="11" t="s">
        <v>367</v>
      </c>
      <c r="K123" s="11">
        <f>I123/30/4*4</f>
        <v>4.833333333333333</v>
      </c>
      <c r="L123" s="12">
        <v>0.35</v>
      </c>
      <c r="M123" s="13"/>
      <c r="N123" s="13"/>
    </row>
    <row r="124" spans="1:14" ht="22.5">
      <c r="A124" s="46" t="s">
        <v>525</v>
      </c>
      <c r="B124" s="13" t="s">
        <v>510</v>
      </c>
      <c r="C124" s="13" t="s">
        <v>511</v>
      </c>
      <c r="D124" s="13" t="s">
        <v>524</v>
      </c>
      <c r="E124" s="10" t="s">
        <v>174</v>
      </c>
      <c r="F124" s="10" t="s">
        <v>522</v>
      </c>
      <c r="G124" s="10" t="s">
        <v>433</v>
      </c>
      <c r="H124" s="10" t="s">
        <v>21</v>
      </c>
      <c r="I124" s="20">
        <v>282.2</v>
      </c>
      <c r="J124" s="11" t="s">
        <v>367</v>
      </c>
      <c r="K124" s="11">
        <f>I124/30/8*4</f>
        <v>4.7033333333333331</v>
      </c>
      <c r="L124" s="12">
        <v>0.35</v>
      </c>
      <c r="M124" s="13"/>
      <c r="N124" s="13"/>
    </row>
    <row r="125" spans="1:14" ht="33.75">
      <c r="A125" s="46" t="s">
        <v>526</v>
      </c>
      <c r="B125" s="13" t="s">
        <v>510</v>
      </c>
      <c r="C125" s="13" t="s">
        <v>511</v>
      </c>
      <c r="D125" s="13" t="s">
        <v>527</v>
      </c>
      <c r="E125" s="10" t="s">
        <v>174</v>
      </c>
      <c r="F125" s="10" t="s">
        <v>230</v>
      </c>
      <c r="G125" s="47" t="s">
        <v>528</v>
      </c>
      <c r="H125" s="47" t="s">
        <v>529</v>
      </c>
      <c r="I125" s="20">
        <v>144.5</v>
      </c>
      <c r="J125" s="11" t="s">
        <v>530</v>
      </c>
      <c r="K125" s="11">
        <f>I125/30/4*4</f>
        <v>4.8166666666666664</v>
      </c>
      <c r="L125" s="12">
        <v>0.35</v>
      </c>
      <c r="M125" s="66"/>
      <c r="N125" s="13"/>
    </row>
    <row r="126" spans="1:14" ht="33.75">
      <c r="A126" s="46" t="s">
        <v>531</v>
      </c>
      <c r="B126" s="13" t="s">
        <v>510</v>
      </c>
      <c r="C126" s="13" t="s">
        <v>511</v>
      </c>
      <c r="D126" s="13" t="s">
        <v>527</v>
      </c>
      <c r="E126" s="10" t="s">
        <v>174</v>
      </c>
      <c r="F126" s="10" t="s">
        <v>522</v>
      </c>
      <c r="G126" s="47" t="s">
        <v>528</v>
      </c>
      <c r="H126" s="47" t="s">
        <v>529</v>
      </c>
      <c r="I126" s="20">
        <v>281.2</v>
      </c>
      <c r="J126" s="11" t="s">
        <v>530</v>
      </c>
      <c r="K126" s="11">
        <f>I126/30/8*4</f>
        <v>4.6866666666666665</v>
      </c>
      <c r="L126" s="12">
        <v>0.35</v>
      </c>
      <c r="M126" s="66"/>
      <c r="N126" s="13"/>
    </row>
    <row r="127" spans="1:14" ht="33.75">
      <c r="A127" s="58" t="s">
        <v>2450</v>
      </c>
      <c r="B127" s="58" t="s">
        <v>510</v>
      </c>
      <c r="C127" s="58" t="s">
        <v>511</v>
      </c>
      <c r="D127" s="58" t="s">
        <v>2451</v>
      </c>
      <c r="E127" s="69" t="s">
        <v>133</v>
      </c>
      <c r="F127" s="69" t="s">
        <v>390</v>
      </c>
      <c r="G127" s="69" t="s">
        <v>2452</v>
      </c>
      <c r="H127" s="21" t="s">
        <v>2453</v>
      </c>
      <c r="I127" s="20">
        <v>260.60000000000002</v>
      </c>
      <c r="J127" s="11" t="s">
        <v>530</v>
      </c>
      <c r="K127" s="11">
        <f>I127/30/5*4</f>
        <v>6.9493333333333336</v>
      </c>
      <c r="L127" s="1">
        <v>0.3</v>
      </c>
      <c r="M127" s="66"/>
      <c r="N127" s="13"/>
    </row>
    <row r="128" spans="1:14" ht="33.75">
      <c r="A128" s="58" t="s">
        <v>2454</v>
      </c>
      <c r="B128" s="58" t="s">
        <v>510</v>
      </c>
      <c r="C128" s="58" t="s">
        <v>511</v>
      </c>
      <c r="D128" s="58" t="s">
        <v>2451</v>
      </c>
      <c r="E128" s="69" t="s">
        <v>133</v>
      </c>
      <c r="F128" s="69" t="s">
        <v>394</v>
      </c>
      <c r="G128" s="69" t="s">
        <v>2452</v>
      </c>
      <c r="H128" s="21" t="s">
        <v>2453</v>
      </c>
      <c r="I128" s="20">
        <v>260.60000000000002</v>
      </c>
      <c r="J128" s="11" t="s">
        <v>530</v>
      </c>
      <c r="K128" s="11">
        <f>I128/30/10*4</f>
        <v>3.4746666666666668</v>
      </c>
      <c r="L128" s="1">
        <v>0.25</v>
      </c>
      <c r="M128" s="66"/>
      <c r="N128" s="13"/>
    </row>
    <row r="129" spans="1:14" ht="56.25">
      <c r="A129" s="46" t="s">
        <v>536</v>
      </c>
      <c r="B129" s="13" t="s">
        <v>537</v>
      </c>
      <c r="C129" s="13" t="s">
        <v>538</v>
      </c>
      <c r="D129" s="13" t="s">
        <v>539</v>
      </c>
      <c r="E129" s="10" t="s">
        <v>133</v>
      </c>
      <c r="F129" s="10" t="s">
        <v>540</v>
      </c>
      <c r="G129" s="10" t="s">
        <v>541</v>
      </c>
      <c r="H129" s="10" t="s">
        <v>21</v>
      </c>
      <c r="I129" s="20">
        <v>185.6</v>
      </c>
      <c r="J129" s="11" t="s">
        <v>306</v>
      </c>
      <c r="K129" s="11">
        <f>I129/30/2.5*2.5</f>
        <v>6.1866666666666674</v>
      </c>
      <c r="L129" s="12">
        <v>0.65</v>
      </c>
      <c r="M129" s="13"/>
      <c r="N129" s="13"/>
    </row>
    <row r="130" spans="1:14" ht="56.25">
      <c r="A130" s="46" t="s">
        <v>542</v>
      </c>
      <c r="B130" s="13" t="s">
        <v>537</v>
      </c>
      <c r="C130" s="13" t="s">
        <v>538</v>
      </c>
      <c r="D130" s="13" t="s">
        <v>539</v>
      </c>
      <c r="E130" s="10" t="s">
        <v>133</v>
      </c>
      <c r="F130" s="10" t="s">
        <v>543</v>
      </c>
      <c r="G130" s="10" t="s">
        <v>541</v>
      </c>
      <c r="H130" s="10" t="s">
        <v>21</v>
      </c>
      <c r="I130" s="20">
        <v>459.7</v>
      </c>
      <c r="J130" s="11" t="s">
        <v>306</v>
      </c>
      <c r="K130" s="11">
        <f>I130/30/5*2.5</f>
        <v>7.6616666666666671</v>
      </c>
      <c r="L130" s="12">
        <v>0.65</v>
      </c>
      <c r="M130" s="13"/>
      <c r="N130" s="13"/>
    </row>
    <row r="131" spans="1:14" ht="22.5">
      <c r="A131" s="46" t="s">
        <v>544</v>
      </c>
      <c r="B131" s="13" t="s">
        <v>545</v>
      </c>
      <c r="C131" s="13" t="s">
        <v>546</v>
      </c>
      <c r="D131" s="13" t="s">
        <v>547</v>
      </c>
      <c r="E131" s="10" t="s">
        <v>174</v>
      </c>
      <c r="F131" s="10" t="s">
        <v>548</v>
      </c>
      <c r="G131" s="10" t="s">
        <v>433</v>
      </c>
      <c r="H131" s="10" t="s">
        <v>21</v>
      </c>
      <c r="I131" s="20">
        <v>290</v>
      </c>
      <c r="J131" s="11" t="s">
        <v>535</v>
      </c>
      <c r="K131" s="11">
        <f>I131/28/10*15</f>
        <v>15.535714285714286</v>
      </c>
      <c r="L131" s="12">
        <v>0.5</v>
      </c>
      <c r="M131" s="13"/>
      <c r="N131" s="13"/>
    </row>
    <row r="132" spans="1:14" ht="22.5">
      <c r="A132" s="46" t="s">
        <v>549</v>
      </c>
      <c r="B132" s="13" t="s">
        <v>545</v>
      </c>
      <c r="C132" s="13" t="s">
        <v>546</v>
      </c>
      <c r="D132" s="13" t="s">
        <v>547</v>
      </c>
      <c r="E132" s="10" t="s">
        <v>174</v>
      </c>
      <c r="F132" s="10" t="s">
        <v>44</v>
      </c>
      <c r="G132" s="10" t="s">
        <v>433</v>
      </c>
      <c r="H132" s="10" t="s">
        <v>21</v>
      </c>
      <c r="I132" s="20">
        <v>346.6</v>
      </c>
      <c r="J132" s="11" t="s">
        <v>535</v>
      </c>
      <c r="K132" s="11">
        <f>I132/28/20*15</f>
        <v>9.2839285714285715</v>
      </c>
      <c r="L132" s="12">
        <v>0.5</v>
      </c>
      <c r="M132" s="13"/>
      <c r="N132" s="13"/>
    </row>
    <row r="133" spans="1:14" ht="67.5">
      <c r="A133" s="46" t="s">
        <v>550</v>
      </c>
      <c r="B133" s="13" t="s">
        <v>551</v>
      </c>
      <c r="C133" s="13" t="s">
        <v>552</v>
      </c>
      <c r="D133" s="13" t="s">
        <v>553</v>
      </c>
      <c r="E133" s="10" t="s">
        <v>133</v>
      </c>
      <c r="F133" s="10" t="s">
        <v>554</v>
      </c>
      <c r="G133" s="10" t="s">
        <v>555</v>
      </c>
      <c r="H133" s="10" t="s">
        <v>556</v>
      </c>
      <c r="I133" s="20">
        <v>726.7</v>
      </c>
      <c r="J133" s="11" t="s">
        <v>71</v>
      </c>
      <c r="K133" s="11">
        <f>I133/28/30*30</f>
        <v>25.953571428571429</v>
      </c>
      <c r="L133" s="12">
        <v>0.75</v>
      </c>
      <c r="M133" s="13" t="s">
        <v>557</v>
      </c>
      <c r="N133" s="13" t="s">
        <v>558</v>
      </c>
    </row>
    <row r="134" spans="1:14" ht="45">
      <c r="A134" s="46" t="s">
        <v>560</v>
      </c>
      <c r="B134" s="13" t="s">
        <v>561</v>
      </c>
      <c r="C134" s="13" t="s">
        <v>562</v>
      </c>
      <c r="D134" s="13" t="s">
        <v>563</v>
      </c>
      <c r="E134" s="10" t="s">
        <v>174</v>
      </c>
      <c r="F134" s="10" t="s">
        <v>564</v>
      </c>
      <c r="G134" s="10" t="s">
        <v>565</v>
      </c>
      <c r="H134" s="10" t="s">
        <v>25</v>
      </c>
      <c r="I134" s="20">
        <v>139.30000000000001</v>
      </c>
      <c r="J134" s="11" t="s">
        <v>267</v>
      </c>
      <c r="K134" s="11">
        <f t="shared" ref="K134:K139" si="1">I134/30</f>
        <v>4.6433333333333335</v>
      </c>
      <c r="L134" s="12">
        <v>0.35</v>
      </c>
      <c r="M134" s="13" t="s">
        <v>566</v>
      </c>
      <c r="N134" s="13"/>
    </row>
    <row r="135" spans="1:14" ht="45">
      <c r="A135" s="46" t="s">
        <v>567</v>
      </c>
      <c r="B135" s="13" t="s">
        <v>561</v>
      </c>
      <c r="C135" s="13" t="s">
        <v>562</v>
      </c>
      <c r="D135" s="13" t="s">
        <v>563</v>
      </c>
      <c r="E135" s="10" t="s">
        <v>174</v>
      </c>
      <c r="F135" s="10" t="s">
        <v>568</v>
      </c>
      <c r="G135" s="10" t="s">
        <v>565</v>
      </c>
      <c r="H135" s="10" t="s">
        <v>25</v>
      </c>
      <c r="I135" s="20">
        <v>278.39999999999998</v>
      </c>
      <c r="J135" s="11" t="s">
        <v>267</v>
      </c>
      <c r="K135" s="11">
        <f t="shared" si="1"/>
        <v>9.2799999999999994</v>
      </c>
      <c r="L135" s="12">
        <v>0.35</v>
      </c>
      <c r="M135" s="13" t="s">
        <v>566</v>
      </c>
      <c r="N135" s="13"/>
    </row>
    <row r="136" spans="1:14" ht="45">
      <c r="A136" s="46" t="s">
        <v>569</v>
      </c>
      <c r="B136" s="13" t="s">
        <v>561</v>
      </c>
      <c r="C136" s="13" t="s">
        <v>562</v>
      </c>
      <c r="D136" s="13" t="s">
        <v>563</v>
      </c>
      <c r="E136" s="10" t="s">
        <v>174</v>
      </c>
      <c r="F136" s="10" t="s">
        <v>570</v>
      </c>
      <c r="G136" s="10" t="s">
        <v>565</v>
      </c>
      <c r="H136" s="10" t="s">
        <v>25</v>
      </c>
      <c r="I136" s="20">
        <v>501.3</v>
      </c>
      <c r="J136" s="11" t="s">
        <v>267</v>
      </c>
      <c r="K136" s="11">
        <f t="shared" si="1"/>
        <v>16.71</v>
      </c>
      <c r="L136" s="12">
        <v>0.35</v>
      </c>
      <c r="M136" s="13" t="s">
        <v>566</v>
      </c>
      <c r="N136" s="13"/>
    </row>
    <row r="137" spans="1:14" ht="90">
      <c r="A137" s="46" t="s">
        <v>571</v>
      </c>
      <c r="B137" s="13" t="s">
        <v>561</v>
      </c>
      <c r="C137" s="13" t="s">
        <v>562</v>
      </c>
      <c r="D137" s="13" t="s">
        <v>572</v>
      </c>
      <c r="E137" s="10" t="s">
        <v>133</v>
      </c>
      <c r="F137" s="10" t="s">
        <v>573</v>
      </c>
      <c r="G137" s="10" t="s">
        <v>514</v>
      </c>
      <c r="H137" s="10" t="s">
        <v>515</v>
      </c>
      <c r="I137" s="20">
        <v>338.8</v>
      </c>
      <c r="J137" s="11" t="s">
        <v>267</v>
      </c>
      <c r="K137" s="11">
        <f t="shared" si="1"/>
        <v>11.293333333333333</v>
      </c>
      <c r="L137" s="12">
        <v>0.5</v>
      </c>
      <c r="M137" s="13" t="s">
        <v>566</v>
      </c>
      <c r="N137" s="13"/>
    </row>
    <row r="138" spans="1:14" ht="90">
      <c r="A138" s="46" t="s">
        <v>574</v>
      </c>
      <c r="B138" s="13" t="s">
        <v>561</v>
      </c>
      <c r="C138" s="13" t="s">
        <v>562</v>
      </c>
      <c r="D138" s="13" t="s">
        <v>575</v>
      </c>
      <c r="E138" s="10" t="s">
        <v>133</v>
      </c>
      <c r="F138" s="10" t="s">
        <v>576</v>
      </c>
      <c r="G138" s="10" t="s">
        <v>577</v>
      </c>
      <c r="H138" s="10" t="s">
        <v>578</v>
      </c>
      <c r="I138" s="20">
        <v>754.6</v>
      </c>
      <c r="J138" s="11" t="s">
        <v>267</v>
      </c>
      <c r="K138" s="11">
        <f t="shared" si="1"/>
        <v>25.153333333333332</v>
      </c>
      <c r="L138" s="12">
        <v>0.55000000000000004</v>
      </c>
      <c r="M138" s="13" t="s">
        <v>566</v>
      </c>
      <c r="N138" s="13"/>
    </row>
    <row r="139" spans="1:14" ht="45">
      <c r="A139" s="46" t="s">
        <v>579</v>
      </c>
      <c r="B139" s="13" t="s">
        <v>561</v>
      </c>
      <c r="C139" s="13" t="s">
        <v>562</v>
      </c>
      <c r="D139" s="13" t="s">
        <v>580</v>
      </c>
      <c r="E139" s="10" t="s">
        <v>174</v>
      </c>
      <c r="F139" s="10" t="s">
        <v>568</v>
      </c>
      <c r="G139" s="10" t="s">
        <v>433</v>
      </c>
      <c r="H139" s="10" t="s">
        <v>21</v>
      </c>
      <c r="I139" s="20">
        <v>278.39999999999998</v>
      </c>
      <c r="J139" s="11" t="s">
        <v>267</v>
      </c>
      <c r="K139" s="11">
        <f t="shared" si="1"/>
        <v>9.2799999999999994</v>
      </c>
      <c r="L139" s="12">
        <v>0.35</v>
      </c>
      <c r="M139" s="13" t="s">
        <v>566</v>
      </c>
      <c r="N139" s="13"/>
    </row>
    <row r="140" spans="1:14" ht="45">
      <c r="A140" s="46" t="s">
        <v>581</v>
      </c>
      <c r="B140" s="13" t="s">
        <v>561</v>
      </c>
      <c r="C140" s="16" t="s">
        <v>562</v>
      </c>
      <c r="D140" s="16" t="s">
        <v>582</v>
      </c>
      <c r="E140" s="21" t="s">
        <v>133</v>
      </c>
      <c r="F140" s="21" t="s">
        <v>583</v>
      </c>
      <c r="G140" s="10" t="s">
        <v>584</v>
      </c>
      <c r="H140" s="10" t="s">
        <v>330</v>
      </c>
      <c r="I140" s="11">
        <v>168.8</v>
      </c>
      <c r="J140" s="11" t="s">
        <v>267</v>
      </c>
      <c r="K140" s="11">
        <f>I140/30</f>
        <v>5.6266666666666669</v>
      </c>
      <c r="L140" s="12">
        <v>0.4</v>
      </c>
      <c r="M140" s="13" t="s">
        <v>566</v>
      </c>
      <c r="N140" s="13"/>
    </row>
    <row r="141" spans="1:14" ht="45">
      <c r="A141" s="46" t="s">
        <v>585</v>
      </c>
      <c r="B141" s="13" t="s">
        <v>561</v>
      </c>
      <c r="C141" s="16" t="s">
        <v>562</v>
      </c>
      <c r="D141" s="16" t="s">
        <v>582</v>
      </c>
      <c r="E141" s="21" t="s">
        <v>133</v>
      </c>
      <c r="F141" s="21" t="s">
        <v>573</v>
      </c>
      <c r="G141" s="10" t="s">
        <v>584</v>
      </c>
      <c r="H141" s="10" t="s">
        <v>330</v>
      </c>
      <c r="I141" s="11">
        <v>260.60000000000002</v>
      </c>
      <c r="J141" s="11" t="s">
        <v>267</v>
      </c>
      <c r="K141" s="11">
        <f>I141/30</f>
        <v>8.6866666666666674</v>
      </c>
      <c r="L141" s="12">
        <v>0.35</v>
      </c>
      <c r="M141" s="13" t="s">
        <v>566</v>
      </c>
      <c r="N141" s="13"/>
    </row>
    <row r="142" spans="1:14" ht="45">
      <c r="A142" s="46" t="s">
        <v>586</v>
      </c>
      <c r="B142" s="13" t="s">
        <v>561</v>
      </c>
      <c r="C142" s="16" t="s">
        <v>562</v>
      </c>
      <c r="D142" s="16" t="s">
        <v>582</v>
      </c>
      <c r="E142" s="21" t="s">
        <v>133</v>
      </c>
      <c r="F142" s="21" t="s">
        <v>576</v>
      </c>
      <c r="G142" s="10" t="s">
        <v>584</v>
      </c>
      <c r="H142" s="10" t="s">
        <v>330</v>
      </c>
      <c r="I142" s="11">
        <v>607.79999999999995</v>
      </c>
      <c r="J142" s="11" t="s">
        <v>267</v>
      </c>
      <c r="K142" s="11">
        <f>I142/30</f>
        <v>20.259999999999998</v>
      </c>
      <c r="L142" s="12">
        <v>0.4</v>
      </c>
      <c r="M142" s="13" t="s">
        <v>566</v>
      </c>
      <c r="N142" s="13"/>
    </row>
    <row r="143" spans="1:14" ht="45">
      <c r="A143" s="13">
        <v>1401301</v>
      </c>
      <c r="B143" s="13" t="s">
        <v>561</v>
      </c>
      <c r="C143" s="13" t="s">
        <v>562</v>
      </c>
      <c r="D143" s="13" t="s">
        <v>587</v>
      </c>
      <c r="E143" s="10" t="s">
        <v>174</v>
      </c>
      <c r="F143" s="10" t="s">
        <v>564</v>
      </c>
      <c r="G143" s="10" t="s">
        <v>588</v>
      </c>
      <c r="H143" s="21" t="s">
        <v>589</v>
      </c>
      <c r="I143" s="11">
        <v>139.30000000000001</v>
      </c>
      <c r="J143" s="109" t="s">
        <v>267</v>
      </c>
      <c r="K143" s="11">
        <f>+I143/30</f>
        <v>4.6433333333333335</v>
      </c>
      <c r="L143" s="12">
        <v>0.35</v>
      </c>
      <c r="M143" s="13" t="s">
        <v>566</v>
      </c>
      <c r="N143" s="13"/>
    </row>
    <row r="144" spans="1:14" ht="45">
      <c r="A144" s="13">
        <v>1401300</v>
      </c>
      <c r="B144" s="13" t="s">
        <v>561</v>
      </c>
      <c r="C144" s="13" t="s">
        <v>562</v>
      </c>
      <c r="D144" s="13" t="s">
        <v>587</v>
      </c>
      <c r="E144" s="10" t="s">
        <v>174</v>
      </c>
      <c r="F144" s="10" t="s">
        <v>568</v>
      </c>
      <c r="G144" s="10" t="s">
        <v>588</v>
      </c>
      <c r="H144" s="21" t="s">
        <v>589</v>
      </c>
      <c r="I144" s="11">
        <v>278.39999999999998</v>
      </c>
      <c r="J144" s="109" t="s">
        <v>267</v>
      </c>
      <c r="K144" s="11">
        <f>+I144/30</f>
        <v>9.2799999999999994</v>
      </c>
      <c r="L144" s="12">
        <v>0.35</v>
      </c>
      <c r="M144" s="13" t="s">
        <v>566</v>
      </c>
      <c r="N144" s="13"/>
    </row>
    <row r="145" spans="1:14" ht="45">
      <c r="A145" s="46" t="s">
        <v>590</v>
      </c>
      <c r="B145" s="16" t="s">
        <v>561</v>
      </c>
      <c r="C145" s="51" t="s">
        <v>562</v>
      </c>
      <c r="D145" s="13" t="s">
        <v>591</v>
      </c>
      <c r="E145" s="30" t="s">
        <v>174</v>
      </c>
      <c r="F145" s="30" t="s">
        <v>592</v>
      </c>
      <c r="G145" s="30" t="s">
        <v>593</v>
      </c>
      <c r="H145" s="30" t="s">
        <v>25</v>
      </c>
      <c r="I145" s="11">
        <v>260.60000000000002</v>
      </c>
      <c r="J145" s="11" t="s">
        <v>267</v>
      </c>
      <c r="K145" s="11">
        <f>I145/30</f>
        <v>8.6866666666666674</v>
      </c>
      <c r="L145" s="12">
        <v>0.35</v>
      </c>
      <c r="M145" s="13" t="s">
        <v>566</v>
      </c>
      <c r="N145" s="13"/>
    </row>
    <row r="146" spans="1:14" ht="45">
      <c r="A146" s="46" t="s">
        <v>594</v>
      </c>
      <c r="B146" s="16" t="s">
        <v>561</v>
      </c>
      <c r="C146" s="51" t="s">
        <v>562</v>
      </c>
      <c r="D146" s="13" t="s">
        <v>591</v>
      </c>
      <c r="E146" s="30" t="s">
        <v>174</v>
      </c>
      <c r="F146" s="30" t="s">
        <v>595</v>
      </c>
      <c r="G146" s="30" t="s">
        <v>593</v>
      </c>
      <c r="H146" s="30" t="s">
        <v>25</v>
      </c>
      <c r="I146" s="11">
        <v>607.79999999999995</v>
      </c>
      <c r="J146" s="11" t="s">
        <v>267</v>
      </c>
      <c r="K146" s="11">
        <f>I146/30</f>
        <v>20.259999999999998</v>
      </c>
      <c r="L146" s="12">
        <v>0.4</v>
      </c>
      <c r="M146" s="13" t="s">
        <v>566</v>
      </c>
      <c r="N146" s="13"/>
    </row>
    <row r="147" spans="1:14" ht="45">
      <c r="A147" s="46" t="s">
        <v>596</v>
      </c>
      <c r="B147" s="13" t="s">
        <v>597</v>
      </c>
      <c r="C147" s="13" t="s">
        <v>598</v>
      </c>
      <c r="D147" s="13" t="s">
        <v>599</v>
      </c>
      <c r="E147" s="10" t="s">
        <v>133</v>
      </c>
      <c r="F147" s="10" t="s">
        <v>600</v>
      </c>
      <c r="G147" s="10" t="s">
        <v>601</v>
      </c>
      <c r="H147" s="10" t="s">
        <v>21</v>
      </c>
      <c r="I147" s="20">
        <v>559.70000000000005</v>
      </c>
      <c r="J147" s="11" t="s">
        <v>267</v>
      </c>
      <c r="K147" s="11">
        <f>I147/30</f>
        <v>18.65666666666667</v>
      </c>
      <c r="L147" s="12">
        <v>0.65</v>
      </c>
      <c r="M147" s="13" t="s">
        <v>486</v>
      </c>
      <c r="N147" s="13"/>
    </row>
    <row r="148" spans="1:14" ht="45">
      <c r="A148" s="46" t="s">
        <v>602</v>
      </c>
      <c r="B148" s="13" t="s">
        <v>603</v>
      </c>
      <c r="C148" s="13" t="s">
        <v>604</v>
      </c>
      <c r="D148" s="13" t="s">
        <v>605</v>
      </c>
      <c r="E148" s="10" t="s">
        <v>174</v>
      </c>
      <c r="F148" s="10" t="s">
        <v>606</v>
      </c>
      <c r="G148" s="10" t="s">
        <v>433</v>
      </c>
      <c r="H148" s="10" t="s">
        <v>21</v>
      </c>
      <c r="I148" s="20">
        <v>471.9</v>
      </c>
      <c r="J148" s="11" t="s">
        <v>267</v>
      </c>
      <c r="K148" s="11">
        <f>I148/28</f>
        <v>16.853571428571428</v>
      </c>
      <c r="L148" s="12">
        <v>0.6</v>
      </c>
      <c r="M148" s="13" t="s">
        <v>486</v>
      </c>
      <c r="N148" s="13"/>
    </row>
    <row r="149" spans="1:14" ht="45">
      <c r="A149" s="46" t="s">
        <v>607</v>
      </c>
      <c r="B149" s="13" t="s">
        <v>608</v>
      </c>
      <c r="C149" s="13" t="s">
        <v>609</v>
      </c>
      <c r="D149" s="13" t="s">
        <v>610</v>
      </c>
      <c r="E149" s="10" t="s">
        <v>174</v>
      </c>
      <c r="F149" s="10" t="s">
        <v>611</v>
      </c>
      <c r="G149" s="10" t="s">
        <v>612</v>
      </c>
      <c r="H149" s="10" t="s">
        <v>330</v>
      </c>
      <c r="I149" s="20">
        <v>393.4</v>
      </c>
      <c r="J149" s="11" t="s">
        <v>267</v>
      </c>
      <c r="K149" s="11">
        <f t="shared" ref="K149:K172" si="2">I149/30</f>
        <v>13.113333333333333</v>
      </c>
      <c r="L149" s="12">
        <v>0.75</v>
      </c>
      <c r="M149" s="13" t="s">
        <v>486</v>
      </c>
      <c r="N149" s="13"/>
    </row>
    <row r="150" spans="1:14" ht="45">
      <c r="A150" s="46" t="s">
        <v>613</v>
      </c>
      <c r="B150" s="13" t="s">
        <v>608</v>
      </c>
      <c r="C150" s="13" t="s">
        <v>609</v>
      </c>
      <c r="D150" s="13" t="s">
        <v>614</v>
      </c>
      <c r="E150" s="10" t="s">
        <v>174</v>
      </c>
      <c r="F150" s="10" t="s">
        <v>615</v>
      </c>
      <c r="G150" s="10" t="s">
        <v>612</v>
      </c>
      <c r="H150" s="10" t="s">
        <v>330</v>
      </c>
      <c r="I150" s="20">
        <v>523.1</v>
      </c>
      <c r="J150" s="11" t="s">
        <v>267</v>
      </c>
      <c r="K150" s="11">
        <f t="shared" si="2"/>
        <v>17.436666666666667</v>
      </c>
      <c r="L150" s="12">
        <v>0.65</v>
      </c>
      <c r="M150" s="13" t="s">
        <v>486</v>
      </c>
      <c r="N150" s="13"/>
    </row>
    <row r="151" spans="1:14" ht="45">
      <c r="A151" s="46" t="s">
        <v>616</v>
      </c>
      <c r="B151" s="13" t="s">
        <v>608</v>
      </c>
      <c r="C151" s="13" t="s">
        <v>609</v>
      </c>
      <c r="D151" s="13" t="s">
        <v>610</v>
      </c>
      <c r="E151" s="10" t="s">
        <v>174</v>
      </c>
      <c r="F151" s="10" t="s">
        <v>617</v>
      </c>
      <c r="G151" s="10" t="s">
        <v>612</v>
      </c>
      <c r="H151" s="10" t="s">
        <v>330</v>
      </c>
      <c r="I151" s="20">
        <v>434.8</v>
      </c>
      <c r="J151" s="11" t="s">
        <v>267</v>
      </c>
      <c r="K151" s="11">
        <f t="shared" si="2"/>
        <v>14.493333333333334</v>
      </c>
      <c r="L151" s="12">
        <v>0.5</v>
      </c>
      <c r="M151" s="13" t="s">
        <v>486</v>
      </c>
      <c r="N151" s="13"/>
    </row>
    <row r="152" spans="1:14" ht="45">
      <c r="A152" s="46" t="s">
        <v>618</v>
      </c>
      <c r="B152" s="13" t="s">
        <v>608</v>
      </c>
      <c r="C152" s="16" t="s">
        <v>609</v>
      </c>
      <c r="D152" s="16" t="s">
        <v>619</v>
      </c>
      <c r="E152" s="21" t="s">
        <v>174</v>
      </c>
      <c r="F152" s="21" t="s">
        <v>611</v>
      </c>
      <c r="G152" s="21" t="s">
        <v>620</v>
      </c>
      <c r="H152" s="21" t="s">
        <v>277</v>
      </c>
      <c r="I152" s="20">
        <v>302.60000000000002</v>
      </c>
      <c r="J152" s="21" t="s">
        <v>267</v>
      </c>
      <c r="K152" s="11">
        <f t="shared" si="2"/>
        <v>10.086666666666668</v>
      </c>
      <c r="L152" s="3">
        <v>0.65</v>
      </c>
      <c r="M152" s="13" t="s">
        <v>486</v>
      </c>
      <c r="N152" s="13"/>
    </row>
    <row r="153" spans="1:14" ht="45">
      <c r="A153" s="46" t="s">
        <v>621</v>
      </c>
      <c r="B153" s="13" t="s">
        <v>608</v>
      </c>
      <c r="C153" s="16" t="s">
        <v>609</v>
      </c>
      <c r="D153" s="16" t="s">
        <v>619</v>
      </c>
      <c r="E153" s="21" t="s">
        <v>174</v>
      </c>
      <c r="F153" s="21" t="s">
        <v>617</v>
      </c>
      <c r="G153" s="21" t="s">
        <v>620</v>
      </c>
      <c r="H153" s="21" t="s">
        <v>277</v>
      </c>
      <c r="I153" s="20">
        <v>335.9</v>
      </c>
      <c r="J153" s="21" t="s">
        <v>267</v>
      </c>
      <c r="K153" s="11">
        <f t="shared" si="2"/>
        <v>11.196666666666665</v>
      </c>
      <c r="L153" s="3">
        <v>0.3</v>
      </c>
      <c r="M153" s="13" t="s">
        <v>486</v>
      </c>
      <c r="N153" s="13"/>
    </row>
    <row r="154" spans="1:14" ht="45">
      <c r="A154" s="46" t="s">
        <v>622</v>
      </c>
      <c r="B154" s="13" t="s">
        <v>608</v>
      </c>
      <c r="C154" s="16" t="s">
        <v>609</v>
      </c>
      <c r="D154" s="16" t="s">
        <v>619</v>
      </c>
      <c r="E154" s="21" t="s">
        <v>174</v>
      </c>
      <c r="F154" s="21" t="s">
        <v>615</v>
      </c>
      <c r="G154" s="21" t="s">
        <v>620</v>
      </c>
      <c r="H154" s="21" t="s">
        <v>277</v>
      </c>
      <c r="I154" s="20">
        <v>402.4</v>
      </c>
      <c r="J154" s="21" t="s">
        <v>267</v>
      </c>
      <c r="K154" s="11">
        <f t="shared" si="2"/>
        <v>13.413333333333332</v>
      </c>
      <c r="L154" s="3">
        <v>0.5</v>
      </c>
      <c r="M154" s="13" t="s">
        <v>486</v>
      </c>
      <c r="N154" s="13"/>
    </row>
    <row r="155" spans="1:14" ht="45">
      <c r="A155" s="46" t="s">
        <v>623</v>
      </c>
      <c r="B155" s="13" t="s">
        <v>624</v>
      </c>
      <c r="C155" s="13" t="s">
        <v>625</v>
      </c>
      <c r="D155" s="13" t="s">
        <v>626</v>
      </c>
      <c r="E155" s="10" t="s">
        <v>174</v>
      </c>
      <c r="F155" s="10" t="s">
        <v>627</v>
      </c>
      <c r="G155" s="10" t="s">
        <v>628</v>
      </c>
      <c r="H155" s="10" t="s">
        <v>629</v>
      </c>
      <c r="I155" s="20">
        <v>367.4</v>
      </c>
      <c r="J155" s="11" t="s">
        <v>267</v>
      </c>
      <c r="K155" s="11">
        <f t="shared" si="2"/>
        <v>12.246666666666666</v>
      </c>
      <c r="L155" s="12">
        <v>0.7</v>
      </c>
      <c r="M155" s="13" t="s">
        <v>566</v>
      </c>
      <c r="N155" s="13"/>
    </row>
    <row r="156" spans="1:14" ht="45">
      <c r="A156" s="46" t="s">
        <v>630</v>
      </c>
      <c r="B156" s="13" t="s">
        <v>624</v>
      </c>
      <c r="C156" s="13" t="s">
        <v>625</v>
      </c>
      <c r="D156" s="13" t="s">
        <v>626</v>
      </c>
      <c r="E156" s="10" t="s">
        <v>174</v>
      </c>
      <c r="F156" s="10" t="s">
        <v>631</v>
      </c>
      <c r="G156" s="10" t="s">
        <v>628</v>
      </c>
      <c r="H156" s="10" t="s">
        <v>629</v>
      </c>
      <c r="I156" s="20">
        <v>545.9</v>
      </c>
      <c r="J156" s="11" t="s">
        <v>267</v>
      </c>
      <c r="K156" s="11">
        <f t="shared" si="2"/>
        <v>18.196666666666665</v>
      </c>
      <c r="L156" s="12">
        <v>0.7</v>
      </c>
      <c r="M156" s="13" t="s">
        <v>566</v>
      </c>
      <c r="N156" s="13"/>
    </row>
    <row r="157" spans="1:14" ht="45">
      <c r="A157" s="46" t="s">
        <v>632</v>
      </c>
      <c r="B157" s="13" t="s">
        <v>624</v>
      </c>
      <c r="C157" s="13" t="s">
        <v>625</v>
      </c>
      <c r="D157" s="13" t="s">
        <v>626</v>
      </c>
      <c r="E157" s="10" t="s">
        <v>174</v>
      </c>
      <c r="F157" s="10" t="s">
        <v>633</v>
      </c>
      <c r="G157" s="10" t="s">
        <v>628</v>
      </c>
      <c r="H157" s="10" t="s">
        <v>629</v>
      </c>
      <c r="I157" s="20">
        <v>667.3</v>
      </c>
      <c r="J157" s="11" t="s">
        <v>267</v>
      </c>
      <c r="K157" s="11">
        <f t="shared" si="2"/>
        <v>22.243333333333332</v>
      </c>
      <c r="L157" s="12">
        <v>0.75</v>
      </c>
      <c r="M157" s="13" t="s">
        <v>566</v>
      </c>
      <c r="N157" s="13"/>
    </row>
    <row r="158" spans="1:14" ht="45">
      <c r="A158" s="46" t="s">
        <v>634</v>
      </c>
      <c r="B158" s="13" t="s">
        <v>624</v>
      </c>
      <c r="C158" s="13" t="s">
        <v>625</v>
      </c>
      <c r="D158" s="13" t="s">
        <v>626</v>
      </c>
      <c r="E158" s="10" t="s">
        <v>174</v>
      </c>
      <c r="F158" s="10" t="s">
        <v>635</v>
      </c>
      <c r="G158" s="10" t="s">
        <v>628</v>
      </c>
      <c r="H158" s="10" t="s">
        <v>629</v>
      </c>
      <c r="I158" s="20">
        <v>626.9</v>
      </c>
      <c r="J158" s="11" t="s">
        <v>267</v>
      </c>
      <c r="K158" s="11">
        <f t="shared" si="2"/>
        <v>20.896666666666665</v>
      </c>
      <c r="L158" s="12">
        <v>0.7</v>
      </c>
      <c r="M158" s="13" t="s">
        <v>566</v>
      </c>
      <c r="N158" s="13"/>
    </row>
    <row r="159" spans="1:14" ht="45">
      <c r="A159" s="13">
        <v>1103851</v>
      </c>
      <c r="B159" s="13" t="s">
        <v>624</v>
      </c>
      <c r="C159" s="13" t="s">
        <v>625</v>
      </c>
      <c r="D159" s="13" t="s">
        <v>636</v>
      </c>
      <c r="E159" s="10" t="s">
        <v>174</v>
      </c>
      <c r="F159" s="21" t="s">
        <v>637</v>
      </c>
      <c r="G159" s="10" t="s">
        <v>188</v>
      </c>
      <c r="H159" s="10" t="s">
        <v>25</v>
      </c>
      <c r="I159" s="20">
        <v>253.3</v>
      </c>
      <c r="J159" s="20" t="s">
        <v>267</v>
      </c>
      <c r="K159" s="11">
        <f t="shared" si="2"/>
        <v>8.4433333333333334</v>
      </c>
      <c r="L159" s="12">
        <v>0.6</v>
      </c>
      <c r="M159" s="13" t="s">
        <v>566</v>
      </c>
      <c r="N159" s="13"/>
    </row>
    <row r="160" spans="1:14" ht="45">
      <c r="A160" s="13">
        <v>1103852</v>
      </c>
      <c r="B160" s="13" t="s">
        <v>624</v>
      </c>
      <c r="C160" s="13" t="s">
        <v>625</v>
      </c>
      <c r="D160" s="13" t="s">
        <v>636</v>
      </c>
      <c r="E160" s="10" t="s">
        <v>174</v>
      </c>
      <c r="F160" s="21" t="s">
        <v>638</v>
      </c>
      <c r="G160" s="10" t="s">
        <v>188</v>
      </c>
      <c r="H160" s="10" t="s">
        <v>25</v>
      </c>
      <c r="I160" s="20">
        <v>253.3</v>
      </c>
      <c r="J160" s="20" t="s">
        <v>267</v>
      </c>
      <c r="K160" s="11">
        <f t="shared" si="2"/>
        <v>8.4433333333333334</v>
      </c>
      <c r="L160" s="12">
        <v>0.55000000000000004</v>
      </c>
      <c r="M160" s="13" t="s">
        <v>566</v>
      </c>
      <c r="N160" s="13"/>
    </row>
    <row r="161" spans="1:14" ht="45">
      <c r="A161" s="13">
        <v>1103853</v>
      </c>
      <c r="B161" s="13" t="s">
        <v>624</v>
      </c>
      <c r="C161" s="13" t="s">
        <v>625</v>
      </c>
      <c r="D161" s="13" t="s">
        <v>636</v>
      </c>
      <c r="E161" s="10" t="s">
        <v>174</v>
      </c>
      <c r="F161" s="21" t="s">
        <v>639</v>
      </c>
      <c r="G161" s="10" t="s">
        <v>188</v>
      </c>
      <c r="H161" s="10" t="s">
        <v>25</v>
      </c>
      <c r="I161" s="20">
        <v>417.3</v>
      </c>
      <c r="J161" s="20" t="s">
        <v>267</v>
      </c>
      <c r="K161" s="11">
        <f t="shared" si="2"/>
        <v>13.91</v>
      </c>
      <c r="L161" s="12">
        <v>0.6</v>
      </c>
      <c r="M161" s="13" t="s">
        <v>566</v>
      </c>
      <c r="N161" s="13"/>
    </row>
    <row r="162" spans="1:14" ht="45">
      <c r="A162" s="13">
        <v>1103854</v>
      </c>
      <c r="B162" s="13" t="s">
        <v>624</v>
      </c>
      <c r="C162" s="13" t="s">
        <v>625</v>
      </c>
      <c r="D162" s="13" t="s">
        <v>636</v>
      </c>
      <c r="E162" s="10" t="s">
        <v>174</v>
      </c>
      <c r="F162" s="21" t="s">
        <v>640</v>
      </c>
      <c r="G162" s="10" t="s">
        <v>188</v>
      </c>
      <c r="H162" s="10" t="s">
        <v>25</v>
      </c>
      <c r="I162" s="20">
        <v>442.5</v>
      </c>
      <c r="J162" s="20" t="s">
        <v>267</v>
      </c>
      <c r="K162" s="11">
        <f t="shared" si="2"/>
        <v>14.75</v>
      </c>
      <c r="L162" s="12">
        <v>0.6</v>
      </c>
      <c r="M162" s="13" t="s">
        <v>566</v>
      </c>
      <c r="N162" s="13"/>
    </row>
    <row r="163" spans="1:14" ht="45">
      <c r="A163" s="13">
        <v>1103870</v>
      </c>
      <c r="B163" s="13" t="s">
        <v>624</v>
      </c>
      <c r="C163" s="13" t="s">
        <v>625</v>
      </c>
      <c r="D163" s="13" t="s">
        <v>641</v>
      </c>
      <c r="E163" s="10" t="s">
        <v>174</v>
      </c>
      <c r="F163" s="10" t="s">
        <v>642</v>
      </c>
      <c r="G163" s="10" t="s">
        <v>188</v>
      </c>
      <c r="H163" s="10" t="s">
        <v>25</v>
      </c>
      <c r="I163" s="20">
        <v>347.3</v>
      </c>
      <c r="J163" s="10" t="s">
        <v>267</v>
      </c>
      <c r="K163" s="32">
        <f t="shared" si="2"/>
        <v>11.576666666666666</v>
      </c>
      <c r="L163" s="12">
        <v>0.7</v>
      </c>
      <c r="M163" s="13" t="s">
        <v>566</v>
      </c>
      <c r="N163" s="13"/>
    </row>
    <row r="164" spans="1:14" ht="45">
      <c r="A164" s="13">
        <v>1103871</v>
      </c>
      <c r="B164" s="13" t="s">
        <v>624</v>
      </c>
      <c r="C164" s="13" t="s">
        <v>625</v>
      </c>
      <c r="D164" s="13" t="s">
        <v>641</v>
      </c>
      <c r="E164" s="10" t="s">
        <v>174</v>
      </c>
      <c r="F164" s="10" t="s">
        <v>643</v>
      </c>
      <c r="G164" s="10" t="s">
        <v>188</v>
      </c>
      <c r="H164" s="10" t="s">
        <v>25</v>
      </c>
      <c r="I164" s="20">
        <v>531.9</v>
      </c>
      <c r="J164" s="10" t="s">
        <v>267</v>
      </c>
      <c r="K164" s="32">
        <f t="shared" si="2"/>
        <v>17.73</v>
      </c>
      <c r="L164" s="12">
        <v>0.65</v>
      </c>
      <c r="M164" s="13" t="s">
        <v>566</v>
      </c>
      <c r="N164" s="13"/>
    </row>
    <row r="165" spans="1:14" ht="45">
      <c r="A165" s="46" t="s">
        <v>644</v>
      </c>
      <c r="B165" s="13" t="s">
        <v>624</v>
      </c>
      <c r="C165" s="8" t="s">
        <v>625</v>
      </c>
      <c r="D165" s="13" t="s">
        <v>645</v>
      </c>
      <c r="E165" s="10" t="s">
        <v>174</v>
      </c>
      <c r="F165" s="10" t="s">
        <v>627</v>
      </c>
      <c r="G165" s="10" t="s">
        <v>584</v>
      </c>
      <c r="H165" s="10" t="s">
        <v>330</v>
      </c>
      <c r="I165" s="11">
        <v>282.60000000000002</v>
      </c>
      <c r="J165" s="11" t="s">
        <v>267</v>
      </c>
      <c r="K165" s="32">
        <f t="shared" si="2"/>
        <v>9.42</v>
      </c>
      <c r="L165" s="12">
        <v>0.6</v>
      </c>
      <c r="M165" s="13" t="s">
        <v>566</v>
      </c>
      <c r="N165" s="13"/>
    </row>
    <row r="166" spans="1:14" ht="45">
      <c r="A166" s="46" t="s">
        <v>646</v>
      </c>
      <c r="B166" s="13" t="s">
        <v>624</v>
      </c>
      <c r="C166" s="8" t="s">
        <v>625</v>
      </c>
      <c r="D166" s="13" t="s">
        <v>645</v>
      </c>
      <c r="E166" s="10" t="s">
        <v>174</v>
      </c>
      <c r="F166" s="10" t="s">
        <v>631</v>
      </c>
      <c r="G166" s="10" t="s">
        <v>584</v>
      </c>
      <c r="H166" s="10" t="s">
        <v>330</v>
      </c>
      <c r="I166" s="11">
        <v>419.9</v>
      </c>
      <c r="J166" s="11" t="s">
        <v>267</v>
      </c>
      <c r="K166" s="32">
        <f t="shared" si="2"/>
        <v>13.996666666666666</v>
      </c>
      <c r="L166" s="12">
        <v>0.55000000000000004</v>
      </c>
      <c r="M166" s="13" t="s">
        <v>566</v>
      </c>
      <c r="N166" s="13"/>
    </row>
    <row r="167" spans="1:14" ht="45">
      <c r="A167" s="46" t="s">
        <v>647</v>
      </c>
      <c r="B167" s="13" t="s">
        <v>624</v>
      </c>
      <c r="C167" s="8" t="s">
        <v>625</v>
      </c>
      <c r="D167" s="13" t="s">
        <v>645</v>
      </c>
      <c r="E167" s="10" t="s">
        <v>174</v>
      </c>
      <c r="F167" s="10" t="s">
        <v>633</v>
      </c>
      <c r="G167" s="10" t="s">
        <v>584</v>
      </c>
      <c r="H167" s="10" t="s">
        <v>330</v>
      </c>
      <c r="I167" s="11">
        <v>513.29999999999995</v>
      </c>
      <c r="J167" s="11" t="s">
        <v>267</v>
      </c>
      <c r="K167" s="32">
        <f t="shared" si="2"/>
        <v>17.11</v>
      </c>
      <c r="L167" s="12">
        <v>0.65</v>
      </c>
      <c r="M167" s="13" t="s">
        <v>566</v>
      </c>
      <c r="N167" s="13"/>
    </row>
    <row r="168" spans="1:14" ht="45">
      <c r="A168" s="46" t="s">
        <v>648</v>
      </c>
      <c r="B168" s="13" t="s">
        <v>624</v>
      </c>
      <c r="C168" s="8" t="s">
        <v>625</v>
      </c>
      <c r="D168" s="13" t="s">
        <v>645</v>
      </c>
      <c r="E168" s="10" t="s">
        <v>174</v>
      </c>
      <c r="F168" s="10" t="s">
        <v>635</v>
      </c>
      <c r="G168" s="10" t="s">
        <v>584</v>
      </c>
      <c r="H168" s="10" t="s">
        <v>330</v>
      </c>
      <c r="I168" s="11">
        <v>482.2</v>
      </c>
      <c r="J168" s="11" t="s">
        <v>267</v>
      </c>
      <c r="K168" s="32">
        <f t="shared" si="2"/>
        <v>16.073333333333334</v>
      </c>
      <c r="L168" s="12">
        <v>0.6</v>
      </c>
      <c r="M168" s="13" t="s">
        <v>566</v>
      </c>
      <c r="N168" s="13"/>
    </row>
    <row r="169" spans="1:14" ht="45">
      <c r="A169" s="13">
        <v>1103996</v>
      </c>
      <c r="B169" s="13" t="s">
        <v>624</v>
      </c>
      <c r="C169" s="13" t="s">
        <v>625</v>
      </c>
      <c r="D169" s="13" t="s">
        <v>649</v>
      </c>
      <c r="E169" s="10" t="s">
        <v>174</v>
      </c>
      <c r="F169" s="10" t="s">
        <v>637</v>
      </c>
      <c r="G169" s="10" t="s">
        <v>650</v>
      </c>
      <c r="H169" s="10" t="s">
        <v>21</v>
      </c>
      <c r="I169" s="20">
        <v>253.3</v>
      </c>
      <c r="J169" s="11" t="s">
        <v>267</v>
      </c>
      <c r="K169" s="32">
        <f t="shared" si="2"/>
        <v>8.4433333333333334</v>
      </c>
      <c r="L169" s="12">
        <v>0.6</v>
      </c>
      <c r="M169" s="13" t="s">
        <v>566</v>
      </c>
      <c r="N169" s="13"/>
    </row>
    <row r="170" spans="1:14" ht="45">
      <c r="A170" s="13">
        <v>1103997</v>
      </c>
      <c r="B170" s="13" t="s">
        <v>624</v>
      </c>
      <c r="C170" s="13" t="s">
        <v>625</v>
      </c>
      <c r="D170" s="13" t="s">
        <v>649</v>
      </c>
      <c r="E170" s="10" t="s">
        <v>174</v>
      </c>
      <c r="F170" s="10" t="s">
        <v>638</v>
      </c>
      <c r="G170" s="10" t="s">
        <v>650</v>
      </c>
      <c r="H170" s="10" t="s">
        <v>21</v>
      </c>
      <c r="I170" s="20">
        <v>253.3</v>
      </c>
      <c r="J170" s="11" t="s">
        <v>267</v>
      </c>
      <c r="K170" s="32">
        <f t="shared" si="2"/>
        <v>8.4433333333333334</v>
      </c>
      <c r="L170" s="12">
        <v>0.55000000000000004</v>
      </c>
      <c r="M170" s="13" t="s">
        <v>566</v>
      </c>
      <c r="N170" s="13"/>
    </row>
    <row r="171" spans="1:14" ht="45">
      <c r="A171" s="13">
        <v>1103998</v>
      </c>
      <c r="B171" s="13" t="s">
        <v>624</v>
      </c>
      <c r="C171" s="13" t="s">
        <v>625</v>
      </c>
      <c r="D171" s="13" t="s">
        <v>649</v>
      </c>
      <c r="E171" s="10" t="s">
        <v>174</v>
      </c>
      <c r="F171" s="10" t="s">
        <v>639</v>
      </c>
      <c r="G171" s="10" t="s">
        <v>650</v>
      </c>
      <c r="H171" s="10" t="s">
        <v>21</v>
      </c>
      <c r="I171" s="20">
        <v>417.3</v>
      </c>
      <c r="J171" s="11" t="s">
        <v>267</v>
      </c>
      <c r="K171" s="32">
        <f t="shared" si="2"/>
        <v>13.91</v>
      </c>
      <c r="L171" s="12">
        <v>0.6</v>
      </c>
      <c r="M171" s="13" t="s">
        <v>566</v>
      </c>
      <c r="N171" s="13"/>
    </row>
    <row r="172" spans="1:14" ht="45">
      <c r="A172" s="13">
        <v>1103999</v>
      </c>
      <c r="B172" s="13" t="s">
        <v>624</v>
      </c>
      <c r="C172" s="13" t="s">
        <v>625</v>
      </c>
      <c r="D172" s="13" t="s">
        <v>649</v>
      </c>
      <c r="E172" s="10" t="s">
        <v>174</v>
      </c>
      <c r="F172" s="10" t="s">
        <v>640</v>
      </c>
      <c r="G172" s="10" t="s">
        <v>650</v>
      </c>
      <c r="H172" s="10" t="s">
        <v>21</v>
      </c>
      <c r="I172" s="20">
        <v>442.5</v>
      </c>
      <c r="J172" s="11" t="s">
        <v>267</v>
      </c>
      <c r="K172" s="32">
        <f t="shared" si="2"/>
        <v>14.75</v>
      </c>
      <c r="L172" s="12">
        <v>0.6</v>
      </c>
      <c r="M172" s="13" t="s">
        <v>566</v>
      </c>
      <c r="N172" s="13"/>
    </row>
    <row r="173" spans="1:14" ht="45">
      <c r="A173" s="13">
        <v>1103694</v>
      </c>
      <c r="B173" s="16" t="s">
        <v>624</v>
      </c>
      <c r="C173" s="13" t="s">
        <v>625</v>
      </c>
      <c r="D173" s="13" t="s">
        <v>651</v>
      </c>
      <c r="E173" s="10" t="s">
        <v>174</v>
      </c>
      <c r="F173" s="10" t="s">
        <v>637</v>
      </c>
      <c r="G173" s="10" t="s">
        <v>652</v>
      </c>
      <c r="H173" s="10" t="s">
        <v>653</v>
      </c>
      <c r="I173" s="11">
        <v>253.3</v>
      </c>
      <c r="J173" s="10" t="s">
        <v>267</v>
      </c>
      <c r="K173" s="11">
        <f>+I173/30*1</f>
        <v>8.4433333333333334</v>
      </c>
      <c r="L173" s="12">
        <v>0.6</v>
      </c>
      <c r="M173" s="13" t="s">
        <v>566</v>
      </c>
      <c r="N173" s="13"/>
    </row>
    <row r="174" spans="1:14" ht="45">
      <c r="A174" s="13">
        <v>1103695</v>
      </c>
      <c r="B174" s="16" t="s">
        <v>624</v>
      </c>
      <c r="C174" s="13" t="s">
        <v>625</v>
      </c>
      <c r="D174" s="13" t="s">
        <v>651</v>
      </c>
      <c r="E174" s="10" t="s">
        <v>174</v>
      </c>
      <c r="F174" s="10" t="s">
        <v>638</v>
      </c>
      <c r="G174" s="10" t="s">
        <v>652</v>
      </c>
      <c r="H174" s="10" t="s">
        <v>653</v>
      </c>
      <c r="I174" s="11">
        <v>253.3</v>
      </c>
      <c r="J174" s="10" t="s">
        <v>267</v>
      </c>
      <c r="K174" s="11">
        <f>+I174/30*1</f>
        <v>8.4433333333333334</v>
      </c>
      <c r="L174" s="12">
        <v>0.55000000000000004</v>
      </c>
      <c r="M174" s="13" t="s">
        <v>566</v>
      </c>
      <c r="N174" s="13"/>
    </row>
    <row r="175" spans="1:14" ht="45">
      <c r="A175" s="13">
        <v>1103696</v>
      </c>
      <c r="B175" s="16" t="s">
        <v>624</v>
      </c>
      <c r="C175" s="13" t="s">
        <v>625</v>
      </c>
      <c r="D175" s="13" t="s">
        <v>651</v>
      </c>
      <c r="E175" s="10" t="s">
        <v>174</v>
      </c>
      <c r="F175" s="10" t="s">
        <v>639</v>
      </c>
      <c r="G175" s="10" t="s">
        <v>652</v>
      </c>
      <c r="H175" s="10" t="s">
        <v>653</v>
      </c>
      <c r="I175" s="11">
        <v>417.3</v>
      </c>
      <c r="J175" s="10" t="s">
        <v>267</v>
      </c>
      <c r="K175" s="11">
        <f>+I175/30*1</f>
        <v>13.91</v>
      </c>
      <c r="L175" s="12">
        <v>0.6</v>
      </c>
      <c r="M175" s="13" t="s">
        <v>566</v>
      </c>
      <c r="N175" s="13"/>
    </row>
    <row r="176" spans="1:14" ht="45">
      <c r="A176" s="13">
        <v>1103697</v>
      </c>
      <c r="B176" s="16" t="s">
        <v>624</v>
      </c>
      <c r="C176" s="13" t="s">
        <v>625</v>
      </c>
      <c r="D176" s="13" t="s">
        <v>651</v>
      </c>
      <c r="E176" s="10" t="s">
        <v>174</v>
      </c>
      <c r="F176" s="10" t="s">
        <v>640</v>
      </c>
      <c r="G176" s="10" t="s">
        <v>652</v>
      </c>
      <c r="H176" s="10" t="s">
        <v>653</v>
      </c>
      <c r="I176" s="11">
        <v>442.5</v>
      </c>
      <c r="J176" s="10" t="s">
        <v>267</v>
      </c>
      <c r="K176" s="11">
        <f>+I176/30*1</f>
        <v>14.75</v>
      </c>
      <c r="L176" s="12">
        <v>0.6</v>
      </c>
      <c r="M176" s="13" t="s">
        <v>566</v>
      </c>
      <c r="N176" s="13"/>
    </row>
    <row r="177" spans="1:14" ht="45">
      <c r="A177" s="46" t="s">
        <v>654</v>
      </c>
      <c r="B177" s="16" t="s">
        <v>624</v>
      </c>
      <c r="C177" s="13" t="s">
        <v>625</v>
      </c>
      <c r="D177" s="13" t="s">
        <v>655</v>
      </c>
      <c r="E177" s="10" t="s">
        <v>174</v>
      </c>
      <c r="F177" s="10" t="s">
        <v>656</v>
      </c>
      <c r="G177" s="10" t="s">
        <v>593</v>
      </c>
      <c r="H177" s="10" t="s">
        <v>25</v>
      </c>
      <c r="I177" s="11">
        <v>282.60000000000002</v>
      </c>
      <c r="J177" s="11" t="s">
        <v>267</v>
      </c>
      <c r="K177" s="11">
        <f>I177/30</f>
        <v>9.42</v>
      </c>
      <c r="L177" s="12">
        <v>0.6</v>
      </c>
      <c r="M177" s="13" t="s">
        <v>566</v>
      </c>
      <c r="N177" s="13"/>
    </row>
    <row r="178" spans="1:14" ht="45">
      <c r="A178" s="46" t="s">
        <v>657</v>
      </c>
      <c r="B178" s="16" t="s">
        <v>624</v>
      </c>
      <c r="C178" s="51" t="s">
        <v>625</v>
      </c>
      <c r="D178" s="13" t="s">
        <v>655</v>
      </c>
      <c r="E178" s="30" t="s">
        <v>174</v>
      </c>
      <c r="F178" s="30" t="s">
        <v>658</v>
      </c>
      <c r="G178" s="30" t="s">
        <v>593</v>
      </c>
      <c r="H178" s="30" t="s">
        <v>25</v>
      </c>
      <c r="I178" s="11">
        <v>419.9</v>
      </c>
      <c r="J178" s="11" t="s">
        <v>267</v>
      </c>
      <c r="K178" s="11">
        <f>I178/30</f>
        <v>13.996666666666666</v>
      </c>
      <c r="L178" s="12">
        <v>0.55000000000000004</v>
      </c>
      <c r="M178" s="13" t="s">
        <v>566</v>
      </c>
      <c r="N178" s="13"/>
    </row>
    <row r="179" spans="1:14" ht="45">
      <c r="A179" s="46" t="s">
        <v>659</v>
      </c>
      <c r="B179" s="16" t="s">
        <v>624</v>
      </c>
      <c r="C179" s="51" t="s">
        <v>625</v>
      </c>
      <c r="D179" s="13" t="s">
        <v>655</v>
      </c>
      <c r="E179" s="30" t="s">
        <v>174</v>
      </c>
      <c r="F179" s="30" t="s">
        <v>611</v>
      </c>
      <c r="G179" s="30" t="s">
        <v>593</v>
      </c>
      <c r="H179" s="30" t="s">
        <v>25</v>
      </c>
      <c r="I179" s="11">
        <v>513.29999999999995</v>
      </c>
      <c r="J179" s="11" t="s">
        <v>267</v>
      </c>
      <c r="K179" s="11">
        <f>I179/30</f>
        <v>17.11</v>
      </c>
      <c r="L179" s="12">
        <v>0.65</v>
      </c>
      <c r="M179" s="13" t="s">
        <v>566</v>
      </c>
      <c r="N179" s="13"/>
    </row>
    <row r="180" spans="1:14" ht="45">
      <c r="A180" s="46" t="s">
        <v>660</v>
      </c>
      <c r="B180" s="16" t="s">
        <v>624</v>
      </c>
      <c r="C180" s="51" t="s">
        <v>625</v>
      </c>
      <c r="D180" s="13" t="s">
        <v>655</v>
      </c>
      <c r="E180" s="30" t="s">
        <v>174</v>
      </c>
      <c r="F180" s="30" t="s">
        <v>2413</v>
      </c>
      <c r="G180" s="30" t="s">
        <v>593</v>
      </c>
      <c r="H180" s="30" t="s">
        <v>25</v>
      </c>
      <c r="I180" s="11">
        <v>482.2</v>
      </c>
      <c r="J180" s="11" t="s">
        <v>267</v>
      </c>
      <c r="K180" s="11">
        <f>I180/30</f>
        <v>16.073333333333334</v>
      </c>
      <c r="L180" s="12">
        <v>0.6</v>
      </c>
      <c r="M180" s="13" t="s">
        <v>566</v>
      </c>
      <c r="N180" s="13"/>
    </row>
    <row r="181" spans="1:14" ht="67.5">
      <c r="A181" s="46" t="s">
        <v>661</v>
      </c>
      <c r="B181" s="13" t="s">
        <v>662</v>
      </c>
      <c r="C181" s="13" t="s">
        <v>663</v>
      </c>
      <c r="D181" s="13" t="s">
        <v>664</v>
      </c>
      <c r="E181" s="10" t="s">
        <v>118</v>
      </c>
      <c r="F181" s="10" t="s">
        <v>665</v>
      </c>
      <c r="G181" s="10" t="s">
        <v>2520</v>
      </c>
      <c r="H181" s="10" t="s">
        <v>330</v>
      </c>
      <c r="I181" s="20">
        <v>426.9</v>
      </c>
      <c r="J181" s="11" t="s">
        <v>267</v>
      </c>
      <c r="K181" s="11">
        <f>I181/28</f>
        <v>15.24642857142857</v>
      </c>
      <c r="L181" s="1">
        <v>0.6</v>
      </c>
      <c r="M181" s="13" t="s">
        <v>486</v>
      </c>
      <c r="N181" s="13"/>
    </row>
    <row r="182" spans="1:14" ht="67.5">
      <c r="A182" s="46" t="s">
        <v>666</v>
      </c>
      <c r="B182" s="13" t="s">
        <v>662</v>
      </c>
      <c r="C182" s="13" t="s">
        <v>663</v>
      </c>
      <c r="D182" s="13" t="s">
        <v>667</v>
      </c>
      <c r="E182" s="10" t="s">
        <v>118</v>
      </c>
      <c r="F182" s="10" t="s">
        <v>668</v>
      </c>
      <c r="G182" s="10" t="s">
        <v>2520</v>
      </c>
      <c r="H182" s="10" t="s">
        <v>330</v>
      </c>
      <c r="I182" s="20">
        <v>471.7</v>
      </c>
      <c r="J182" s="11" t="s">
        <v>267</v>
      </c>
      <c r="K182" s="11">
        <f>I182/28</f>
        <v>16.846428571428572</v>
      </c>
      <c r="L182" s="1">
        <v>0.25</v>
      </c>
      <c r="M182" s="13" t="s">
        <v>486</v>
      </c>
      <c r="N182" s="13"/>
    </row>
    <row r="183" spans="1:14" ht="45">
      <c r="A183" s="13">
        <v>1103314</v>
      </c>
      <c r="B183" s="18" t="s">
        <v>669</v>
      </c>
      <c r="C183" s="18" t="s">
        <v>670</v>
      </c>
      <c r="D183" s="18" t="s">
        <v>671</v>
      </c>
      <c r="E183" s="22" t="s">
        <v>274</v>
      </c>
      <c r="F183" s="22" t="s">
        <v>672</v>
      </c>
      <c r="G183" s="22" t="s">
        <v>487</v>
      </c>
      <c r="H183" s="22" t="s">
        <v>21</v>
      </c>
      <c r="I183" s="11">
        <v>267.7</v>
      </c>
      <c r="J183" s="10" t="s">
        <v>267</v>
      </c>
      <c r="K183" s="11">
        <f>I183/30</f>
        <v>8.9233333333333338</v>
      </c>
      <c r="L183" s="12">
        <v>0.4</v>
      </c>
      <c r="M183" s="13" t="s">
        <v>566</v>
      </c>
      <c r="N183" s="121"/>
    </row>
    <row r="184" spans="1:14" ht="45">
      <c r="A184" s="13">
        <v>1103316</v>
      </c>
      <c r="B184" s="18" t="s">
        <v>669</v>
      </c>
      <c r="C184" s="18" t="s">
        <v>670</v>
      </c>
      <c r="D184" s="18" t="s">
        <v>671</v>
      </c>
      <c r="E184" s="22" t="s">
        <v>274</v>
      </c>
      <c r="F184" s="22" t="s">
        <v>656</v>
      </c>
      <c r="G184" s="22" t="s">
        <v>487</v>
      </c>
      <c r="H184" s="22" t="s">
        <v>21</v>
      </c>
      <c r="I184" s="11">
        <v>356.7</v>
      </c>
      <c r="J184" s="10" t="s">
        <v>267</v>
      </c>
      <c r="K184" s="11">
        <f>I184/30</f>
        <v>11.889999999999999</v>
      </c>
      <c r="L184" s="12">
        <v>0.4</v>
      </c>
      <c r="M184" s="13" t="s">
        <v>566</v>
      </c>
      <c r="N184" s="121"/>
    </row>
    <row r="185" spans="1:14" ht="45">
      <c r="A185" s="13">
        <v>1103317</v>
      </c>
      <c r="B185" s="18" t="s">
        <v>669</v>
      </c>
      <c r="C185" s="18" t="s">
        <v>670</v>
      </c>
      <c r="D185" s="18" t="s">
        <v>671</v>
      </c>
      <c r="E185" s="22" t="s">
        <v>274</v>
      </c>
      <c r="F185" s="22" t="s">
        <v>658</v>
      </c>
      <c r="G185" s="22" t="s">
        <v>487</v>
      </c>
      <c r="H185" s="22" t="s">
        <v>21</v>
      </c>
      <c r="I185" s="11">
        <v>396.4</v>
      </c>
      <c r="J185" s="10" t="s">
        <v>267</v>
      </c>
      <c r="K185" s="11">
        <f>I185/30</f>
        <v>13.213333333333333</v>
      </c>
      <c r="L185" s="12">
        <v>0.4</v>
      </c>
      <c r="M185" s="13" t="s">
        <v>566</v>
      </c>
      <c r="N185" s="121"/>
    </row>
    <row r="186" spans="1:14" ht="45">
      <c r="A186" s="13">
        <v>1103315</v>
      </c>
      <c r="B186" s="18" t="s">
        <v>669</v>
      </c>
      <c r="C186" s="18" t="s">
        <v>670</v>
      </c>
      <c r="D186" s="18" t="s">
        <v>671</v>
      </c>
      <c r="E186" s="22" t="s">
        <v>274</v>
      </c>
      <c r="F186" s="22" t="s">
        <v>611</v>
      </c>
      <c r="G186" s="22" t="s">
        <v>487</v>
      </c>
      <c r="H186" s="22" t="s">
        <v>21</v>
      </c>
      <c r="I186" s="11">
        <v>401.4</v>
      </c>
      <c r="J186" s="10" t="s">
        <v>267</v>
      </c>
      <c r="K186" s="11">
        <f>I186/30</f>
        <v>13.379999999999999</v>
      </c>
      <c r="L186" s="12">
        <v>0.4</v>
      </c>
      <c r="M186" s="13" t="s">
        <v>566</v>
      </c>
      <c r="N186" s="121"/>
    </row>
    <row r="187" spans="1:14" ht="45">
      <c r="A187" s="46" t="s">
        <v>673</v>
      </c>
      <c r="B187" s="13" t="s">
        <v>669</v>
      </c>
      <c r="C187" s="13" t="s">
        <v>670</v>
      </c>
      <c r="D187" s="13" t="s">
        <v>674</v>
      </c>
      <c r="E187" s="10" t="s">
        <v>274</v>
      </c>
      <c r="F187" s="10" t="s">
        <v>2491</v>
      </c>
      <c r="G187" s="10" t="s">
        <v>675</v>
      </c>
      <c r="H187" s="10" t="s">
        <v>25</v>
      </c>
      <c r="I187" s="11">
        <v>332.9</v>
      </c>
      <c r="J187" s="10" t="s">
        <v>267</v>
      </c>
      <c r="K187" s="11">
        <f>I187/28</f>
        <v>11.889285714285714</v>
      </c>
      <c r="L187" s="2">
        <v>0.4</v>
      </c>
      <c r="M187" s="13" t="s">
        <v>566</v>
      </c>
      <c r="N187" s="13"/>
    </row>
    <row r="188" spans="1:14" ht="45">
      <c r="A188" s="46" t="s">
        <v>676</v>
      </c>
      <c r="B188" s="13" t="s">
        <v>669</v>
      </c>
      <c r="C188" s="13" t="s">
        <v>670</v>
      </c>
      <c r="D188" s="13" t="s">
        <v>674</v>
      </c>
      <c r="E188" s="10" t="s">
        <v>274</v>
      </c>
      <c r="F188" s="10" t="s">
        <v>2492</v>
      </c>
      <c r="G188" s="10" t="s">
        <v>675</v>
      </c>
      <c r="H188" s="10" t="s">
        <v>25</v>
      </c>
      <c r="I188" s="11">
        <v>370</v>
      </c>
      <c r="J188" s="10" t="s">
        <v>267</v>
      </c>
      <c r="K188" s="11">
        <f>I188/28</f>
        <v>13.214285714285714</v>
      </c>
      <c r="L188" s="2">
        <v>0.4</v>
      </c>
      <c r="M188" s="13" t="s">
        <v>566</v>
      </c>
      <c r="N188" s="13"/>
    </row>
    <row r="189" spans="1:14" ht="45">
      <c r="A189" s="46" t="s">
        <v>677</v>
      </c>
      <c r="B189" s="13" t="s">
        <v>669</v>
      </c>
      <c r="C189" s="13" t="s">
        <v>670</v>
      </c>
      <c r="D189" s="13" t="s">
        <v>674</v>
      </c>
      <c r="E189" s="10" t="s">
        <v>274</v>
      </c>
      <c r="F189" s="10" t="s">
        <v>2493</v>
      </c>
      <c r="G189" s="10" t="s">
        <v>675</v>
      </c>
      <c r="H189" s="10" t="s">
        <v>25</v>
      </c>
      <c r="I189" s="11">
        <v>374.6</v>
      </c>
      <c r="J189" s="10" t="s">
        <v>267</v>
      </c>
      <c r="K189" s="11">
        <f>I189/28</f>
        <v>13.37857142857143</v>
      </c>
      <c r="L189" s="2">
        <v>0.4</v>
      </c>
      <c r="M189" s="13" t="s">
        <v>566</v>
      </c>
      <c r="N189" s="13"/>
    </row>
    <row r="190" spans="1:14" ht="45">
      <c r="A190" s="46" t="s">
        <v>678</v>
      </c>
      <c r="B190" s="13" t="s">
        <v>669</v>
      </c>
      <c r="C190" s="13" t="s">
        <v>670</v>
      </c>
      <c r="D190" s="13" t="s">
        <v>674</v>
      </c>
      <c r="E190" s="10" t="s">
        <v>274</v>
      </c>
      <c r="F190" s="10" t="s">
        <v>2494</v>
      </c>
      <c r="G190" s="10" t="s">
        <v>675</v>
      </c>
      <c r="H190" s="10" t="s">
        <v>25</v>
      </c>
      <c r="I190" s="11">
        <v>490.4</v>
      </c>
      <c r="J190" s="10" t="s">
        <v>267</v>
      </c>
      <c r="K190" s="11">
        <f>I190/28</f>
        <v>17.514285714285712</v>
      </c>
      <c r="L190" s="2">
        <v>0.4</v>
      </c>
      <c r="M190" s="13" t="s">
        <v>566</v>
      </c>
      <c r="N190" s="13"/>
    </row>
    <row r="191" spans="1:14" ht="45">
      <c r="A191" s="46" t="s">
        <v>679</v>
      </c>
      <c r="B191" s="13" t="s">
        <v>669</v>
      </c>
      <c r="C191" s="13" t="s">
        <v>670</v>
      </c>
      <c r="D191" s="13" t="s">
        <v>680</v>
      </c>
      <c r="E191" s="10" t="s">
        <v>274</v>
      </c>
      <c r="F191" s="10" t="s">
        <v>672</v>
      </c>
      <c r="G191" s="10" t="s">
        <v>681</v>
      </c>
      <c r="H191" s="10" t="s">
        <v>682</v>
      </c>
      <c r="I191" s="11">
        <v>267.7</v>
      </c>
      <c r="J191" s="10" t="s">
        <v>267</v>
      </c>
      <c r="K191" s="32">
        <f>I191/30</f>
        <v>8.9233333333333338</v>
      </c>
      <c r="L191" s="12">
        <v>0.4</v>
      </c>
      <c r="M191" s="13" t="s">
        <v>566</v>
      </c>
      <c r="N191" s="13"/>
    </row>
    <row r="192" spans="1:14" ht="45">
      <c r="A192" s="46" t="s">
        <v>683</v>
      </c>
      <c r="B192" s="13" t="s">
        <v>669</v>
      </c>
      <c r="C192" s="13" t="s">
        <v>670</v>
      </c>
      <c r="D192" s="13" t="s">
        <v>680</v>
      </c>
      <c r="E192" s="10" t="s">
        <v>274</v>
      </c>
      <c r="F192" s="10" t="s">
        <v>656</v>
      </c>
      <c r="G192" s="10" t="s">
        <v>681</v>
      </c>
      <c r="H192" s="10" t="s">
        <v>682</v>
      </c>
      <c r="I192" s="11">
        <v>356.7</v>
      </c>
      <c r="J192" s="10" t="s">
        <v>267</v>
      </c>
      <c r="K192" s="32">
        <f>I192/30</f>
        <v>11.889999999999999</v>
      </c>
      <c r="L192" s="3">
        <v>0.4</v>
      </c>
      <c r="M192" s="13" t="s">
        <v>566</v>
      </c>
      <c r="N192" s="13"/>
    </row>
    <row r="193" spans="1:14" ht="45">
      <c r="A193" s="46" t="s">
        <v>684</v>
      </c>
      <c r="B193" s="13" t="s">
        <v>669</v>
      </c>
      <c r="C193" s="13" t="s">
        <v>670</v>
      </c>
      <c r="D193" s="13" t="s">
        <v>680</v>
      </c>
      <c r="E193" s="10" t="s">
        <v>274</v>
      </c>
      <c r="F193" s="10" t="s">
        <v>611</v>
      </c>
      <c r="G193" s="10" t="s">
        <v>681</v>
      </c>
      <c r="H193" s="10" t="s">
        <v>682</v>
      </c>
      <c r="I193" s="11">
        <v>401.4</v>
      </c>
      <c r="J193" s="10" t="s">
        <v>267</v>
      </c>
      <c r="K193" s="32">
        <f>I193/30</f>
        <v>13.379999999999999</v>
      </c>
      <c r="L193" s="3">
        <v>0.4</v>
      </c>
      <c r="M193" s="13" t="s">
        <v>566</v>
      </c>
      <c r="N193" s="13"/>
    </row>
    <row r="194" spans="1:14" ht="45">
      <c r="A194" s="46" t="s">
        <v>685</v>
      </c>
      <c r="B194" s="13" t="s">
        <v>669</v>
      </c>
      <c r="C194" s="51" t="s">
        <v>670</v>
      </c>
      <c r="D194" s="51" t="s">
        <v>686</v>
      </c>
      <c r="E194" s="30" t="s">
        <v>274</v>
      </c>
      <c r="F194" s="30" t="s">
        <v>656</v>
      </c>
      <c r="G194" s="30" t="s">
        <v>256</v>
      </c>
      <c r="H194" s="30" t="s">
        <v>21</v>
      </c>
      <c r="I194" s="11">
        <v>356.7</v>
      </c>
      <c r="J194" s="10" t="s">
        <v>267</v>
      </c>
      <c r="K194" s="11">
        <f>+I194/30</f>
        <v>11.889999999999999</v>
      </c>
      <c r="L194" s="3">
        <v>0.4</v>
      </c>
      <c r="M194" s="13" t="s">
        <v>566</v>
      </c>
      <c r="N194" s="13"/>
    </row>
    <row r="195" spans="1:14" ht="45">
      <c r="A195" s="46" t="s">
        <v>687</v>
      </c>
      <c r="B195" s="13" t="s">
        <v>669</v>
      </c>
      <c r="C195" s="51" t="s">
        <v>670</v>
      </c>
      <c r="D195" s="51" t="s">
        <v>686</v>
      </c>
      <c r="E195" s="30" t="s">
        <v>274</v>
      </c>
      <c r="F195" s="30" t="s">
        <v>658</v>
      </c>
      <c r="G195" s="30" t="s">
        <v>256</v>
      </c>
      <c r="H195" s="30" t="s">
        <v>21</v>
      </c>
      <c r="I195" s="11">
        <v>396.4</v>
      </c>
      <c r="J195" s="10" t="s">
        <v>267</v>
      </c>
      <c r="K195" s="11">
        <f>+I195/30</f>
        <v>13.213333333333333</v>
      </c>
      <c r="L195" s="3">
        <v>0.4</v>
      </c>
      <c r="M195" s="13" t="s">
        <v>566</v>
      </c>
      <c r="N195" s="13"/>
    </row>
    <row r="196" spans="1:14" ht="45">
      <c r="A196" s="46" t="s">
        <v>688</v>
      </c>
      <c r="B196" s="13" t="s">
        <v>669</v>
      </c>
      <c r="C196" s="51" t="s">
        <v>670</v>
      </c>
      <c r="D196" s="51" t="s">
        <v>686</v>
      </c>
      <c r="E196" s="30" t="s">
        <v>274</v>
      </c>
      <c r="F196" s="30" t="s">
        <v>689</v>
      </c>
      <c r="G196" s="30" t="s">
        <v>256</v>
      </c>
      <c r="H196" s="30" t="s">
        <v>21</v>
      </c>
      <c r="I196" s="11">
        <v>401.4</v>
      </c>
      <c r="J196" s="10" t="s">
        <v>267</v>
      </c>
      <c r="K196" s="11">
        <f>+I196/30</f>
        <v>13.379999999999999</v>
      </c>
      <c r="L196" s="3">
        <v>0.4</v>
      </c>
      <c r="M196" s="13" t="s">
        <v>566</v>
      </c>
      <c r="N196" s="13"/>
    </row>
    <row r="197" spans="1:14" ht="45">
      <c r="A197" s="46" t="s">
        <v>690</v>
      </c>
      <c r="B197" s="13" t="s">
        <v>669</v>
      </c>
      <c r="C197" s="13" t="s">
        <v>670</v>
      </c>
      <c r="D197" s="13" t="s">
        <v>686</v>
      </c>
      <c r="E197" s="10" t="s">
        <v>274</v>
      </c>
      <c r="F197" s="10" t="s">
        <v>2413</v>
      </c>
      <c r="G197" s="10" t="s">
        <v>256</v>
      </c>
      <c r="H197" s="10" t="s">
        <v>21</v>
      </c>
      <c r="I197" s="11">
        <v>525.4</v>
      </c>
      <c r="J197" s="10" t="s">
        <v>267</v>
      </c>
      <c r="K197" s="11">
        <f>+I197/30</f>
        <v>17.513333333333332</v>
      </c>
      <c r="L197" s="3">
        <v>0.4</v>
      </c>
      <c r="M197" s="13" t="s">
        <v>566</v>
      </c>
      <c r="N197" s="13"/>
    </row>
    <row r="198" spans="1:14" ht="45">
      <c r="A198" s="46" t="s">
        <v>2465</v>
      </c>
      <c r="B198" s="46" t="s">
        <v>669</v>
      </c>
      <c r="C198" s="70" t="s">
        <v>670</v>
      </c>
      <c r="D198" s="70" t="s">
        <v>2466</v>
      </c>
      <c r="E198" s="71" t="s">
        <v>274</v>
      </c>
      <c r="F198" s="22" t="s">
        <v>672</v>
      </c>
      <c r="G198" s="71" t="s">
        <v>253</v>
      </c>
      <c r="H198" s="71" t="s">
        <v>21</v>
      </c>
      <c r="I198" s="11">
        <v>267.7</v>
      </c>
      <c r="J198" s="10" t="s">
        <v>267</v>
      </c>
      <c r="K198" s="108">
        <f t="shared" ref="K198:K206" si="3">I198/30</f>
        <v>8.9233333333333338</v>
      </c>
      <c r="L198" s="12">
        <v>0.4</v>
      </c>
      <c r="M198" s="13" t="s">
        <v>566</v>
      </c>
      <c r="N198" s="13"/>
    </row>
    <row r="199" spans="1:14" ht="45">
      <c r="A199" s="46" t="s">
        <v>2467</v>
      </c>
      <c r="B199" s="46" t="s">
        <v>669</v>
      </c>
      <c r="C199" s="70" t="s">
        <v>670</v>
      </c>
      <c r="D199" s="70" t="s">
        <v>2466</v>
      </c>
      <c r="E199" s="71" t="s">
        <v>274</v>
      </c>
      <c r="F199" s="10" t="s">
        <v>656</v>
      </c>
      <c r="G199" s="71" t="s">
        <v>253</v>
      </c>
      <c r="H199" s="71" t="s">
        <v>21</v>
      </c>
      <c r="I199" s="11">
        <v>356.7</v>
      </c>
      <c r="J199" s="10" t="s">
        <v>267</v>
      </c>
      <c r="K199" s="108">
        <f t="shared" si="3"/>
        <v>11.889999999999999</v>
      </c>
      <c r="L199" s="3">
        <v>0.4</v>
      </c>
      <c r="M199" s="13" t="s">
        <v>566</v>
      </c>
      <c r="N199" s="13"/>
    </row>
    <row r="200" spans="1:14" ht="45">
      <c r="A200" s="46" t="s">
        <v>2468</v>
      </c>
      <c r="B200" s="46" t="s">
        <v>669</v>
      </c>
      <c r="C200" s="70" t="s">
        <v>670</v>
      </c>
      <c r="D200" s="70" t="s">
        <v>2466</v>
      </c>
      <c r="E200" s="71" t="s">
        <v>274</v>
      </c>
      <c r="F200" s="30" t="s">
        <v>658</v>
      </c>
      <c r="G200" s="71" t="s">
        <v>253</v>
      </c>
      <c r="H200" s="71" t="s">
        <v>21</v>
      </c>
      <c r="I200" s="11">
        <v>396.4</v>
      </c>
      <c r="J200" s="10" t="s">
        <v>267</v>
      </c>
      <c r="K200" s="108">
        <f t="shared" si="3"/>
        <v>13.213333333333333</v>
      </c>
      <c r="L200" s="3">
        <v>0.4</v>
      </c>
      <c r="M200" s="13" t="s">
        <v>566</v>
      </c>
      <c r="N200" s="13"/>
    </row>
    <row r="201" spans="1:14" ht="45">
      <c r="A201" s="46" t="s">
        <v>2469</v>
      </c>
      <c r="B201" s="46" t="s">
        <v>669</v>
      </c>
      <c r="C201" s="70" t="s">
        <v>670</v>
      </c>
      <c r="D201" s="70" t="s">
        <v>2466</v>
      </c>
      <c r="E201" s="71" t="s">
        <v>274</v>
      </c>
      <c r="F201" s="30" t="s">
        <v>689</v>
      </c>
      <c r="G201" s="71" t="s">
        <v>253</v>
      </c>
      <c r="H201" s="71" t="s">
        <v>21</v>
      </c>
      <c r="I201" s="11">
        <v>401.4</v>
      </c>
      <c r="J201" s="10" t="s">
        <v>267</v>
      </c>
      <c r="K201" s="108">
        <f t="shared" si="3"/>
        <v>13.379999999999999</v>
      </c>
      <c r="L201" s="3">
        <v>0.4</v>
      </c>
      <c r="M201" s="13" t="s">
        <v>566</v>
      </c>
      <c r="N201" s="13"/>
    </row>
    <row r="202" spans="1:14" ht="67.5">
      <c r="A202" s="46" t="s">
        <v>691</v>
      </c>
      <c r="B202" s="13" t="s">
        <v>692</v>
      </c>
      <c r="C202" s="13" t="s">
        <v>693</v>
      </c>
      <c r="D202" s="13" t="s">
        <v>694</v>
      </c>
      <c r="E202" s="10" t="s">
        <v>174</v>
      </c>
      <c r="F202" s="10" t="s">
        <v>695</v>
      </c>
      <c r="G202" s="10" t="s">
        <v>696</v>
      </c>
      <c r="H202" s="10" t="s">
        <v>697</v>
      </c>
      <c r="I202" s="20">
        <v>300</v>
      </c>
      <c r="J202" s="32" t="s">
        <v>267</v>
      </c>
      <c r="K202" s="11">
        <f t="shared" si="3"/>
        <v>10</v>
      </c>
      <c r="L202" s="12">
        <v>0.5</v>
      </c>
      <c r="M202" s="13" t="s">
        <v>486</v>
      </c>
      <c r="N202" s="13"/>
    </row>
    <row r="203" spans="1:14" ht="67.5">
      <c r="A203" s="46" t="s">
        <v>698</v>
      </c>
      <c r="B203" s="13" t="s">
        <v>692</v>
      </c>
      <c r="C203" s="13" t="s">
        <v>693</v>
      </c>
      <c r="D203" s="13" t="s">
        <v>694</v>
      </c>
      <c r="E203" s="10" t="s">
        <v>174</v>
      </c>
      <c r="F203" s="10" t="s">
        <v>699</v>
      </c>
      <c r="G203" s="10" t="s">
        <v>696</v>
      </c>
      <c r="H203" s="10" t="s">
        <v>697</v>
      </c>
      <c r="I203" s="20">
        <v>384.4</v>
      </c>
      <c r="J203" s="32" t="s">
        <v>267</v>
      </c>
      <c r="K203" s="11">
        <f t="shared" si="3"/>
        <v>12.813333333333333</v>
      </c>
      <c r="L203" s="12">
        <v>0.5</v>
      </c>
      <c r="M203" s="13" t="s">
        <v>486</v>
      </c>
      <c r="N203" s="13"/>
    </row>
    <row r="204" spans="1:14" ht="67.5">
      <c r="A204" s="46" t="s">
        <v>700</v>
      </c>
      <c r="B204" s="13" t="s">
        <v>692</v>
      </c>
      <c r="C204" s="13" t="s">
        <v>693</v>
      </c>
      <c r="D204" s="13" t="s">
        <v>694</v>
      </c>
      <c r="E204" s="10" t="s">
        <v>174</v>
      </c>
      <c r="F204" s="10" t="s">
        <v>701</v>
      </c>
      <c r="G204" s="10" t="s">
        <v>696</v>
      </c>
      <c r="H204" s="10" t="s">
        <v>697</v>
      </c>
      <c r="I204" s="20">
        <v>410</v>
      </c>
      <c r="J204" s="32" t="s">
        <v>267</v>
      </c>
      <c r="K204" s="11">
        <f t="shared" si="3"/>
        <v>13.666666666666666</v>
      </c>
      <c r="L204" s="12">
        <v>0.5</v>
      </c>
      <c r="M204" s="13" t="s">
        <v>486</v>
      </c>
      <c r="N204" s="13"/>
    </row>
    <row r="205" spans="1:14" ht="67.5">
      <c r="A205" s="46" t="s">
        <v>702</v>
      </c>
      <c r="B205" s="13" t="s">
        <v>692</v>
      </c>
      <c r="C205" s="13" t="s">
        <v>693</v>
      </c>
      <c r="D205" s="13" t="s">
        <v>694</v>
      </c>
      <c r="E205" s="10" t="s">
        <v>174</v>
      </c>
      <c r="F205" s="10" t="s">
        <v>703</v>
      </c>
      <c r="G205" s="10" t="s">
        <v>696</v>
      </c>
      <c r="H205" s="10" t="s">
        <v>697</v>
      </c>
      <c r="I205" s="20">
        <v>765.5</v>
      </c>
      <c r="J205" s="32" t="s">
        <v>267</v>
      </c>
      <c r="K205" s="11">
        <f t="shared" si="3"/>
        <v>25.516666666666666</v>
      </c>
      <c r="L205" s="12">
        <v>0.6</v>
      </c>
      <c r="M205" s="13" t="s">
        <v>486</v>
      </c>
      <c r="N205" s="13"/>
    </row>
    <row r="206" spans="1:14" ht="67.5">
      <c r="A206" s="46" t="s">
        <v>704</v>
      </c>
      <c r="B206" s="13" t="s">
        <v>692</v>
      </c>
      <c r="C206" s="13" t="s">
        <v>693</v>
      </c>
      <c r="D206" s="13" t="s">
        <v>694</v>
      </c>
      <c r="E206" s="10" t="s">
        <v>174</v>
      </c>
      <c r="F206" s="10" t="s">
        <v>705</v>
      </c>
      <c r="G206" s="10" t="s">
        <v>696</v>
      </c>
      <c r="H206" s="10" t="s">
        <v>697</v>
      </c>
      <c r="I206" s="20">
        <v>791.1</v>
      </c>
      <c r="J206" s="32" t="s">
        <v>267</v>
      </c>
      <c r="K206" s="11">
        <f t="shared" si="3"/>
        <v>26.37</v>
      </c>
      <c r="L206" s="12">
        <v>0.6</v>
      </c>
      <c r="M206" s="13" t="s">
        <v>486</v>
      </c>
      <c r="N206" s="13"/>
    </row>
    <row r="207" spans="1:14" s="107" customFormat="1" ht="135">
      <c r="A207" s="46" t="s">
        <v>706</v>
      </c>
      <c r="B207" s="13" t="s">
        <v>692</v>
      </c>
      <c r="C207" s="13" t="s">
        <v>693</v>
      </c>
      <c r="D207" s="13" t="s">
        <v>707</v>
      </c>
      <c r="E207" s="10" t="s">
        <v>133</v>
      </c>
      <c r="F207" s="10" t="s">
        <v>708</v>
      </c>
      <c r="G207" s="10" t="s">
        <v>709</v>
      </c>
      <c r="H207" s="10" t="s">
        <v>710</v>
      </c>
      <c r="I207" s="20">
        <v>686.3</v>
      </c>
      <c r="J207" s="32" t="s">
        <v>267</v>
      </c>
      <c r="K207" s="11">
        <f t="shared" ref="K207:K214" si="4">+I207/30</f>
        <v>22.876666666666665</v>
      </c>
      <c r="L207" s="12">
        <v>0.75</v>
      </c>
      <c r="M207" s="13" t="s">
        <v>486</v>
      </c>
      <c r="N207" s="13"/>
    </row>
    <row r="208" spans="1:14" s="107" customFormat="1" ht="135">
      <c r="A208" s="46" t="s">
        <v>711</v>
      </c>
      <c r="B208" s="13" t="s">
        <v>692</v>
      </c>
      <c r="C208" s="13" t="s">
        <v>693</v>
      </c>
      <c r="D208" s="13" t="s">
        <v>707</v>
      </c>
      <c r="E208" s="10" t="s">
        <v>133</v>
      </c>
      <c r="F208" s="10" t="s">
        <v>712</v>
      </c>
      <c r="G208" s="10" t="s">
        <v>709</v>
      </c>
      <c r="H208" s="10" t="s">
        <v>710</v>
      </c>
      <c r="I208" s="20">
        <v>778.4</v>
      </c>
      <c r="J208" s="32" t="s">
        <v>267</v>
      </c>
      <c r="K208" s="11">
        <f t="shared" si="4"/>
        <v>25.946666666666665</v>
      </c>
      <c r="L208" s="12">
        <v>0.75</v>
      </c>
      <c r="M208" s="13" t="s">
        <v>486</v>
      </c>
      <c r="N208" s="13"/>
    </row>
    <row r="209" spans="1:14" s="107" customFormat="1" ht="135">
      <c r="A209" s="46" t="s">
        <v>713</v>
      </c>
      <c r="B209" s="13" t="s">
        <v>692</v>
      </c>
      <c r="C209" s="13" t="s">
        <v>693</v>
      </c>
      <c r="D209" s="13" t="s">
        <v>707</v>
      </c>
      <c r="E209" s="10" t="s">
        <v>133</v>
      </c>
      <c r="F209" s="10" t="s">
        <v>714</v>
      </c>
      <c r="G209" s="10" t="s">
        <v>709</v>
      </c>
      <c r="H209" s="10" t="s">
        <v>710</v>
      </c>
      <c r="I209" s="20">
        <v>795.5</v>
      </c>
      <c r="J209" s="32" t="s">
        <v>267</v>
      </c>
      <c r="K209" s="11">
        <f t="shared" si="4"/>
        <v>26.516666666666666</v>
      </c>
      <c r="L209" s="12">
        <v>0.75</v>
      </c>
      <c r="M209" s="13" t="s">
        <v>486</v>
      </c>
      <c r="N209" s="13"/>
    </row>
    <row r="210" spans="1:14" s="107" customFormat="1" ht="135">
      <c r="A210" s="46" t="s">
        <v>715</v>
      </c>
      <c r="B210" s="13" t="s">
        <v>692</v>
      </c>
      <c r="C210" s="13" t="s">
        <v>693</v>
      </c>
      <c r="D210" s="13" t="s">
        <v>707</v>
      </c>
      <c r="E210" s="10" t="s">
        <v>133</v>
      </c>
      <c r="F210" s="10" t="s">
        <v>716</v>
      </c>
      <c r="G210" s="10" t="s">
        <v>709</v>
      </c>
      <c r="H210" s="10" t="s">
        <v>710</v>
      </c>
      <c r="I210" s="20">
        <v>844.7</v>
      </c>
      <c r="J210" s="32" t="s">
        <v>267</v>
      </c>
      <c r="K210" s="11">
        <f t="shared" si="4"/>
        <v>28.15666666666667</v>
      </c>
      <c r="L210" s="12">
        <v>0.75</v>
      </c>
      <c r="M210" s="13" t="s">
        <v>486</v>
      </c>
      <c r="N210" s="13"/>
    </row>
    <row r="211" spans="1:14" s="107" customFormat="1" ht="45">
      <c r="A211" s="13">
        <v>1103690</v>
      </c>
      <c r="B211" s="16" t="s">
        <v>692</v>
      </c>
      <c r="C211" s="13" t="s">
        <v>693</v>
      </c>
      <c r="D211" s="13" t="s">
        <v>717</v>
      </c>
      <c r="E211" s="10" t="s">
        <v>174</v>
      </c>
      <c r="F211" s="10" t="s">
        <v>699</v>
      </c>
      <c r="G211" s="10" t="s">
        <v>652</v>
      </c>
      <c r="H211" s="10" t="s">
        <v>653</v>
      </c>
      <c r="I211" s="11">
        <v>384.4</v>
      </c>
      <c r="J211" s="11" t="s">
        <v>267</v>
      </c>
      <c r="K211" s="11">
        <f t="shared" si="4"/>
        <v>12.813333333333333</v>
      </c>
      <c r="L211" s="12">
        <v>0.5</v>
      </c>
      <c r="M211" s="13" t="s">
        <v>486</v>
      </c>
      <c r="N211" s="13"/>
    </row>
    <row r="212" spans="1:14" s="107" customFormat="1" ht="45">
      <c r="A212" s="13">
        <v>1103691</v>
      </c>
      <c r="B212" s="16" t="s">
        <v>692</v>
      </c>
      <c r="C212" s="13" t="s">
        <v>693</v>
      </c>
      <c r="D212" s="13" t="s">
        <v>717</v>
      </c>
      <c r="E212" s="10" t="s">
        <v>174</v>
      </c>
      <c r="F212" s="10" t="s">
        <v>701</v>
      </c>
      <c r="G212" s="10" t="s">
        <v>652</v>
      </c>
      <c r="H212" s="10" t="s">
        <v>653</v>
      </c>
      <c r="I212" s="11">
        <v>410</v>
      </c>
      <c r="J212" s="11" t="s">
        <v>267</v>
      </c>
      <c r="K212" s="11">
        <f t="shared" si="4"/>
        <v>13.666666666666666</v>
      </c>
      <c r="L212" s="12">
        <v>0.5</v>
      </c>
      <c r="M212" s="13" t="s">
        <v>486</v>
      </c>
      <c r="N212" s="13"/>
    </row>
    <row r="213" spans="1:14" s="107" customFormat="1" ht="45">
      <c r="A213" s="13">
        <v>1103692</v>
      </c>
      <c r="B213" s="16" t="s">
        <v>692</v>
      </c>
      <c r="C213" s="13" t="s">
        <v>693</v>
      </c>
      <c r="D213" s="13" t="s">
        <v>717</v>
      </c>
      <c r="E213" s="10" t="s">
        <v>174</v>
      </c>
      <c r="F213" s="10" t="s">
        <v>703</v>
      </c>
      <c r="G213" s="10" t="s">
        <v>652</v>
      </c>
      <c r="H213" s="10" t="s">
        <v>653</v>
      </c>
      <c r="I213" s="11">
        <v>501.3</v>
      </c>
      <c r="J213" s="11" t="s">
        <v>267</v>
      </c>
      <c r="K213" s="11">
        <f t="shared" si="4"/>
        <v>16.71</v>
      </c>
      <c r="L213" s="12">
        <v>0.4</v>
      </c>
      <c r="M213" s="13" t="s">
        <v>486</v>
      </c>
      <c r="N213" s="13"/>
    </row>
    <row r="214" spans="1:14" s="107" customFormat="1" ht="45">
      <c r="A214" s="13">
        <v>1103693</v>
      </c>
      <c r="B214" s="16" t="s">
        <v>692</v>
      </c>
      <c r="C214" s="13" t="s">
        <v>693</v>
      </c>
      <c r="D214" s="13" t="s">
        <v>717</v>
      </c>
      <c r="E214" s="10" t="s">
        <v>174</v>
      </c>
      <c r="F214" s="10" t="s">
        <v>705</v>
      </c>
      <c r="G214" s="10" t="s">
        <v>652</v>
      </c>
      <c r="H214" s="10" t="s">
        <v>653</v>
      </c>
      <c r="I214" s="11">
        <v>555.5</v>
      </c>
      <c r="J214" s="11" t="s">
        <v>267</v>
      </c>
      <c r="K214" s="11">
        <f t="shared" si="4"/>
        <v>18.516666666666666</v>
      </c>
      <c r="L214" s="12">
        <v>0.4</v>
      </c>
      <c r="M214" s="13" t="s">
        <v>486</v>
      </c>
      <c r="N214" s="13"/>
    </row>
    <row r="215" spans="1:14" ht="45">
      <c r="A215" s="46" t="s">
        <v>718</v>
      </c>
      <c r="B215" s="13" t="s">
        <v>719</v>
      </c>
      <c r="C215" s="13" t="s">
        <v>720</v>
      </c>
      <c r="D215" s="13" t="s">
        <v>721</v>
      </c>
      <c r="E215" s="10" t="s">
        <v>133</v>
      </c>
      <c r="F215" s="10" t="s">
        <v>197</v>
      </c>
      <c r="G215" s="10" t="s">
        <v>256</v>
      </c>
      <c r="H215" s="10" t="s">
        <v>21</v>
      </c>
      <c r="I215" s="20">
        <v>172.8</v>
      </c>
      <c r="J215" s="10" t="s">
        <v>400</v>
      </c>
      <c r="K215" s="11">
        <f>I215/30/50*50</f>
        <v>5.7600000000000007</v>
      </c>
      <c r="L215" s="1">
        <v>0.35</v>
      </c>
      <c r="M215" s="13" t="s">
        <v>722</v>
      </c>
      <c r="N215" s="13"/>
    </row>
    <row r="216" spans="1:14" ht="45">
      <c r="A216" s="46" t="s">
        <v>723</v>
      </c>
      <c r="B216" s="13" t="s">
        <v>719</v>
      </c>
      <c r="C216" s="13" t="s">
        <v>720</v>
      </c>
      <c r="D216" s="13" t="s">
        <v>721</v>
      </c>
      <c r="E216" s="10" t="s">
        <v>133</v>
      </c>
      <c r="F216" s="10" t="s">
        <v>199</v>
      </c>
      <c r="G216" s="10" t="s">
        <v>256</v>
      </c>
      <c r="H216" s="10" t="s">
        <v>21</v>
      </c>
      <c r="I216" s="20">
        <v>372.9</v>
      </c>
      <c r="J216" s="10" t="s">
        <v>400</v>
      </c>
      <c r="K216" s="11">
        <f>I216/30/100*50</f>
        <v>6.2149999999999999</v>
      </c>
      <c r="L216" s="1">
        <v>0.35</v>
      </c>
      <c r="M216" s="13" t="s">
        <v>722</v>
      </c>
      <c r="N216" s="13"/>
    </row>
    <row r="217" spans="1:14" ht="45">
      <c r="A217" s="46" t="s">
        <v>724</v>
      </c>
      <c r="B217" s="13" t="s">
        <v>719</v>
      </c>
      <c r="C217" s="13" t="s">
        <v>720</v>
      </c>
      <c r="D217" s="13" t="s">
        <v>725</v>
      </c>
      <c r="E217" s="10" t="s">
        <v>133</v>
      </c>
      <c r="F217" s="10" t="s">
        <v>197</v>
      </c>
      <c r="G217" s="10" t="s">
        <v>252</v>
      </c>
      <c r="H217" s="10" t="s">
        <v>21</v>
      </c>
      <c r="I217" s="20">
        <v>172.8</v>
      </c>
      <c r="J217" s="11" t="s">
        <v>400</v>
      </c>
      <c r="K217" s="11">
        <f>I217/30/50*50</f>
        <v>5.7600000000000007</v>
      </c>
      <c r="L217" s="1">
        <v>0.35</v>
      </c>
      <c r="M217" s="13" t="s">
        <v>722</v>
      </c>
      <c r="N217" s="13"/>
    </row>
    <row r="218" spans="1:14" ht="56.25">
      <c r="A218" s="46" t="s">
        <v>726</v>
      </c>
      <c r="B218" s="13" t="s">
        <v>719</v>
      </c>
      <c r="C218" s="13" t="s">
        <v>720</v>
      </c>
      <c r="D218" s="13" t="s">
        <v>727</v>
      </c>
      <c r="E218" s="10" t="s">
        <v>133</v>
      </c>
      <c r="F218" s="10" t="s">
        <v>197</v>
      </c>
      <c r="G218" s="72" t="s">
        <v>728</v>
      </c>
      <c r="H218" s="21" t="s">
        <v>729</v>
      </c>
      <c r="I218" s="20">
        <v>172.8</v>
      </c>
      <c r="J218" s="11" t="s">
        <v>400</v>
      </c>
      <c r="K218" s="11">
        <f>I218/30/50*50</f>
        <v>5.7600000000000007</v>
      </c>
      <c r="L218" s="1">
        <v>0.35</v>
      </c>
      <c r="M218" s="13" t="s">
        <v>722</v>
      </c>
      <c r="N218" s="13"/>
    </row>
    <row r="219" spans="1:14" ht="56.25">
      <c r="A219" s="46" t="s">
        <v>730</v>
      </c>
      <c r="B219" s="13" t="s">
        <v>719</v>
      </c>
      <c r="C219" s="13" t="s">
        <v>720</v>
      </c>
      <c r="D219" s="13" t="s">
        <v>727</v>
      </c>
      <c r="E219" s="10" t="s">
        <v>133</v>
      </c>
      <c r="F219" s="10" t="s">
        <v>199</v>
      </c>
      <c r="G219" s="72" t="s">
        <v>728</v>
      </c>
      <c r="H219" s="21" t="s">
        <v>729</v>
      </c>
      <c r="I219" s="20">
        <v>372.9</v>
      </c>
      <c r="J219" s="11" t="s">
        <v>400</v>
      </c>
      <c r="K219" s="11">
        <f>I219/30/100*50</f>
        <v>6.2149999999999999</v>
      </c>
      <c r="L219" s="1">
        <v>0.35</v>
      </c>
      <c r="M219" s="13" t="s">
        <v>722</v>
      </c>
      <c r="N219" s="13"/>
    </row>
    <row r="220" spans="1:14" ht="45">
      <c r="A220" s="46" t="s">
        <v>731</v>
      </c>
      <c r="B220" s="13" t="s">
        <v>719</v>
      </c>
      <c r="C220" s="13" t="s">
        <v>720</v>
      </c>
      <c r="D220" s="13" t="s">
        <v>732</v>
      </c>
      <c r="E220" s="10" t="s">
        <v>133</v>
      </c>
      <c r="F220" s="10" t="s">
        <v>187</v>
      </c>
      <c r="G220" s="10" t="s">
        <v>377</v>
      </c>
      <c r="H220" s="10" t="s">
        <v>25</v>
      </c>
      <c r="I220" s="20">
        <v>161.30000000000001</v>
      </c>
      <c r="J220" s="11" t="s">
        <v>400</v>
      </c>
      <c r="K220" s="11">
        <f>I220/28/50*50</f>
        <v>5.7607142857142861</v>
      </c>
      <c r="L220" s="1">
        <v>0.35</v>
      </c>
      <c r="M220" s="13" t="s">
        <v>722</v>
      </c>
      <c r="N220" s="13"/>
    </row>
    <row r="221" spans="1:14" ht="45">
      <c r="A221" s="46" t="s">
        <v>733</v>
      </c>
      <c r="B221" s="13" t="s">
        <v>719</v>
      </c>
      <c r="C221" s="13" t="s">
        <v>720</v>
      </c>
      <c r="D221" s="13" t="s">
        <v>734</v>
      </c>
      <c r="E221" s="10" t="s">
        <v>133</v>
      </c>
      <c r="F221" s="10" t="s">
        <v>197</v>
      </c>
      <c r="G221" s="10" t="s">
        <v>472</v>
      </c>
      <c r="H221" s="10" t="s">
        <v>21</v>
      </c>
      <c r="I221" s="20">
        <v>172.8</v>
      </c>
      <c r="J221" s="11" t="s">
        <v>400</v>
      </c>
      <c r="K221" s="11">
        <f>I221/30/50*50</f>
        <v>5.7600000000000007</v>
      </c>
      <c r="L221" s="1">
        <v>0.35</v>
      </c>
      <c r="M221" s="13" t="s">
        <v>722</v>
      </c>
      <c r="N221" s="13"/>
    </row>
    <row r="222" spans="1:14" ht="45">
      <c r="A222" s="46" t="s">
        <v>735</v>
      </c>
      <c r="B222" s="73" t="s">
        <v>736</v>
      </c>
      <c r="C222" s="73" t="s">
        <v>737</v>
      </c>
      <c r="D222" s="73" t="s">
        <v>738</v>
      </c>
      <c r="E222" s="74" t="s">
        <v>133</v>
      </c>
      <c r="F222" s="74" t="s">
        <v>739</v>
      </c>
      <c r="G222" s="10" t="s">
        <v>377</v>
      </c>
      <c r="H222" s="74" t="s">
        <v>25</v>
      </c>
      <c r="I222" s="20">
        <v>165.1</v>
      </c>
      <c r="J222" s="34" t="s">
        <v>740</v>
      </c>
      <c r="K222" s="34">
        <f>I222/28/80*80</f>
        <v>5.8964285714285714</v>
      </c>
      <c r="L222" s="1">
        <v>0.5</v>
      </c>
      <c r="M222" s="13" t="s">
        <v>741</v>
      </c>
      <c r="N222" s="13"/>
    </row>
    <row r="223" spans="1:14" ht="45">
      <c r="A223" s="46" t="s">
        <v>742</v>
      </c>
      <c r="B223" s="73" t="s">
        <v>736</v>
      </c>
      <c r="C223" s="73" t="s">
        <v>737</v>
      </c>
      <c r="D223" s="73" t="s">
        <v>738</v>
      </c>
      <c r="E223" s="74" t="s">
        <v>133</v>
      </c>
      <c r="F223" s="74" t="s">
        <v>743</v>
      </c>
      <c r="G223" s="10" t="s">
        <v>377</v>
      </c>
      <c r="H223" s="74" t="s">
        <v>25</v>
      </c>
      <c r="I223" s="20">
        <v>255.3</v>
      </c>
      <c r="J223" s="34" t="s">
        <v>740</v>
      </c>
      <c r="K223" s="34">
        <f>I223/28/160*80</f>
        <v>4.5589285714285719</v>
      </c>
      <c r="L223" s="1">
        <v>0.5</v>
      </c>
      <c r="M223" s="13" t="s">
        <v>741</v>
      </c>
      <c r="N223" s="13"/>
    </row>
    <row r="224" spans="1:14" ht="45">
      <c r="A224" s="75" t="s">
        <v>744</v>
      </c>
      <c r="B224" s="64" t="s">
        <v>736</v>
      </c>
      <c r="C224" s="64" t="s">
        <v>737</v>
      </c>
      <c r="D224" s="64" t="s">
        <v>738</v>
      </c>
      <c r="E224" s="23" t="s">
        <v>133</v>
      </c>
      <c r="F224" s="23" t="s">
        <v>745</v>
      </c>
      <c r="G224" s="10" t="s">
        <v>565</v>
      </c>
      <c r="H224" s="10" t="s">
        <v>25</v>
      </c>
      <c r="I224" s="20">
        <v>539.9</v>
      </c>
      <c r="J224" s="34" t="s">
        <v>740</v>
      </c>
      <c r="K224" s="35">
        <f>I224/28/320*80</f>
        <v>4.8205357142857137</v>
      </c>
      <c r="L224" s="1">
        <v>0.5</v>
      </c>
      <c r="M224" s="13" t="s">
        <v>741</v>
      </c>
      <c r="N224" s="13"/>
    </row>
    <row r="225" spans="1:14" ht="45">
      <c r="A225" s="75" t="s">
        <v>746</v>
      </c>
      <c r="B225" s="64" t="s">
        <v>736</v>
      </c>
      <c r="C225" s="64" t="s">
        <v>737</v>
      </c>
      <c r="D225" s="64" t="s">
        <v>747</v>
      </c>
      <c r="E225" s="23" t="s">
        <v>133</v>
      </c>
      <c r="F225" s="23" t="s">
        <v>743</v>
      </c>
      <c r="G225" s="23" t="s">
        <v>502</v>
      </c>
      <c r="H225" s="23" t="s">
        <v>21</v>
      </c>
      <c r="I225" s="20">
        <v>255.3</v>
      </c>
      <c r="J225" s="10" t="s">
        <v>740</v>
      </c>
      <c r="K225" s="11">
        <f>I225/28/160*80</f>
        <v>4.5589285714285719</v>
      </c>
      <c r="L225" s="1">
        <v>0.5</v>
      </c>
      <c r="M225" s="13" t="s">
        <v>741</v>
      </c>
      <c r="N225" s="13"/>
    </row>
    <row r="226" spans="1:14" ht="45">
      <c r="A226" s="75" t="s">
        <v>748</v>
      </c>
      <c r="B226" s="64" t="s">
        <v>736</v>
      </c>
      <c r="C226" s="64" t="s">
        <v>737</v>
      </c>
      <c r="D226" s="64" t="s">
        <v>747</v>
      </c>
      <c r="E226" s="23" t="s">
        <v>133</v>
      </c>
      <c r="F226" s="23" t="s">
        <v>739</v>
      </c>
      <c r="G226" s="23" t="s">
        <v>502</v>
      </c>
      <c r="H226" s="23" t="s">
        <v>21</v>
      </c>
      <c r="I226" s="20">
        <v>165.1</v>
      </c>
      <c r="J226" s="10" t="s">
        <v>740</v>
      </c>
      <c r="K226" s="11">
        <f>I226/28/80*80</f>
        <v>5.8964285714285714</v>
      </c>
      <c r="L226" s="1">
        <v>0.5</v>
      </c>
      <c r="M226" s="13" t="s">
        <v>741</v>
      </c>
      <c r="N226" s="13"/>
    </row>
    <row r="227" spans="1:14" ht="45">
      <c r="A227" s="58" t="s">
        <v>749</v>
      </c>
      <c r="B227" s="51" t="s">
        <v>736</v>
      </c>
      <c r="C227" s="51" t="s">
        <v>737</v>
      </c>
      <c r="D227" s="51" t="s">
        <v>750</v>
      </c>
      <c r="E227" s="30" t="s">
        <v>133</v>
      </c>
      <c r="F227" s="24" t="s">
        <v>328</v>
      </c>
      <c r="G227" s="30" t="s">
        <v>751</v>
      </c>
      <c r="H227" s="30" t="s">
        <v>752</v>
      </c>
      <c r="I227" s="11">
        <v>176.9</v>
      </c>
      <c r="J227" s="34" t="s">
        <v>740</v>
      </c>
      <c r="K227" s="11">
        <f>I227/30/80*80</f>
        <v>5.8966666666666665</v>
      </c>
      <c r="L227" s="4">
        <v>0.5</v>
      </c>
      <c r="M227" s="51" t="s">
        <v>741</v>
      </c>
      <c r="N227" s="51"/>
    </row>
    <row r="228" spans="1:14" ht="45">
      <c r="A228" s="58" t="s">
        <v>753</v>
      </c>
      <c r="B228" s="51" t="s">
        <v>736</v>
      </c>
      <c r="C228" s="51" t="s">
        <v>737</v>
      </c>
      <c r="D228" s="51" t="s">
        <v>750</v>
      </c>
      <c r="E228" s="30" t="s">
        <v>133</v>
      </c>
      <c r="F228" s="24" t="s">
        <v>754</v>
      </c>
      <c r="G228" s="30" t="s">
        <v>751</v>
      </c>
      <c r="H228" s="30" t="s">
        <v>752</v>
      </c>
      <c r="I228" s="11">
        <v>273.5</v>
      </c>
      <c r="J228" s="34" t="s">
        <v>740</v>
      </c>
      <c r="K228" s="11">
        <f>I228/30/160*80</f>
        <v>4.5583333333333336</v>
      </c>
      <c r="L228" s="4">
        <v>0.5</v>
      </c>
      <c r="M228" s="51" t="s">
        <v>741</v>
      </c>
      <c r="N228" s="51"/>
    </row>
    <row r="229" spans="1:14" ht="45">
      <c r="A229" s="58" t="s">
        <v>755</v>
      </c>
      <c r="B229" s="51" t="s">
        <v>736</v>
      </c>
      <c r="C229" s="51" t="s">
        <v>737</v>
      </c>
      <c r="D229" s="51" t="s">
        <v>750</v>
      </c>
      <c r="E229" s="30" t="s">
        <v>133</v>
      </c>
      <c r="F229" s="24" t="s">
        <v>756</v>
      </c>
      <c r="G229" s="30" t="s">
        <v>751</v>
      </c>
      <c r="H229" s="30" t="s">
        <v>752</v>
      </c>
      <c r="I229" s="11">
        <v>578.5</v>
      </c>
      <c r="J229" s="34" t="s">
        <v>740</v>
      </c>
      <c r="K229" s="11">
        <f>I229/30/320*80</f>
        <v>4.8208333333333337</v>
      </c>
      <c r="L229" s="4">
        <v>0.5</v>
      </c>
      <c r="M229" s="51" t="s">
        <v>741</v>
      </c>
      <c r="N229" s="51"/>
    </row>
    <row r="230" spans="1:14" ht="45">
      <c r="A230" s="48" t="s">
        <v>757</v>
      </c>
      <c r="B230" s="64" t="s">
        <v>736</v>
      </c>
      <c r="C230" s="64" t="s">
        <v>737</v>
      </c>
      <c r="D230" s="64" t="s">
        <v>747</v>
      </c>
      <c r="E230" s="23" t="s">
        <v>133</v>
      </c>
      <c r="F230" s="23" t="s">
        <v>328</v>
      </c>
      <c r="G230" s="23" t="s">
        <v>195</v>
      </c>
      <c r="H230" s="23" t="s">
        <v>21</v>
      </c>
      <c r="I230" s="20">
        <v>176.9</v>
      </c>
      <c r="J230" s="34" t="s">
        <v>740</v>
      </c>
      <c r="K230" s="37">
        <f>I230/30/80*80</f>
        <v>5.8966666666666665</v>
      </c>
      <c r="L230" s="2">
        <v>0.5</v>
      </c>
      <c r="M230" s="13" t="s">
        <v>741</v>
      </c>
      <c r="N230" s="13"/>
    </row>
    <row r="231" spans="1:14" ht="45">
      <c r="A231" s="48" t="s">
        <v>758</v>
      </c>
      <c r="B231" s="64" t="s">
        <v>736</v>
      </c>
      <c r="C231" s="64" t="s">
        <v>737</v>
      </c>
      <c r="D231" s="64" t="s">
        <v>747</v>
      </c>
      <c r="E231" s="23" t="s">
        <v>133</v>
      </c>
      <c r="F231" s="23" t="s">
        <v>754</v>
      </c>
      <c r="G231" s="23" t="s">
        <v>195</v>
      </c>
      <c r="H231" s="23" t="s">
        <v>21</v>
      </c>
      <c r="I231" s="20">
        <v>273.5</v>
      </c>
      <c r="J231" s="34" t="s">
        <v>740</v>
      </c>
      <c r="K231" s="37">
        <f>I231/30/160*80</f>
        <v>4.5583333333333336</v>
      </c>
      <c r="L231" s="2">
        <v>0.5</v>
      </c>
      <c r="M231" s="13" t="s">
        <v>741</v>
      </c>
      <c r="N231" s="13"/>
    </row>
    <row r="232" spans="1:14" ht="22.5">
      <c r="A232" s="46" t="s">
        <v>759</v>
      </c>
      <c r="B232" s="13" t="s">
        <v>760</v>
      </c>
      <c r="C232" s="13" t="s">
        <v>761</v>
      </c>
      <c r="D232" s="13" t="s">
        <v>762</v>
      </c>
      <c r="E232" s="10" t="s">
        <v>133</v>
      </c>
      <c r="F232" s="10" t="s">
        <v>763</v>
      </c>
      <c r="G232" s="10" t="s">
        <v>256</v>
      </c>
      <c r="H232" s="10" t="s">
        <v>21</v>
      </c>
      <c r="I232" s="20">
        <v>397.3</v>
      </c>
      <c r="J232" s="10" t="s">
        <v>424</v>
      </c>
      <c r="K232" s="11">
        <f>I232/30/150*150</f>
        <v>13.243333333333334</v>
      </c>
      <c r="L232" s="12">
        <v>0.8</v>
      </c>
      <c r="M232" s="13" t="s">
        <v>764</v>
      </c>
      <c r="N232" s="13"/>
    </row>
    <row r="233" spans="1:14" ht="22.5">
      <c r="A233" s="46" t="s">
        <v>765</v>
      </c>
      <c r="B233" s="13" t="s">
        <v>760</v>
      </c>
      <c r="C233" s="13" t="s">
        <v>761</v>
      </c>
      <c r="D233" s="13" t="s">
        <v>762</v>
      </c>
      <c r="E233" s="10" t="s">
        <v>133</v>
      </c>
      <c r="F233" s="10" t="s">
        <v>766</v>
      </c>
      <c r="G233" s="10" t="s">
        <v>256</v>
      </c>
      <c r="H233" s="10" t="s">
        <v>21</v>
      </c>
      <c r="I233" s="20">
        <v>501.2</v>
      </c>
      <c r="J233" s="10" t="s">
        <v>424</v>
      </c>
      <c r="K233" s="11">
        <f>I233/30/300*150</f>
        <v>8.3533333333333335</v>
      </c>
      <c r="L233" s="12">
        <v>0.8</v>
      </c>
      <c r="M233" s="13" t="s">
        <v>764</v>
      </c>
      <c r="N233" s="13"/>
    </row>
    <row r="234" spans="1:14" ht="45">
      <c r="A234" s="46" t="s">
        <v>767</v>
      </c>
      <c r="B234" s="13" t="s">
        <v>768</v>
      </c>
      <c r="C234" s="13" t="s">
        <v>769</v>
      </c>
      <c r="D234" s="13" t="s">
        <v>770</v>
      </c>
      <c r="E234" s="10" t="s">
        <v>174</v>
      </c>
      <c r="F234" s="10" t="s">
        <v>48</v>
      </c>
      <c r="G234" s="10" t="s">
        <v>771</v>
      </c>
      <c r="H234" s="10" t="s">
        <v>772</v>
      </c>
      <c r="I234" s="20">
        <v>306.2</v>
      </c>
      <c r="J234" s="10" t="s">
        <v>33</v>
      </c>
      <c r="K234" s="11">
        <f>I234/28/40*40</f>
        <v>10.935714285714283</v>
      </c>
      <c r="L234" s="1">
        <v>0.7</v>
      </c>
      <c r="M234" s="13" t="s">
        <v>773</v>
      </c>
      <c r="N234" s="13"/>
    </row>
    <row r="235" spans="1:14" ht="45">
      <c r="A235" s="46" t="s">
        <v>774</v>
      </c>
      <c r="B235" s="13" t="s">
        <v>768</v>
      </c>
      <c r="C235" s="13" t="s">
        <v>769</v>
      </c>
      <c r="D235" s="13" t="s">
        <v>770</v>
      </c>
      <c r="E235" s="10" t="s">
        <v>174</v>
      </c>
      <c r="F235" s="10" t="s">
        <v>775</v>
      </c>
      <c r="G235" s="10" t="s">
        <v>771</v>
      </c>
      <c r="H235" s="10" t="s">
        <v>772</v>
      </c>
      <c r="I235" s="20">
        <v>492</v>
      </c>
      <c r="J235" s="11" t="s">
        <v>33</v>
      </c>
      <c r="K235" s="11">
        <f>I235/28/80*40</f>
        <v>8.7857142857142865</v>
      </c>
      <c r="L235" s="1">
        <v>0.7</v>
      </c>
      <c r="M235" s="13" t="s">
        <v>773</v>
      </c>
      <c r="N235" s="13"/>
    </row>
    <row r="236" spans="1:14" ht="45">
      <c r="A236" s="75" t="s">
        <v>776</v>
      </c>
      <c r="B236" s="64" t="s">
        <v>768</v>
      </c>
      <c r="C236" s="64" t="s">
        <v>769</v>
      </c>
      <c r="D236" s="64" t="s">
        <v>777</v>
      </c>
      <c r="E236" s="23" t="s">
        <v>182</v>
      </c>
      <c r="F236" s="10" t="s">
        <v>873</v>
      </c>
      <c r="G236" s="21" t="s">
        <v>248</v>
      </c>
      <c r="H236" s="21" t="s">
        <v>249</v>
      </c>
      <c r="I236" s="20">
        <v>252.4</v>
      </c>
      <c r="J236" s="11" t="s">
        <v>33</v>
      </c>
      <c r="K236" s="110">
        <f>I236/30/40*40</f>
        <v>8.413333333333334</v>
      </c>
      <c r="L236" s="1">
        <v>0.65</v>
      </c>
      <c r="M236" s="13" t="s">
        <v>773</v>
      </c>
      <c r="N236" s="13"/>
    </row>
    <row r="237" spans="1:14" ht="45">
      <c r="A237" s="75" t="s">
        <v>778</v>
      </c>
      <c r="B237" s="64" t="s">
        <v>768</v>
      </c>
      <c r="C237" s="64" t="s">
        <v>769</v>
      </c>
      <c r="D237" s="64" t="s">
        <v>777</v>
      </c>
      <c r="E237" s="23" t="s">
        <v>182</v>
      </c>
      <c r="F237" s="23" t="s">
        <v>328</v>
      </c>
      <c r="G237" s="21" t="s">
        <v>248</v>
      </c>
      <c r="H237" s="21" t="s">
        <v>249</v>
      </c>
      <c r="I237" s="20">
        <v>421.8</v>
      </c>
      <c r="J237" s="11" t="s">
        <v>33</v>
      </c>
      <c r="K237" s="110">
        <f>I237/30/80*40</f>
        <v>7.0300000000000011</v>
      </c>
      <c r="L237" s="1">
        <v>0.65</v>
      </c>
      <c r="M237" s="13" t="s">
        <v>773</v>
      </c>
      <c r="N237" s="13"/>
    </row>
    <row r="238" spans="1:14" ht="45">
      <c r="A238" s="75" t="s">
        <v>779</v>
      </c>
      <c r="B238" s="64" t="s">
        <v>768</v>
      </c>
      <c r="C238" s="64" t="s">
        <v>769</v>
      </c>
      <c r="D238" s="64" t="s">
        <v>780</v>
      </c>
      <c r="E238" s="23" t="s">
        <v>174</v>
      </c>
      <c r="F238" s="23" t="s">
        <v>48</v>
      </c>
      <c r="G238" s="10" t="s">
        <v>781</v>
      </c>
      <c r="H238" s="10" t="s">
        <v>782</v>
      </c>
      <c r="I238" s="20">
        <v>235.6</v>
      </c>
      <c r="J238" s="11" t="s">
        <v>33</v>
      </c>
      <c r="K238" s="35">
        <f>I238/28/40*40</f>
        <v>8.4142857142857146</v>
      </c>
      <c r="L238" s="1">
        <v>0.65</v>
      </c>
      <c r="M238" s="13" t="s">
        <v>773</v>
      </c>
      <c r="N238" s="13"/>
    </row>
    <row r="239" spans="1:14" ht="45">
      <c r="A239" s="75" t="s">
        <v>783</v>
      </c>
      <c r="B239" s="64" t="s">
        <v>768</v>
      </c>
      <c r="C239" s="64" t="s">
        <v>769</v>
      </c>
      <c r="D239" s="64" t="s">
        <v>780</v>
      </c>
      <c r="E239" s="23" t="s">
        <v>174</v>
      </c>
      <c r="F239" s="23" t="s">
        <v>739</v>
      </c>
      <c r="G239" s="10" t="s">
        <v>781</v>
      </c>
      <c r="H239" s="10" t="s">
        <v>784</v>
      </c>
      <c r="I239" s="20">
        <v>393.7</v>
      </c>
      <c r="J239" s="11" t="s">
        <v>33</v>
      </c>
      <c r="K239" s="35">
        <f>I239/28/80*40</f>
        <v>7.0303571428571416</v>
      </c>
      <c r="L239" s="1">
        <v>0.65</v>
      </c>
      <c r="M239" s="13" t="s">
        <v>773</v>
      </c>
      <c r="N239" s="13"/>
    </row>
    <row r="240" spans="1:14" ht="45">
      <c r="A240" s="46" t="s">
        <v>785</v>
      </c>
      <c r="B240" s="13" t="s">
        <v>768</v>
      </c>
      <c r="C240" s="13" t="s">
        <v>769</v>
      </c>
      <c r="D240" s="13" t="s">
        <v>786</v>
      </c>
      <c r="E240" s="10" t="s">
        <v>174</v>
      </c>
      <c r="F240" s="10" t="s">
        <v>48</v>
      </c>
      <c r="G240" s="30" t="s">
        <v>259</v>
      </c>
      <c r="H240" s="30" t="s">
        <v>260</v>
      </c>
      <c r="I240" s="20">
        <v>235.6</v>
      </c>
      <c r="J240" s="11" t="s">
        <v>787</v>
      </c>
      <c r="K240" s="11">
        <f>I240/28/40*40</f>
        <v>8.4142857142857146</v>
      </c>
      <c r="L240" s="1">
        <v>0.65</v>
      </c>
      <c r="M240" s="13" t="s">
        <v>773</v>
      </c>
      <c r="N240" s="13"/>
    </row>
    <row r="241" spans="1:14" ht="45">
      <c r="A241" s="46" t="s">
        <v>788</v>
      </c>
      <c r="B241" s="13" t="s">
        <v>768</v>
      </c>
      <c r="C241" s="13" t="s">
        <v>769</v>
      </c>
      <c r="D241" s="13" t="s">
        <v>786</v>
      </c>
      <c r="E241" s="10" t="s">
        <v>174</v>
      </c>
      <c r="F241" s="10" t="s">
        <v>739</v>
      </c>
      <c r="G241" s="30" t="s">
        <v>259</v>
      </c>
      <c r="H241" s="30" t="s">
        <v>260</v>
      </c>
      <c r="I241" s="20">
        <v>393.7</v>
      </c>
      <c r="J241" s="11" t="s">
        <v>787</v>
      </c>
      <c r="K241" s="11">
        <f>I241/28/80*40</f>
        <v>7.0303571428571416</v>
      </c>
      <c r="L241" s="1">
        <v>0.65</v>
      </c>
      <c r="M241" s="13" t="s">
        <v>773</v>
      </c>
      <c r="N241" s="13"/>
    </row>
    <row r="242" spans="1:14" ht="45">
      <c r="A242" s="46" t="s">
        <v>789</v>
      </c>
      <c r="B242" s="13" t="s">
        <v>790</v>
      </c>
      <c r="C242" s="13" t="s">
        <v>791</v>
      </c>
      <c r="D242" s="13" t="s">
        <v>792</v>
      </c>
      <c r="E242" s="10" t="s">
        <v>133</v>
      </c>
      <c r="F242" s="10" t="s">
        <v>793</v>
      </c>
      <c r="G242" s="10" t="s">
        <v>252</v>
      </c>
      <c r="H242" s="10" t="s">
        <v>21</v>
      </c>
      <c r="I242" s="20">
        <v>244.7</v>
      </c>
      <c r="J242" s="11" t="s">
        <v>267</v>
      </c>
      <c r="K242" s="11">
        <f>I242/30</f>
        <v>8.1566666666666663</v>
      </c>
      <c r="L242" s="1">
        <v>0.35</v>
      </c>
      <c r="M242" s="13" t="s">
        <v>559</v>
      </c>
      <c r="N242" s="13"/>
    </row>
    <row r="243" spans="1:14" ht="45">
      <c r="A243" s="46" t="s">
        <v>794</v>
      </c>
      <c r="B243" s="13" t="s">
        <v>790</v>
      </c>
      <c r="C243" s="13" t="s">
        <v>791</v>
      </c>
      <c r="D243" s="13" t="s">
        <v>795</v>
      </c>
      <c r="E243" s="10" t="s">
        <v>133</v>
      </c>
      <c r="F243" s="10" t="s">
        <v>796</v>
      </c>
      <c r="G243" s="10" t="s">
        <v>797</v>
      </c>
      <c r="H243" s="10" t="s">
        <v>25</v>
      </c>
      <c r="I243" s="20">
        <v>228.4</v>
      </c>
      <c r="J243" s="11" t="s">
        <v>267</v>
      </c>
      <c r="K243" s="11">
        <f>I243/28</f>
        <v>8.1571428571428566</v>
      </c>
      <c r="L243" s="1">
        <v>0.35</v>
      </c>
      <c r="M243" s="13" t="s">
        <v>559</v>
      </c>
      <c r="N243" s="13"/>
    </row>
    <row r="244" spans="1:14" ht="45">
      <c r="A244" s="46" t="s">
        <v>798</v>
      </c>
      <c r="B244" s="13" t="s">
        <v>790</v>
      </c>
      <c r="C244" s="13" t="s">
        <v>791</v>
      </c>
      <c r="D244" s="13" t="s">
        <v>799</v>
      </c>
      <c r="E244" s="10" t="s">
        <v>133</v>
      </c>
      <c r="F244" s="10" t="s">
        <v>800</v>
      </c>
      <c r="G244" s="10" t="s">
        <v>797</v>
      </c>
      <c r="H244" s="10" t="s">
        <v>25</v>
      </c>
      <c r="I244" s="20">
        <v>407.9</v>
      </c>
      <c r="J244" s="11" t="s">
        <v>267</v>
      </c>
      <c r="K244" s="11">
        <f>I244/28</f>
        <v>14.567857142857141</v>
      </c>
      <c r="L244" s="1">
        <v>0.35</v>
      </c>
      <c r="M244" s="13" t="s">
        <v>559</v>
      </c>
      <c r="N244" s="13"/>
    </row>
    <row r="245" spans="1:14" ht="45">
      <c r="A245" s="13" t="s">
        <v>801</v>
      </c>
      <c r="B245" s="13" t="s">
        <v>790</v>
      </c>
      <c r="C245" s="13" t="s">
        <v>791</v>
      </c>
      <c r="D245" s="13" t="s">
        <v>802</v>
      </c>
      <c r="E245" s="10" t="s">
        <v>133</v>
      </c>
      <c r="F245" s="10" t="s">
        <v>2414</v>
      </c>
      <c r="G245" s="10" t="s">
        <v>256</v>
      </c>
      <c r="H245" s="10" t="s">
        <v>21</v>
      </c>
      <c r="I245" s="20">
        <v>244.7</v>
      </c>
      <c r="J245" s="10" t="s">
        <v>803</v>
      </c>
      <c r="K245" s="11">
        <f>I245/30*1</f>
        <v>8.1566666666666663</v>
      </c>
      <c r="L245" s="5">
        <v>0.35</v>
      </c>
      <c r="M245" s="13" t="s">
        <v>559</v>
      </c>
      <c r="N245" s="13"/>
    </row>
    <row r="246" spans="1:14" ht="45">
      <c r="A246" s="46" t="s">
        <v>804</v>
      </c>
      <c r="B246" s="13" t="s">
        <v>805</v>
      </c>
      <c r="C246" s="13" t="s">
        <v>806</v>
      </c>
      <c r="D246" s="13" t="s">
        <v>807</v>
      </c>
      <c r="E246" s="10" t="s">
        <v>133</v>
      </c>
      <c r="F246" s="10" t="s">
        <v>808</v>
      </c>
      <c r="G246" s="10" t="s">
        <v>797</v>
      </c>
      <c r="H246" s="10" t="s">
        <v>25</v>
      </c>
      <c r="I246" s="20">
        <v>272.5</v>
      </c>
      <c r="J246" s="11" t="s">
        <v>267</v>
      </c>
      <c r="K246" s="11">
        <f t="shared" ref="K246:K251" si="5">I246/28</f>
        <v>9.7321428571428577</v>
      </c>
      <c r="L246" s="1">
        <v>0.5</v>
      </c>
      <c r="M246" s="13" t="s">
        <v>809</v>
      </c>
      <c r="N246" s="13"/>
    </row>
    <row r="247" spans="1:14" ht="45">
      <c r="A247" s="46" t="s">
        <v>810</v>
      </c>
      <c r="B247" s="13" t="s">
        <v>805</v>
      </c>
      <c r="C247" s="13" t="s">
        <v>806</v>
      </c>
      <c r="D247" s="13" t="s">
        <v>807</v>
      </c>
      <c r="E247" s="10" t="s">
        <v>133</v>
      </c>
      <c r="F247" s="10" t="s">
        <v>811</v>
      </c>
      <c r="G247" s="10" t="s">
        <v>797</v>
      </c>
      <c r="H247" s="10" t="s">
        <v>25</v>
      </c>
      <c r="I247" s="20">
        <v>289.39999999999998</v>
      </c>
      <c r="J247" s="11" t="s">
        <v>267</v>
      </c>
      <c r="K247" s="11">
        <f t="shared" si="5"/>
        <v>10.335714285714285</v>
      </c>
      <c r="L247" s="1">
        <v>0.5</v>
      </c>
      <c r="M247" s="13" t="s">
        <v>809</v>
      </c>
      <c r="N247" s="13"/>
    </row>
    <row r="248" spans="1:14" ht="45">
      <c r="A248" s="75" t="s">
        <v>812</v>
      </c>
      <c r="B248" s="64" t="s">
        <v>805</v>
      </c>
      <c r="C248" s="64" t="s">
        <v>806</v>
      </c>
      <c r="D248" s="64" t="s">
        <v>807</v>
      </c>
      <c r="E248" s="23" t="s">
        <v>133</v>
      </c>
      <c r="F248" s="23" t="s">
        <v>2416</v>
      </c>
      <c r="G248" s="10" t="s">
        <v>797</v>
      </c>
      <c r="H248" s="10" t="s">
        <v>25</v>
      </c>
      <c r="I248" s="20">
        <v>228.3</v>
      </c>
      <c r="J248" s="11" t="s">
        <v>267</v>
      </c>
      <c r="K248" s="110">
        <f t="shared" si="5"/>
        <v>8.1535714285714285</v>
      </c>
      <c r="L248" s="1">
        <v>0.5</v>
      </c>
      <c r="M248" s="13" t="s">
        <v>809</v>
      </c>
      <c r="N248" s="13"/>
    </row>
    <row r="249" spans="1:14" ht="45">
      <c r="A249" s="75" t="s">
        <v>813</v>
      </c>
      <c r="B249" s="64" t="s">
        <v>805</v>
      </c>
      <c r="C249" s="64" t="s">
        <v>806</v>
      </c>
      <c r="D249" s="64" t="s">
        <v>814</v>
      </c>
      <c r="E249" s="23" t="s">
        <v>133</v>
      </c>
      <c r="F249" s="23" t="s">
        <v>811</v>
      </c>
      <c r="G249" s="23" t="s">
        <v>502</v>
      </c>
      <c r="H249" s="23" t="s">
        <v>21</v>
      </c>
      <c r="I249" s="20">
        <v>289.39999999999998</v>
      </c>
      <c r="J249" s="11" t="s">
        <v>267</v>
      </c>
      <c r="K249" s="110">
        <f t="shared" si="5"/>
        <v>10.335714285714285</v>
      </c>
      <c r="L249" s="1">
        <v>0.5</v>
      </c>
      <c r="M249" s="13" t="s">
        <v>809</v>
      </c>
      <c r="N249" s="13"/>
    </row>
    <row r="250" spans="1:14" ht="45">
      <c r="A250" s="75" t="s">
        <v>815</v>
      </c>
      <c r="B250" s="64" t="s">
        <v>805</v>
      </c>
      <c r="C250" s="64" t="s">
        <v>806</v>
      </c>
      <c r="D250" s="64" t="s">
        <v>814</v>
      </c>
      <c r="E250" s="23" t="s">
        <v>133</v>
      </c>
      <c r="F250" s="23" t="s">
        <v>2415</v>
      </c>
      <c r="G250" s="23" t="s">
        <v>502</v>
      </c>
      <c r="H250" s="23" t="s">
        <v>21</v>
      </c>
      <c r="I250" s="20">
        <v>272.5</v>
      </c>
      <c r="J250" s="11" t="s">
        <v>267</v>
      </c>
      <c r="K250" s="110">
        <f t="shared" si="5"/>
        <v>9.7321428571428577</v>
      </c>
      <c r="L250" s="1">
        <v>0.5</v>
      </c>
      <c r="M250" s="13" t="s">
        <v>809</v>
      </c>
      <c r="N250" s="13"/>
    </row>
    <row r="251" spans="1:14" ht="45">
      <c r="A251" s="75" t="s">
        <v>816</v>
      </c>
      <c r="B251" s="64" t="s">
        <v>805</v>
      </c>
      <c r="C251" s="64" t="s">
        <v>806</v>
      </c>
      <c r="D251" s="64" t="s">
        <v>814</v>
      </c>
      <c r="E251" s="23" t="s">
        <v>133</v>
      </c>
      <c r="F251" s="23" t="s">
        <v>2416</v>
      </c>
      <c r="G251" s="23" t="s">
        <v>502</v>
      </c>
      <c r="H251" s="23" t="s">
        <v>21</v>
      </c>
      <c r="I251" s="20">
        <v>228.3</v>
      </c>
      <c r="J251" s="11" t="s">
        <v>267</v>
      </c>
      <c r="K251" s="110">
        <f t="shared" si="5"/>
        <v>8.1535714285714285</v>
      </c>
      <c r="L251" s="1">
        <v>0.5</v>
      </c>
      <c r="M251" s="13" t="s">
        <v>809</v>
      </c>
      <c r="N251" s="13"/>
    </row>
    <row r="252" spans="1:14" ht="45">
      <c r="A252" s="58" t="s">
        <v>817</v>
      </c>
      <c r="B252" s="51" t="s">
        <v>805</v>
      </c>
      <c r="C252" s="51" t="s">
        <v>806</v>
      </c>
      <c r="D252" s="51" t="s">
        <v>818</v>
      </c>
      <c r="E252" s="23" t="s">
        <v>133</v>
      </c>
      <c r="F252" s="24" t="s">
        <v>819</v>
      </c>
      <c r="G252" s="23" t="s">
        <v>751</v>
      </c>
      <c r="H252" s="23" t="s">
        <v>752</v>
      </c>
      <c r="I252" s="11">
        <v>244.6</v>
      </c>
      <c r="J252" s="11" t="s">
        <v>267</v>
      </c>
      <c r="K252" s="11">
        <f t="shared" ref="K252:K259" si="6">I252/30</f>
        <v>8.1533333333333324</v>
      </c>
      <c r="L252" s="1">
        <v>0.5</v>
      </c>
      <c r="M252" s="51" t="s">
        <v>809</v>
      </c>
      <c r="N252" s="51"/>
    </row>
    <row r="253" spans="1:14" ht="45">
      <c r="A253" s="58" t="s">
        <v>820</v>
      </c>
      <c r="B253" s="51" t="s">
        <v>805</v>
      </c>
      <c r="C253" s="51" t="s">
        <v>806</v>
      </c>
      <c r="D253" s="51" t="s">
        <v>818</v>
      </c>
      <c r="E253" s="23" t="s">
        <v>133</v>
      </c>
      <c r="F253" s="24" t="s">
        <v>821</v>
      </c>
      <c r="G253" s="23" t="s">
        <v>751</v>
      </c>
      <c r="H253" s="23" t="s">
        <v>752</v>
      </c>
      <c r="I253" s="11">
        <v>292</v>
      </c>
      <c r="J253" s="11" t="s">
        <v>267</v>
      </c>
      <c r="K253" s="11">
        <f t="shared" si="6"/>
        <v>9.7333333333333325</v>
      </c>
      <c r="L253" s="1">
        <v>0.5</v>
      </c>
      <c r="M253" s="51" t="s">
        <v>809</v>
      </c>
      <c r="N253" s="51"/>
    </row>
    <row r="254" spans="1:14" ht="45">
      <c r="A254" s="58" t="s">
        <v>822</v>
      </c>
      <c r="B254" s="51" t="s">
        <v>805</v>
      </c>
      <c r="C254" s="51" t="s">
        <v>806</v>
      </c>
      <c r="D254" s="51" t="s">
        <v>818</v>
      </c>
      <c r="E254" s="23" t="s">
        <v>133</v>
      </c>
      <c r="F254" s="24" t="s">
        <v>823</v>
      </c>
      <c r="G254" s="23" t="s">
        <v>751</v>
      </c>
      <c r="H254" s="23" t="s">
        <v>752</v>
      </c>
      <c r="I254" s="11">
        <v>310.10000000000002</v>
      </c>
      <c r="J254" s="11" t="s">
        <v>267</v>
      </c>
      <c r="K254" s="11">
        <f t="shared" si="6"/>
        <v>10.336666666666668</v>
      </c>
      <c r="L254" s="1">
        <v>0.5</v>
      </c>
      <c r="M254" s="51" t="s">
        <v>809</v>
      </c>
      <c r="N254" s="51"/>
    </row>
    <row r="255" spans="1:14" ht="45">
      <c r="A255" s="48" t="s">
        <v>2504</v>
      </c>
      <c r="B255" s="64" t="s">
        <v>805</v>
      </c>
      <c r="C255" s="64" t="s">
        <v>806</v>
      </c>
      <c r="D255" s="64" t="s">
        <v>814</v>
      </c>
      <c r="E255" s="23" t="s">
        <v>133</v>
      </c>
      <c r="F255" s="23" t="s">
        <v>819</v>
      </c>
      <c r="G255" s="23" t="s">
        <v>195</v>
      </c>
      <c r="H255" s="23" t="s">
        <v>21</v>
      </c>
      <c r="I255" s="20">
        <v>244.6</v>
      </c>
      <c r="J255" s="11" t="s">
        <v>267</v>
      </c>
      <c r="K255" s="37">
        <f t="shared" si="6"/>
        <v>8.1533333333333324</v>
      </c>
      <c r="L255" s="5">
        <v>0.5</v>
      </c>
      <c r="M255" s="13" t="s">
        <v>809</v>
      </c>
      <c r="N255" s="13"/>
    </row>
    <row r="256" spans="1:14" ht="45">
      <c r="A256" s="48" t="s">
        <v>2505</v>
      </c>
      <c r="B256" s="64" t="s">
        <v>805</v>
      </c>
      <c r="C256" s="64" t="s">
        <v>806</v>
      </c>
      <c r="D256" s="64" t="s">
        <v>814</v>
      </c>
      <c r="E256" s="23" t="s">
        <v>133</v>
      </c>
      <c r="F256" s="23" t="s">
        <v>821</v>
      </c>
      <c r="G256" s="23" t="s">
        <v>195</v>
      </c>
      <c r="H256" s="23" t="s">
        <v>21</v>
      </c>
      <c r="I256" s="20">
        <v>292</v>
      </c>
      <c r="J256" s="11" t="s">
        <v>267</v>
      </c>
      <c r="K256" s="37">
        <f t="shared" si="6"/>
        <v>9.7333333333333325</v>
      </c>
      <c r="L256" s="5">
        <v>0.5</v>
      </c>
      <c r="M256" s="13" t="s">
        <v>809</v>
      </c>
      <c r="N256" s="13"/>
    </row>
    <row r="257" spans="1:14" ht="45">
      <c r="A257" s="48" t="s">
        <v>2506</v>
      </c>
      <c r="B257" s="64" t="s">
        <v>805</v>
      </c>
      <c r="C257" s="64" t="s">
        <v>806</v>
      </c>
      <c r="D257" s="64" t="s">
        <v>814</v>
      </c>
      <c r="E257" s="23" t="s">
        <v>133</v>
      </c>
      <c r="F257" s="23" t="s">
        <v>823</v>
      </c>
      <c r="G257" s="23" t="s">
        <v>195</v>
      </c>
      <c r="H257" s="23" t="s">
        <v>21</v>
      </c>
      <c r="I257" s="20">
        <v>310.10000000000002</v>
      </c>
      <c r="J257" s="11" t="s">
        <v>267</v>
      </c>
      <c r="K257" s="37">
        <f t="shared" si="6"/>
        <v>10.336666666666668</v>
      </c>
      <c r="L257" s="5">
        <v>0.5</v>
      </c>
      <c r="M257" s="13" t="s">
        <v>809</v>
      </c>
      <c r="N257" s="13"/>
    </row>
    <row r="258" spans="1:14" ht="45">
      <c r="A258" s="46" t="s">
        <v>824</v>
      </c>
      <c r="B258" s="13" t="s">
        <v>825</v>
      </c>
      <c r="C258" s="13" t="s">
        <v>826</v>
      </c>
      <c r="D258" s="13" t="s">
        <v>827</v>
      </c>
      <c r="E258" s="10" t="s">
        <v>133</v>
      </c>
      <c r="F258" s="10" t="s">
        <v>828</v>
      </c>
      <c r="G258" s="10" t="s">
        <v>256</v>
      </c>
      <c r="H258" s="10" t="s">
        <v>21</v>
      </c>
      <c r="I258" s="20">
        <v>379.7</v>
      </c>
      <c r="J258" s="11" t="s">
        <v>267</v>
      </c>
      <c r="K258" s="11">
        <f t="shared" si="6"/>
        <v>12.656666666666666</v>
      </c>
      <c r="L258" s="12">
        <v>0.8</v>
      </c>
      <c r="M258" s="13" t="s">
        <v>809</v>
      </c>
      <c r="N258" s="13"/>
    </row>
    <row r="259" spans="1:14" ht="45">
      <c r="A259" s="46" t="s">
        <v>829</v>
      </c>
      <c r="B259" s="13" t="s">
        <v>825</v>
      </c>
      <c r="C259" s="13" t="s">
        <v>826</v>
      </c>
      <c r="D259" s="13" t="s">
        <v>827</v>
      </c>
      <c r="E259" s="10" t="s">
        <v>133</v>
      </c>
      <c r="F259" s="10" t="s">
        <v>830</v>
      </c>
      <c r="G259" s="10" t="s">
        <v>256</v>
      </c>
      <c r="H259" s="10" t="s">
        <v>21</v>
      </c>
      <c r="I259" s="20">
        <v>467.6</v>
      </c>
      <c r="J259" s="11" t="s">
        <v>267</v>
      </c>
      <c r="K259" s="11">
        <f t="shared" si="6"/>
        <v>15.586666666666668</v>
      </c>
      <c r="L259" s="12">
        <v>0.8</v>
      </c>
      <c r="M259" s="13" t="s">
        <v>809</v>
      </c>
      <c r="N259" s="13"/>
    </row>
    <row r="260" spans="1:14" ht="45">
      <c r="A260" s="46" t="s">
        <v>831</v>
      </c>
      <c r="B260" s="13" t="s">
        <v>832</v>
      </c>
      <c r="C260" s="13" t="s">
        <v>833</v>
      </c>
      <c r="D260" s="13" t="s">
        <v>834</v>
      </c>
      <c r="E260" s="10" t="s">
        <v>174</v>
      </c>
      <c r="F260" s="10" t="s">
        <v>835</v>
      </c>
      <c r="G260" s="10" t="s">
        <v>836</v>
      </c>
      <c r="H260" s="10" t="s">
        <v>82</v>
      </c>
      <c r="I260" s="20">
        <v>525.6</v>
      </c>
      <c r="J260" s="11" t="s">
        <v>267</v>
      </c>
      <c r="K260" s="11">
        <f>I260/28</f>
        <v>18.771428571428572</v>
      </c>
      <c r="L260" s="1">
        <v>0.75</v>
      </c>
      <c r="M260" s="13" t="s">
        <v>809</v>
      </c>
      <c r="N260" s="13"/>
    </row>
    <row r="261" spans="1:14" ht="45">
      <c r="A261" s="17" t="s">
        <v>837</v>
      </c>
      <c r="B261" s="17" t="s">
        <v>832</v>
      </c>
      <c r="C261" s="17" t="s">
        <v>833</v>
      </c>
      <c r="D261" s="17" t="s">
        <v>838</v>
      </c>
      <c r="E261" s="25" t="s">
        <v>174</v>
      </c>
      <c r="F261" s="25" t="s">
        <v>2417</v>
      </c>
      <c r="G261" s="25" t="s">
        <v>533</v>
      </c>
      <c r="H261" s="25" t="s">
        <v>25</v>
      </c>
      <c r="I261" s="20">
        <v>307.39999999999998</v>
      </c>
      <c r="J261" s="11" t="s">
        <v>267</v>
      </c>
      <c r="K261" s="35">
        <f>I261/28</f>
        <v>10.978571428571428</v>
      </c>
      <c r="L261" s="1">
        <v>0.7</v>
      </c>
      <c r="M261" s="13" t="s">
        <v>809</v>
      </c>
      <c r="N261" s="13"/>
    </row>
    <row r="262" spans="1:14" ht="45">
      <c r="A262" s="17" t="s">
        <v>839</v>
      </c>
      <c r="B262" s="17" t="s">
        <v>832</v>
      </c>
      <c r="C262" s="17" t="s">
        <v>833</v>
      </c>
      <c r="D262" s="17" t="s">
        <v>838</v>
      </c>
      <c r="E262" s="25" t="s">
        <v>174</v>
      </c>
      <c r="F262" s="25" t="s">
        <v>835</v>
      </c>
      <c r="G262" s="25" t="s">
        <v>533</v>
      </c>
      <c r="H262" s="25" t="s">
        <v>25</v>
      </c>
      <c r="I262" s="20">
        <v>452.8</v>
      </c>
      <c r="J262" s="11" t="s">
        <v>267</v>
      </c>
      <c r="K262" s="36">
        <f>I262/28</f>
        <v>16.171428571428571</v>
      </c>
      <c r="L262" s="1">
        <v>0.7</v>
      </c>
      <c r="M262" s="13" t="s">
        <v>809</v>
      </c>
      <c r="N262" s="13"/>
    </row>
    <row r="263" spans="1:14" ht="45">
      <c r="A263" s="17" t="s">
        <v>840</v>
      </c>
      <c r="B263" s="17" t="s">
        <v>832</v>
      </c>
      <c r="C263" s="17" t="s">
        <v>833</v>
      </c>
      <c r="D263" s="17" t="s">
        <v>838</v>
      </c>
      <c r="E263" s="25" t="s">
        <v>174</v>
      </c>
      <c r="F263" s="25" t="s">
        <v>2419</v>
      </c>
      <c r="G263" s="25" t="s">
        <v>533</v>
      </c>
      <c r="H263" s="25" t="s">
        <v>25</v>
      </c>
      <c r="I263" s="20">
        <v>476</v>
      </c>
      <c r="J263" s="11" t="s">
        <v>267</v>
      </c>
      <c r="K263" s="35">
        <f>I263/28</f>
        <v>17</v>
      </c>
      <c r="L263" s="1">
        <v>0.7</v>
      </c>
      <c r="M263" s="13" t="s">
        <v>809</v>
      </c>
      <c r="N263" s="13"/>
    </row>
    <row r="264" spans="1:14" ht="45">
      <c r="A264" s="46" t="s">
        <v>841</v>
      </c>
      <c r="B264" s="13" t="s">
        <v>832</v>
      </c>
      <c r="C264" s="13" t="s">
        <v>833</v>
      </c>
      <c r="D264" s="13" t="s">
        <v>842</v>
      </c>
      <c r="E264" s="10" t="s">
        <v>174</v>
      </c>
      <c r="F264" s="10" t="s">
        <v>2418</v>
      </c>
      <c r="G264" s="21" t="s">
        <v>843</v>
      </c>
      <c r="H264" s="21" t="s">
        <v>177</v>
      </c>
      <c r="I264" s="20">
        <v>329.4</v>
      </c>
      <c r="J264" s="11" t="s">
        <v>267</v>
      </c>
      <c r="K264" s="11">
        <f>I264/30</f>
        <v>10.979999999999999</v>
      </c>
      <c r="L264" s="1">
        <v>0.7</v>
      </c>
      <c r="M264" s="13" t="s">
        <v>809</v>
      </c>
      <c r="N264" s="13"/>
    </row>
    <row r="265" spans="1:14" ht="45">
      <c r="A265" s="46" t="s">
        <v>844</v>
      </c>
      <c r="B265" s="13" t="s">
        <v>832</v>
      </c>
      <c r="C265" s="13" t="s">
        <v>833</v>
      </c>
      <c r="D265" s="13" t="s">
        <v>842</v>
      </c>
      <c r="E265" s="10" t="s">
        <v>174</v>
      </c>
      <c r="F265" s="10" t="s">
        <v>819</v>
      </c>
      <c r="G265" s="21" t="s">
        <v>843</v>
      </c>
      <c r="H265" s="21" t="s">
        <v>177</v>
      </c>
      <c r="I265" s="20">
        <v>485.1</v>
      </c>
      <c r="J265" s="11" t="s">
        <v>267</v>
      </c>
      <c r="K265" s="11">
        <f>I265/30</f>
        <v>16.170000000000002</v>
      </c>
      <c r="L265" s="1">
        <v>0.7</v>
      </c>
      <c r="M265" s="13" t="s">
        <v>809</v>
      </c>
      <c r="N265" s="13"/>
    </row>
    <row r="266" spans="1:14" ht="45">
      <c r="A266" s="46" t="s">
        <v>845</v>
      </c>
      <c r="B266" s="13" t="s">
        <v>832</v>
      </c>
      <c r="C266" s="13" t="s">
        <v>833</v>
      </c>
      <c r="D266" s="13" t="s">
        <v>842</v>
      </c>
      <c r="E266" s="10" t="s">
        <v>174</v>
      </c>
      <c r="F266" s="10" t="s">
        <v>2420</v>
      </c>
      <c r="G266" s="21" t="s">
        <v>843</v>
      </c>
      <c r="H266" s="21" t="s">
        <v>177</v>
      </c>
      <c r="I266" s="20">
        <v>510</v>
      </c>
      <c r="J266" s="11" t="s">
        <v>267</v>
      </c>
      <c r="K266" s="11">
        <f>I266/30</f>
        <v>17</v>
      </c>
      <c r="L266" s="1">
        <v>0.7</v>
      </c>
      <c r="M266" s="13" t="s">
        <v>809</v>
      </c>
      <c r="N266" s="13"/>
    </row>
    <row r="267" spans="1:14" ht="45">
      <c r="A267" s="46" t="s">
        <v>846</v>
      </c>
      <c r="B267" s="13" t="s">
        <v>832</v>
      </c>
      <c r="C267" s="13" t="s">
        <v>833</v>
      </c>
      <c r="D267" s="13" t="s">
        <v>847</v>
      </c>
      <c r="E267" s="10" t="s">
        <v>174</v>
      </c>
      <c r="F267" s="10" t="s">
        <v>2416</v>
      </c>
      <c r="G267" s="10" t="s">
        <v>259</v>
      </c>
      <c r="H267" s="10" t="s">
        <v>260</v>
      </c>
      <c r="I267" s="20">
        <v>452.8</v>
      </c>
      <c r="J267" s="11" t="s">
        <v>267</v>
      </c>
      <c r="K267" s="11">
        <f>I267/28</f>
        <v>16.171428571428571</v>
      </c>
      <c r="L267" s="1">
        <v>0.7</v>
      </c>
      <c r="M267" s="13" t="s">
        <v>809</v>
      </c>
      <c r="N267" s="13"/>
    </row>
    <row r="268" spans="1:14" ht="45">
      <c r="A268" s="46">
        <v>1103804</v>
      </c>
      <c r="B268" s="13" t="s">
        <v>848</v>
      </c>
      <c r="C268" s="13" t="s">
        <v>849</v>
      </c>
      <c r="D268" s="13" t="s">
        <v>850</v>
      </c>
      <c r="E268" s="10" t="s">
        <v>133</v>
      </c>
      <c r="F268" s="10" t="s">
        <v>851</v>
      </c>
      <c r="G268" s="10" t="s">
        <v>852</v>
      </c>
      <c r="H268" s="10" t="s">
        <v>853</v>
      </c>
      <c r="I268" s="20">
        <v>225.8</v>
      </c>
      <c r="J268" s="38" t="s">
        <v>803</v>
      </c>
      <c r="K268" s="11">
        <f>I268/28</f>
        <v>8.0642857142857149</v>
      </c>
      <c r="L268" s="12">
        <v>0.45</v>
      </c>
      <c r="M268" s="13" t="s">
        <v>486</v>
      </c>
      <c r="N268" s="13"/>
    </row>
    <row r="269" spans="1:14" ht="45">
      <c r="A269" s="46" t="s">
        <v>854</v>
      </c>
      <c r="B269" s="13" t="s">
        <v>848</v>
      </c>
      <c r="C269" s="13" t="s">
        <v>849</v>
      </c>
      <c r="D269" s="13" t="s">
        <v>850</v>
      </c>
      <c r="E269" s="10" t="s">
        <v>133</v>
      </c>
      <c r="F269" s="10" t="s">
        <v>855</v>
      </c>
      <c r="G269" s="10" t="s">
        <v>852</v>
      </c>
      <c r="H269" s="10" t="s">
        <v>853</v>
      </c>
      <c r="I269" s="20">
        <v>317</v>
      </c>
      <c r="J269" s="38" t="s">
        <v>803</v>
      </c>
      <c r="K269" s="11">
        <f>I269/28</f>
        <v>11.321428571428571</v>
      </c>
      <c r="L269" s="12">
        <v>0.45</v>
      </c>
      <c r="M269" s="13" t="s">
        <v>486</v>
      </c>
      <c r="N269" s="13"/>
    </row>
    <row r="270" spans="1:14" ht="45">
      <c r="A270" s="46">
        <v>1103806</v>
      </c>
      <c r="B270" s="13" t="s">
        <v>848</v>
      </c>
      <c r="C270" s="13" t="s">
        <v>849</v>
      </c>
      <c r="D270" s="13" t="s">
        <v>850</v>
      </c>
      <c r="E270" s="10" t="s">
        <v>133</v>
      </c>
      <c r="F270" s="10" t="s">
        <v>856</v>
      </c>
      <c r="G270" s="10" t="s">
        <v>852</v>
      </c>
      <c r="H270" s="10" t="s">
        <v>853</v>
      </c>
      <c r="I270" s="20">
        <v>343.6</v>
      </c>
      <c r="J270" s="38" t="s">
        <v>803</v>
      </c>
      <c r="K270" s="11">
        <f>I270/28</f>
        <v>12.271428571428572</v>
      </c>
      <c r="L270" s="12">
        <v>0.45</v>
      </c>
      <c r="M270" s="13" t="s">
        <v>486</v>
      </c>
      <c r="N270" s="13"/>
    </row>
    <row r="271" spans="1:14" ht="56.25">
      <c r="A271" s="46" t="s">
        <v>857</v>
      </c>
      <c r="B271" s="13" t="s">
        <v>858</v>
      </c>
      <c r="C271" s="13" t="s">
        <v>859</v>
      </c>
      <c r="D271" s="13" t="s">
        <v>860</v>
      </c>
      <c r="E271" s="10" t="s">
        <v>133</v>
      </c>
      <c r="F271" s="10" t="s">
        <v>861</v>
      </c>
      <c r="G271" s="10" t="s">
        <v>256</v>
      </c>
      <c r="H271" s="10" t="s">
        <v>21</v>
      </c>
      <c r="I271" s="20">
        <v>228.6</v>
      </c>
      <c r="J271" s="11" t="s">
        <v>71</v>
      </c>
      <c r="K271" s="11">
        <f>I271/30/20*30</f>
        <v>11.43</v>
      </c>
      <c r="L271" s="12">
        <v>0.8</v>
      </c>
      <c r="M271" s="13" t="s">
        <v>862</v>
      </c>
      <c r="N271" s="13" t="s">
        <v>863</v>
      </c>
    </row>
    <row r="272" spans="1:14" ht="56.25">
      <c r="A272" s="46" t="s">
        <v>864</v>
      </c>
      <c r="B272" s="13" t="s">
        <v>858</v>
      </c>
      <c r="C272" s="13" t="s">
        <v>859</v>
      </c>
      <c r="D272" s="13" t="s">
        <v>860</v>
      </c>
      <c r="E272" s="10" t="s">
        <v>133</v>
      </c>
      <c r="F272" s="10" t="s">
        <v>394</v>
      </c>
      <c r="G272" s="10" t="s">
        <v>256</v>
      </c>
      <c r="H272" s="10" t="s">
        <v>21</v>
      </c>
      <c r="I272" s="20">
        <v>130.9</v>
      </c>
      <c r="J272" s="11" t="s">
        <v>71</v>
      </c>
      <c r="K272" s="11">
        <f>I272/30/10*30</f>
        <v>13.09</v>
      </c>
      <c r="L272" s="12">
        <v>0.8</v>
      </c>
      <c r="M272" s="13" t="s">
        <v>862</v>
      </c>
      <c r="N272" s="13" t="s">
        <v>863</v>
      </c>
    </row>
    <row r="273" spans="1:14" ht="56.25">
      <c r="A273" s="46" t="s">
        <v>865</v>
      </c>
      <c r="B273" s="13" t="s">
        <v>858</v>
      </c>
      <c r="C273" s="13" t="s">
        <v>859</v>
      </c>
      <c r="D273" s="13" t="s">
        <v>866</v>
      </c>
      <c r="E273" s="10" t="s">
        <v>133</v>
      </c>
      <c r="F273" s="10" t="s">
        <v>501</v>
      </c>
      <c r="G273" s="25" t="s">
        <v>46</v>
      </c>
      <c r="H273" s="25" t="s">
        <v>25</v>
      </c>
      <c r="I273" s="20">
        <v>122.2</v>
      </c>
      <c r="J273" s="11" t="s">
        <v>71</v>
      </c>
      <c r="K273" s="11">
        <f>I273/28/10*30</f>
        <v>13.092857142857145</v>
      </c>
      <c r="L273" s="12">
        <v>0.8</v>
      </c>
      <c r="M273" s="13" t="s">
        <v>862</v>
      </c>
      <c r="N273" s="13" t="s">
        <v>863</v>
      </c>
    </row>
    <row r="274" spans="1:14" ht="56.25">
      <c r="A274" s="46" t="s">
        <v>867</v>
      </c>
      <c r="B274" s="13" t="s">
        <v>858</v>
      </c>
      <c r="C274" s="13" t="s">
        <v>859</v>
      </c>
      <c r="D274" s="13" t="s">
        <v>866</v>
      </c>
      <c r="E274" s="10" t="s">
        <v>133</v>
      </c>
      <c r="F274" s="10" t="s">
        <v>44</v>
      </c>
      <c r="G274" s="25" t="s">
        <v>49</v>
      </c>
      <c r="H274" s="25" t="s">
        <v>25</v>
      </c>
      <c r="I274" s="20">
        <v>213.4</v>
      </c>
      <c r="J274" s="11" t="s">
        <v>71</v>
      </c>
      <c r="K274" s="11">
        <f>I274/28/20*30</f>
        <v>11.432142857142859</v>
      </c>
      <c r="L274" s="12">
        <v>0.8</v>
      </c>
      <c r="M274" s="13" t="s">
        <v>862</v>
      </c>
      <c r="N274" s="13" t="s">
        <v>863</v>
      </c>
    </row>
    <row r="275" spans="1:14" ht="56.25">
      <c r="A275" s="46" t="s">
        <v>868</v>
      </c>
      <c r="B275" s="13" t="s">
        <v>858</v>
      </c>
      <c r="C275" s="13" t="s">
        <v>859</v>
      </c>
      <c r="D275" s="13" t="s">
        <v>866</v>
      </c>
      <c r="E275" s="10" t="s">
        <v>133</v>
      </c>
      <c r="F275" s="10" t="s">
        <v>48</v>
      </c>
      <c r="G275" s="25" t="s">
        <v>49</v>
      </c>
      <c r="H275" s="25" t="s">
        <v>25</v>
      </c>
      <c r="I275" s="20">
        <v>350</v>
      </c>
      <c r="J275" s="11" t="s">
        <v>71</v>
      </c>
      <c r="K275" s="11">
        <f>I275/28/40*30</f>
        <v>9.375</v>
      </c>
      <c r="L275" s="12">
        <v>0.8</v>
      </c>
      <c r="M275" s="13" t="s">
        <v>862</v>
      </c>
      <c r="N275" s="13" t="s">
        <v>863</v>
      </c>
    </row>
    <row r="276" spans="1:14" ht="56.25">
      <c r="A276" s="46" t="s">
        <v>869</v>
      </c>
      <c r="B276" s="13" t="s">
        <v>858</v>
      </c>
      <c r="C276" s="13" t="s">
        <v>859</v>
      </c>
      <c r="D276" s="13" t="s">
        <v>870</v>
      </c>
      <c r="E276" s="10" t="s">
        <v>133</v>
      </c>
      <c r="F276" s="10" t="s">
        <v>394</v>
      </c>
      <c r="G276" s="72" t="s">
        <v>728</v>
      </c>
      <c r="H276" s="21" t="s">
        <v>729</v>
      </c>
      <c r="I276" s="20">
        <v>130.9</v>
      </c>
      <c r="J276" s="11" t="s">
        <v>71</v>
      </c>
      <c r="K276" s="11">
        <f>I276/30/10*30</f>
        <v>13.09</v>
      </c>
      <c r="L276" s="12">
        <v>0.8</v>
      </c>
      <c r="M276" s="13" t="s">
        <v>862</v>
      </c>
      <c r="N276" s="13" t="s">
        <v>863</v>
      </c>
    </row>
    <row r="277" spans="1:14" ht="56.25">
      <c r="A277" s="46" t="s">
        <v>871</v>
      </c>
      <c r="B277" s="13" t="s">
        <v>858</v>
      </c>
      <c r="C277" s="13" t="s">
        <v>859</v>
      </c>
      <c r="D277" s="13" t="s">
        <v>870</v>
      </c>
      <c r="E277" s="10" t="s">
        <v>133</v>
      </c>
      <c r="F277" s="10" t="s">
        <v>861</v>
      </c>
      <c r="G277" s="72" t="s">
        <v>728</v>
      </c>
      <c r="H277" s="21" t="s">
        <v>729</v>
      </c>
      <c r="I277" s="20">
        <v>228.6</v>
      </c>
      <c r="J277" s="11" t="s">
        <v>71</v>
      </c>
      <c r="K277" s="11">
        <f>I277/30/20*30</f>
        <v>11.43</v>
      </c>
      <c r="L277" s="12">
        <v>0.8</v>
      </c>
      <c r="M277" s="13" t="s">
        <v>862</v>
      </c>
      <c r="N277" s="13" t="s">
        <v>863</v>
      </c>
    </row>
    <row r="278" spans="1:14" ht="56.25">
      <c r="A278" s="46" t="s">
        <v>872</v>
      </c>
      <c r="B278" s="13" t="s">
        <v>858</v>
      </c>
      <c r="C278" s="13" t="s">
        <v>859</v>
      </c>
      <c r="D278" s="13" t="s">
        <v>870</v>
      </c>
      <c r="E278" s="10" t="s">
        <v>133</v>
      </c>
      <c r="F278" s="10" t="s">
        <v>873</v>
      </c>
      <c r="G278" s="72" t="s">
        <v>728</v>
      </c>
      <c r="H278" s="21" t="s">
        <v>729</v>
      </c>
      <c r="I278" s="20">
        <v>375</v>
      </c>
      <c r="J278" s="11" t="s">
        <v>71</v>
      </c>
      <c r="K278" s="11">
        <f>I278/30/40*30</f>
        <v>9.375</v>
      </c>
      <c r="L278" s="12">
        <v>0.8</v>
      </c>
      <c r="M278" s="13" t="s">
        <v>862</v>
      </c>
      <c r="N278" s="13" t="s">
        <v>863</v>
      </c>
    </row>
    <row r="279" spans="1:14" ht="56.25">
      <c r="A279" s="46" t="s">
        <v>874</v>
      </c>
      <c r="B279" s="13" t="s">
        <v>875</v>
      </c>
      <c r="C279" s="13" t="s">
        <v>876</v>
      </c>
      <c r="D279" s="13" t="s">
        <v>877</v>
      </c>
      <c r="E279" s="10" t="s">
        <v>174</v>
      </c>
      <c r="F279" s="10" t="s">
        <v>861</v>
      </c>
      <c r="G279" s="10" t="s">
        <v>433</v>
      </c>
      <c r="H279" s="10" t="s">
        <v>21</v>
      </c>
      <c r="I279" s="20">
        <v>282.2</v>
      </c>
      <c r="J279" s="11" t="s">
        <v>71</v>
      </c>
      <c r="K279" s="11">
        <f>I279/30/20*30</f>
        <v>14.11</v>
      </c>
      <c r="L279" s="12">
        <v>0.75</v>
      </c>
      <c r="M279" s="13" t="s">
        <v>878</v>
      </c>
      <c r="N279" s="13" t="s">
        <v>879</v>
      </c>
    </row>
    <row r="280" spans="1:14" ht="56.25">
      <c r="A280" s="46" t="s">
        <v>880</v>
      </c>
      <c r="B280" s="13" t="s">
        <v>875</v>
      </c>
      <c r="C280" s="13" t="s">
        <v>876</v>
      </c>
      <c r="D280" s="13" t="s">
        <v>877</v>
      </c>
      <c r="E280" s="10" t="s">
        <v>174</v>
      </c>
      <c r="F280" s="10" t="s">
        <v>873</v>
      </c>
      <c r="G280" s="10" t="s">
        <v>433</v>
      </c>
      <c r="H280" s="10" t="s">
        <v>21</v>
      </c>
      <c r="I280" s="20">
        <v>393.7</v>
      </c>
      <c r="J280" s="11" t="s">
        <v>71</v>
      </c>
      <c r="K280" s="11">
        <f>I280/30/40*30</f>
        <v>9.8424999999999994</v>
      </c>
      <c r="L280" s="12">
        <v>0.75</v>
      </c>
      <c r="M280" s="13" t="s">
        <v>878</v>
      </c>
      <c r="N280" s="13" t="s">
        <v>879</v>
      </c>
    </row>
    <row r="281" spans="1:14" ht="56.25">
      <c r="A281" s="46" t="s">
        <v>881</v>
      </c>
      <c r="B281" s="13" t="s">
        <v>882</v>
      </c>
      <c r="C281" s="13" t="s">
        <v>883</v>
      </c>
      <c r="D281" s="13" t="s">
        <v>884</v>
      </c>
      <c r="E281" s="10" t="s">
        <v>133</v>
      </c>
      <c r="F281" s="10" t="s">
        <v>394</v>
      </c>
      <c r="G281" s="10" t="s">
        <v>20</v>
      </c>
      <c r="H281" s="10" t="s">
        <v>21</v>
      </c>
      <c r="I281" s="20">
        <v>232.5</v>
      </c>
      <c r="J281" s="11" t="s">
        <v>22</v>
      </c>
      <c r="K281" s="11">
        <f>I281/30/10*20</f>
        <v>15.5</v>
      </c>
      <c r="L281" s="12">
        <v>0.85</v>
      </c>
      <c r="M281" s="13" t="s">
        <v>885</v>
      </c>
      <c r="N281" s="13" t="s">
        <v>886</v>
      </c>
    </row>
    <row r="282" spans="1:14" ht="56.25">
      <c r="A282" s="46" t="s">
        <v>887</v>
      </c>
      <c r="B282" s="13" t="s">
        <v>882</v>
      </c>
      <c r="C282" s="13" t="s">
        <v>883</v>
      </c>
      <c r="D282" s="13" t="s">
        <v>884</v>
      </c>
      <c r="E282" s="10" t="s">
        <v>133</v>
      </c>
      <c r="F282" s="10" t="s">
        <v>861</v>
      </c>
      <c r="G282" s="10" t="s">
        <v>20</v>
      </c>
      <c r="H282" s="10" t="s">
        <v>21</v>
      </c>
      <c r="I282" s="20">
        <v>315.2</v>
      </c>
      <c r="J282" s="11" t="s">
        <v>22</v>
      </c>
      <c r="K282" s="11">
        <f>I282/30/20*20</f>
        <v>10.506666666666666</v>
      </c>
      <c r="L282" s="12">
        <v>0.85</v>
      </c>
      <c r="M282" s="13" t="s">
        <v>885</v>
      </c>
      <c r="N282" s="13" t="s">
        <v>886</v>
      </c>
    </row>
    <row r="283" spans="1:14" ht="56.25">
      <c r="A283" s="46" t="s">
        <v>888</v>
      </c>
      <c r="B283" s="13" t="s">
        <v>882</v>
      </c>
      <c r="C283" s="13" t="s">
        <v>883</v>
      </c>
      <c r="D283" s="13" t="s">
        <v>884</v>
      </c>
      <c r="E283" s="10" t="s">
        <v>133</v>
      </c>
      <c r="F283" s="10" t="s">
        <v>873</v>
      </c>
      <c r="G283" s="10" t="s">
        <v>20</v>
      </c>
      <c r="H283" s="10" t="s">
        <v>21</v>
      </c>
      <c r="I283" s="20">
        <v>403.1</v>
      </c>
      <c r="J283" s="11" t="s">
        <v>22</v>
      </c>
      <c r="K283" s="11">
        <f>I283/30/40*20</f>
        <v>6.7183333333333337</v>
      </c>
      <c r="L283" s="12">
        <v>0.85</v>
      </c>
      <c r="M283" s="13" t="s">
        <v>885</v>
      </c>
      <c r="N283" s="13" t="s">
        <v>886</v>
      </c>
    </row>
    <row r="284" spans="1:14" ht="56.25">
      <c r="A284" s="46" t="s">
        <v>889</v>
      </c>
      <c r="B284" s="13" t="s">
        <v>882</v>
      </c>
      <c r="C284" s="13" t="s">
        <v>883</v>
      </c>
      <c r="D284" s="13" t="s">
        <v>890</v>
      </c>
      <c r="E284" s="10" t="s">
        <v>133</v>
      </c>
      <c r="F284" s="10" t="s">
        <v>394</v>
      </c>
      <c r="G284" s="47" t="s">
        <v>46</v>
      </c>
      <c r="H284" s="47" t="s">
        <v>25</v>
      </c>
      <c r="I284" s="20">
        <v>232.5</v>
      </c>
      <c r="J284" s="11" t="s">
        <v>22</v>
      </c>
      <c r="K284" s="11">
        <f>I284/30/10*20</f>
        <v>15.5</v>
      </c>
      <c r="L284" s="12">
        <v>0.85</v>
      </c>
      <c r="M284" s="13" t="s">
        <v>885</v>
      </c>
      <c r="N284" s="13" t="s">
        <v>886</v>
      </c>
    </row>
    <row r="285" spans="1:14" ht="56.25">
      <c r="A285" s="46" t="s">
        <v>891</v>
      </c>
      <c r="B285" s="13" t="s">
        <v>882</v>
      </c>
      <c r="C285" s="13" t="s">
        <v>883</v>
      </c>
      <c r="D285" s="13" t="s">
        <v>890</v>
      </c>
      <c r="E285" s="10" t="s">
        <v>133</v>
      </c>
      <c r="F285" s="10" t="s">
        <v>861</v>
      </c>
      <c r="G285" s="47" t="s">
        <v>46</v>
      </c>
      <c r="H285" s="47" t="s">
        <v>25</v>
      </c>
      <c r="I285" s="20">
        <v>315.2</v>
      </c>
      <c r="J285" s="11" t="s">
        <v>22</v>
      </c>
      <c r="K285" s="11">
        <f>I285/30/20*20</f>
        <v>10.506666666666666</v>
      </c>
      <c r="L285" s="12">
        <v>0.85</v>
      </c>
      <c r="M285" s="13" t="s">
        <v>885</v>
      </c>
      <c r="N285" s="13" t="s">
        <v>886</v>
      </c>
    </row>
    <row r="286" spans="1:14" ht="56.25">
      <c r="A286" s="46" t="s">
        <v>892</v>
      </c>
      <c r="B286" s="13" t="s">
        <v>882</v>
      </c>
      <c r="C286" s="13" t="s">
        <v>883</v>
      </c>
      <c r="D286" s="13" t="s">
        <v>890</v>
      </c>
      <c r="E286" s="10" t="s">
        <v>133</v>
      </c>
      <c r="F286" s="10" t="s">
        <v>873</v>
      </c>
      <c r="G286" s="47" t="s">
        <v>46</v>
      </c>
      <c r="H286" s="47" t="s">
        <v>25</v>
      </c>
      <c r="I286" s="20">
        <v>403.1</v>
      </c>
      <c r="J286" s="11" t="s">
        <v>22</v>
      </c>
      <c r="K286" s="11">
        <f>I286/30/40*20</f>
        <v>6.7183333333333337</v>
      </c>
      <c r="L286" s="12">
        <v>0.85</v>
      </c>
      <c r="M286" s="13" t="s">
        <v>885</v>
      </c>
      <c r="N286" s="13" t="s">
        <v>886</v>
      </c>
    </row>
    <row r="287" spans="1:14" ht="56.25">
      <c r="A287" s="46" t="s">
        <v>893</v>
      </c>
      <c r="B287" s="13" t="s">
        <v>882</v>
      </c>
      <c r="C287" s="13" t="s">
        <v>883</v>
      </c>
      <c r="D287" s="13" t="s">
        <v>894</v>
      </c>
      <c r="E287" s="10" t="s">
        <v>133</v>
      </c>
      <c r="F287" s="10" t="s">
        <v>394</v>
      </c>
      <c r="G287" s="10" t="s">
        <v>520</v>
      </c>
      <c r="H287" s="10" t="s">
        <v>21</v>
      </c>
      <c r="I287" s="20">
        <v>232.5</v>
      </c>
      <c r="J287" s="11" t="s">
        <v>22</v>
      </c>
      <c r="K287" s="11">
        <f>I287/30/10*20</f>
        <v>15.5</v>
      </c>
      <c r="L287" s="12">
        <v>0.85</v>
      </c>
      <c r="M287" s="13" t="s">
        <v>885</v>
      </c>
      <c r="N287" s="13" t="s">
        <v>886</v>
      </c>
    </row>
    <row r="288" spans="1:14" ht="56.25">
      <c r="A288" s="46" t="s">
        <v>895</v>
      </c>
      <c r="B288" s="13" t="s">
        <v>882</v>
      </c>
      <c r="C288" s="13" t="s">
        <v>883</v>
      </c>
      <c r="D288" s="13" t="s">
        <v>894</v>
      </c>
      <c r="E288" s="10" t="s">
        <v>133</v>
      </c>
      <c r="F288" s="10" t="s">
        <v>861</v>
      </c>
      <c r="G288" s="10" t="s">
        <v>520</v>
      </c>
      <c r="H288" s="10" t="s">
        <v>21</v>
      </c>
      <c r="I288" s="20">
        <v>315.2</v>
      </c>
      <c r="J288" s="11" t="s">
        <v>22</v>
      </c>
      <c r="K288" s="11">
        <f>I288/30/20*20</f>
        <v>10.506666666666666</v>
      </c>
      <c r="L288" s="12">
        <v>0.85</v>
      </c>
      <c r="M288" s="13" t="s">
        <v>885</v>
      </c>
      <c r="N288" s="13" t="s">
        <v>886</v>
      </c>
    </row>
    <row r="289" spans="1:14" ht="56.25">
      <c r="A289" s="46" t="s">
        <v>896</v>
      </c>
      <c r="B289" s="13" t="s">
        <v>882</v>
      </c>
      <c r="C289" s="13" t="s">
        <v>883</v>
      </c>
      <c r="D289" s="13" t="s">
        <v>897</v>
      </c>
      <c r="E289" s="10" t="s">
        <v>133</v>
      </c>
      <c r="F289" s="10" t="s">
        <v>394</v>
      </c>
      <c r="G289" s="10" t="s">
        <v>252</v>
      </c>
      <c r="H289" s="10" t="s">
        <v>21</v>
      </c>
      <c r="I289" s="20">
        <v>232.5</v>
      </c>
      <c r="J289" s="11" t="s">
        <v>22</v>
      </c>
      <c r="K289" s="11">
        <f>I289/30/10*20</f>
        <v>15.5</v>
      </c>
      <c r="L289" s="12">
        <v>0.85</v>
      </c>
      <c r="M289" s="13" t="s">
        <v>885</v>
      </c>
      <c r="N289" s="13" t="s">
        <v>886</v>
      </c>
    </row>
    <row r="290" spans="1:14" ht="56.25">
      <c r="A290" s="46" t="s">
        <v>898</v>
      </c>
      <c r="B290" s="13" t="s">
        <v>882</v>
      </c>
      <c r="C290" s="13" t="s">
        <v>883</v>
      </c>
      <c r="D290" s="13" t="s">
        <v>897</v>
      </c>
      <c r="E290" s="10" t="s">
        <v>133</v>
      </c>
      <c r="F290" s="10" t="s">
        <v>861</v>
      </c>
      <c r="G290" s="10" t="s">
        <v>252</v>
      </c>
      <c r="H290" s="10" t="s">
        <v>21</v>
      </c>
      <c r="I290" s="20">
        <v>315.2</v>
      </c>
      <c r="J290" s="11" t="s">
        <v>22</v>
      </c>
      <c r="K290" s="11">
        <f>I290/30/20*20</f>
        <v>10.506666666666666</v>
      </c>
      <c r="L290" s="12">
        <v>0.85</v>
      </c>
      <c r="M290" s="13" t="s">
        <v>885</v>
      </c>
      <c r="N290" s="13" t="s">
        <v>886</v>
      </c>
    </row>
    <row r="291" spans="1:14" ht="56.25">
      <c r="A291" s="75" t="s">
        <v>899</v>
      </c>
      <c r="B291" s="64" t="s">
        <v>882</v>
      </c>
      <c r="C291" s="64" t="s">
        <v>883</v>
      </c>
      <c r="D291" s="64" t="s">
        <v>900</v>
      </c>
      <c r="E291" s="23" t="s">
        <v>133</v>
      </c>
      <c r="F291" s="23" t="s">
        <v>394</v>
      </c>
      <c r="G291" s="23" t="s">
        <v>901</v>
      </c>
      <c r="H291" s="21" t="s">
        <v>729</v>
      </c>
      <c r="I291" s="20">
        <v>232.5</v>
      </c>
      <c r="J291" s="23" t="s">
        <v>902</v>
      </c>
      <c r="K291" s="35">
        <f>I291/30/10*20</f>
        <v>15.5</v>
      </c>
      <c r="L291" s="12">
        <v>0.85</v>
      </c>
      <c r="M291" s="13" t="s">
        <v>885</v>
      </c>
      <c r="N291" s="13" t="s">
        <v>886</v>
      </c>
    </row>
    <row r="292" spans="1:14" ht="56.25">
      <c r="A292" s="75" t="s">
        <v>903</v>
      </c>
      <c r="B292" s="64" t="s">
        <v>882</v>
      </c>
      <c r="C292" s="64" t="s">
        <v>883</v>
      </c>
      <c r="D292" s="64" t="s">
        <v>900</v>
      </c>
      <c r="E292" s="23" t="s">
        <v>133</v>
      </c>
      <c r="F292" s="23" t="s">
        <v>861</v>
      </c>
      <c r="G292" s="23" t="s">
        <v>901</v>
      </c>
      <c r="H292" s="21" t="s">
        <v>729</v>
      </c>
      <c r="I292" s="20">
        <v>315.2</v>
      </c>
      <c r="J292" s="23" t="s">
        <v>902</v>
      </c>
      <c r="K292" s="35">
        <f>I292/30/20*20</f>
        <v>10.506666666666666</v>
      </c>
      <c r="L292" s="12">
        <v>0.85</v>
      </c>
      <c r="M292" s="13" t="s">
        <v>885</v>
      </c>
      <c r="N292" s="13" t="s">
        <v>886</v>
      </c>
    </row>
    <row r="293" spans="1:14" ht="56.25">
      <c r="A293" s="75" t="s">
        <v>904</v>
      </c>
      <c r="B293" s="64" t="s">
        <v>882</v>
      </c>
      <c r="C293" s="64" t="s">
        <v>883</v>
      </c>
      <c r="D293" s="64" t="s">
        <v>900</v>
      </c>
      <c r="E293" s="23" t="s">
        <v>133</v>
      </c>
      <c r="F293" s="23" t="s">
        <v>873</v>
      </c>
      <c r="G293" s="23" t="s">
        <v>901</v>
      </c>
      <c r="H293" s="21" t="s">
        <v>729</v>
      </c>
      <c r="I293" s="20">
        <v>403.1</v>
      </c>
      <c r="J293" s="23" t="s">
        <v>902</v>
      </c>
      <c r="K293" s="35">
        <f>I293/30/40*20</f>
        <v>6.7183333333333337</v>
      </c>
      <c r="L293" s="12">
        <v>0.85</v>
      </c>
      <c r="M293" s="13" t="s">
        <v>885</v>
      </c>
      <c r="N293" s="13" t="s">
        <v>886</v>
      </c>
    </row>
    <row r="294" spans="1:14" ht="56.25">
      <c r="A294" s="46" t="s">
        <v>905</v>
      </c>
      <c r="B294" s="13" t="s">
        <v>882</v>
      </c>
      <c r="C294" s="13" t="s">
        <v>883</v>
      </c>
      <c r="D294" s="13" t="s">
        <v>906</v>
      </c>
      <c r="E294" s="10" t="s">
        <v>133</v>
      </c>
      <c r="F294" s="10" t="s">
        <v>394</v>
      </c>
      <c r="G294" s="40" t="s">
        <v>256</v>
      </c>
      <c r="H294" s="10" t="s">
        <v>21</v>
      </c>
      <c r="I294" s="20">
        <v>232.5</v>
      </c>
      <c r="J294" s="11" t="s">
        <v>22</v>
      </c>
      <c r="K294" s="35">
        <f>I294/30/10*20</f>
        <v>15.5</v>
      </c>
      <c r="L294" s="1">
        <v>0.85</v>
      </c>
      <c r="M294" s="13" t="s">
        <v>885</v>
      </c>
      <c r="N294" s="13" t="s">
        <v>886</v>
      </c>
    </row>
    <row r="295" spans="1:14" ht="56.25">
      <c r="A295" s="46" t="s">
        <v>907</v>
      </c>
      <c r="B295" s="13" t="s">
        <v>882</v>
      </c>
      <c r="C295" s="13" t="s">
        <v>883</v>
      </c>
      <c r="D295" s="13" t="s">
        <v>906</v>
      </c>
      <c r="E295" s="10" t="s">
        <v>133</v>
      </c>
      <c r="F295" s="10" t="s">
        <v>861</v>
      </c>
      <c r="G295" s="40" t="s">
        <v>256</v>
      </c>
      <c r="H295" s="10" t="s">
        <v>21</v>
      </c>
      <c r="I295" s="20">
        <v>315.2</v>
      </c>
      <c r="J295" s="11" t="s">
        <v>22</v>
      </c>
      <c r="K295" s="35">
        <f>I295/30/20*20</f>
        <v>10.506666666666666</v>
      </c>
      <c r="L295" s="1">
        <v>0.85</v>
      </c>
      <c r="M295" s="13" t="s">
        <v>885</v>
      </c>
      <c r="N295" s="13" t="s">
        <v>886</v>
      </c>
    </row>
    <row r="296" spans="1:14" ht="56.25">
      <c r="A296" s="46" t="s">
        <v>908</v>
      </c>
      <c r="B296" s="13" t="s">
        <v>882</v>
      </c>
      <c r="C296" s="13" t="s">
        <v>883</v>
      </c>
      <c r="D296" s="13" t="s">
        <v>906</v>
      </c>
      <c r="E296" s="10" t="s">
        <v>133</v>
      </c>
      <c r="F296" s="10" t="s">
        <v>873</v>
      </c>
      <c r="G296" s="40" t="s">
        <v>256</v>
      </c>
      <c r="H296" s="10" t="s">
        <v>21</v>
      </c>
      <c r="I296" s="20">
        <v>403.1</v>
      </c>
      <c r="J296" s="11" t="s">
        <v>22</v>
      </c>
      <c r="K296" s="35">
        <f>I296/30/40*20</f>
        <v>6.7183333333333337</v>
      </c>
      <c r="L296" s="1">
        <v>0.85</v>
      </c>
      <c r="M296" s="13" t="s">
        <v>885</v>
      </c>
      <c r="N296" s="13" t="s">
        <v>886</v>
      </c>
    </row>
    <row r="297" spans="1:14" ht="56.25">
      <c r="A297" s="46" t="s">
        <v>909</v>
      </c>
      <c r="B297" s="13" t="s">
        <v>910</v>
      </c>
      <c r="C297" s="13" t="s">
        <v>911</v>
      </c>
      <c r="D297" s="13" t="s">
        <v>912</v>
      </c>
      <c r="E297" s="10" t="s">
        <v>133</v>
      </c>
      <c r="F297" s="10" t="s">
        <v>441</v>
      </c>
      <c r="G297" s="10" t="s">
        <v>46</v>
      </c>
      <c r="H297" s="10" t="s">
        <v>25</v>
      </c>
      <c r="I297" s="11">
        <v>175.2</v>
      </c>
      <c r="J297" s="10" t="s">
        <v>331</v>
      </c>
      <c r="K297" s="11">
        <f>I297/28/5*10</f>
        <v>12.514285714285712</v>
      </c>
      <c r="L297" s="1">
        <v>0.85</v>
      </c>
      <c r="M297" s="13" t="s">
        <v>913</v>
      </c>
      <c r="N297" s="13" t="s">
        <v>914</v>
      </c>
    </row>
    <row r="298" spans="1:14" ht="56.25">
      <c r="A298" s="46" t="s">
        <v>915</v>
      </c>
      <c r="B298" s="13" t="s">
        <v>910</v>
      </c>
      <c r="C298" s="13" t="s">
        <v>911</v>
      </c>
      <c r="D298" s="13" t="s">
        <v>912</v>
      </c>
      <c r="E298" s="10" t="s">
        <v>133</v>
      </c>
      <c r="F298" s="10" t="s">
        <v>501</v>
      </c>
      <c r="G298" s="10" t="s">
        <v>49</v>
      </c>
      <c r="H298" s="10" t="s">
        <v>25</v>
      </c>
      <c r="I298" s="20">
        <v>356.2</v>
      </c>
      <c r="J298" s="10" t="s">
        <v>331</v>
      </c>
      <c r="K298" s="11">
        <f>I298/28/10*10</f>
        <v>12.721428571428572</v>
      </c>
      <c r="L298" s="1">
        <v>0.85</v>
      </c>
      <c r="M298" s="13" t="s">
        <v>913</v>
      </c>
      <c r="N298" s="13" t="s">
        <v>914</v>
      </c>
    </row>
    <row r="299" spans="1:14" ht="56.25">
      <c r="A299" s="46" t="s">
        <v>916</v>
      </c>
      <c r="B299" s="13" t="s">
        <v>910</v>
      </c>
      <c r="C299" s="13" t="s">
        <v>911</v>
      </c>
      <c r="D299" s="13" t="s">
        <v>912</v>
      </c>
      <c r="E299" s="10" t="s">
        <v>133</v>
      </c>
      <c r="F299" s="10" t="s">
        <v>44</v>
      </c>
      <c r="G299" s="10" t="s">
        <v>46</v>
      </c>
      <c r="H299" s="10" t="s">
        <v>25</v>
      </c>
      <c r="I299" s="20">
        <v>391.3</v>
      </c>
      <c r="J299" s="10" t="s">
        <v>331</v>
      </c>
      <c r="K299" s="11">
        <f>I299/28/20*10</f>
        <v>6.9874999999999998</v>
      </c>
      <c r="L299" s="1">
        <v>0.85</v>
      </c>
      <c r="M299" s="13" t="s">
        <v>913</v>
      </c>
      <c r="N299" s="13" t="s">
        <v>914</v>
      </c>
    </row>
    <row r="300" spans="1:14" ht="56.25">
      <c r="A300" s="46" t="s">
        <v>917</v>
      </c>
      <c r="B300" s="13" t="s">
        <v>910</v>
      </c>
      <c r="C300" s="13" t="s">
        <v>911</v>
      </c>
      <c r="D300" s="13" t="s">
        <v>912</v>
      </c>
      <c r="E300" s="10" t="s">
        <v>133</v>
      </c>
      <c r="F300" s="10" t="s">
        <v>48</v>
      </c>
      <c r="G300" s="10" t="s">
        <v>46</v>
      </c>
      <c r="H300" s="10" t="s">
        <v>25</v>
      </c>
      <c r="I300" s="20">
        <v>461.5</v>
      </c>
      <c r="J300" s="10" t="s">
        <v>331</v>
      </c>
      <c r="K300" s="35">
        <f>I300/28/40*10</f>
        <v>4.1205357142857144</v>
      </c>
      <c r="L300" s="1">
        <v>0.85</v>
      </c>
      <c r="M300" s="13" t="s">
        <v>913</v>
      </c>
      <c r="N300" s="13" t="s">
        <v>914</v>
      </c>
    </row>
    <row r="301" spans="1:14" ht="56.25">
      <c r="A301" s="46" t="s">
        <v>918</v>
      </c>
      <c r="B301" s="13" t="s">
        <v>910</v>
      </c>
      <c r="C301" s="13" t="s">
        <v>911</v>
      </c>
      <c r="D301" s="13" t="s">
        <v>919</v>
      </c>
      <c r="E301" s="10" t="s">
        <v>133</v>
      </c>
      <c r="F301" s="10" t="s">
        <v>394</v>
      </c>
      <c r="G301" s="10" t="s">
        <v>433</v>
      </c>
      <c r="H301" s="10" t="s">
        <v>21</v>
      </c>
      <c r="I301" s="20">
        <v>381.6</v>
      </c>
      <c r="J301" s="10" t="s">
        <v>331</v>
      </c>
      <c r="K301" s="11">
        <f>I301/30/10*10</f>
        <v>12.72</v>
      </c>
      <c r="L301" s="1">
        <v>0.85</v>
      </c>
      <c r="M301" s="13" t="s">
        <v>913</v>
      </c>
      <c r="N301" s="13" t="s">
        <v>914</v>
      </c>
    </row>
    <row r="302" spans="1:14" ht="56.25">
      <c r="A302" s="46" t="s">
        <v>920</v>
      </c>
      <c r="B302" s="13" t="s">
        <v>910</v>
      </c>
      <c r="C302" s="13" t="s">
        <v>911</v>
      </c>
      <c r="D302" s="13" t="s">
        <v>919</v>
      </c>
      <c r="E302" s="10" t="s">
        <v>133</v>
      </c>
      <c r="F302" s="10" t="s">
        <v>861</v>
      </c>
      <c r="G302" s="10" t="s">
        <v>433</v>
      </c>
      <c r="H302" s="10" t="s">
        <v>21</v>
      </c>
      <c r="I302" s="20">
        <v>419.3</v>
      </c>
      <c r="J302" s="10" t="s">
        <v>331</v>
      </c>
      <c r="K302" s="11">
        <f>I302/30/20*10</f>
        <v>6.9883333333333333</v>
      </c>
      <c r="L302" s="1">
        <v>0.85</v>
      </c>
      <c r="M302" s="13" t="s">
        <v>913</v>
      </c>
      <c r="N302" s="13" t="s">
        <v>914</v>
      </c>
    </row>
    <row r="303" spans="1:14" ht="56.25">
      <c r="A303" s="46" t="s">
        <v>921</v>
      </c>
      <c r="B303" s="13" t="s">
        <v>910</v>
      </c>
      <c r="C303" s="13" t="s">
        <v>911</v>
      </c>
      <c r="D303" s="13" t="s">
        <v>922</v>
      </c>
      <c r="E303" s="10" t="s">
        <v>133</v>
      </c>
      <c r="F303" s="10" t="s">
        <v>441</v>
      </c>
      <c r="G303" s="10" t="s">
        <v>923</v>
      </c>
      <c r="H303" s="10" t="s">
        <v>25</v>
      </c>
      <c r="I303" s="11">
        <v>175.2</v>
      </c>
      <c r="J303" s="10" t="s">
        <v>331</v>
      </c>
      <c r="K303" s="11">
        <f>I303/28/5*10</f>
        <v>12.514285714285712</v>
      </c>
      <c r="L303" s="1">
        <v>0.85</v>
      </c>
      <c r="M303" s="13" t="s">
        <v>913</v>
      </c>
      <c r="N303" s="13" t="s">
        <v>914</v>
      </c>
    </row>
    <row r="304" spans="1:14" ht="56.25">
      <c r="A304" s="76" t="s">
        <v>924</v>
      </c>
      <c r="B304" s="77" t="s">
        <v>910</v>
      </c>
      <c r="C304" s="77" t="s">
        <v>911</v>
      </c>
      <c r="D304" s="77" t="s">
        <v>925</v>
      </c>
      <c r="E304" s="78" t="s">
        <v>133</v>
      </c>
      <c r="F304" s="78" t="s">
        <v>390</v>
      </c>
      <c r="G304" s="78" t="s">
        <v>926</v>
      </c>
      <c r="H304" s="78" t="s">
        <v>21</v>
      </c>
      <c r="I304" s="11">
        <v>187.7</v>
      </c>
      <c r="J304" s="10" t="s">
        <v>331</v>
      </c>
      <c r="K304" s="11">
        <f>I304/30/5*10</f>
        <v>12.513333333333332</v>
      </c>
      <c r="L304" s="1">
        <v>0.85</v>
      </c>
      <c r="M304" s="13" t="s">
        <v>913</v>
      </c>
      <c r="N304" s="13" t="s">
        <v>914</v>
      </c>
    </row>
    <row r="305" spans="1:14" ht="56.25">
      <c r="A305" s="76" t="s">
        <v>927</v>
      </c>
      <c r="B305" s="77" t="s">
        <v>910</v>
      </c>
      <c r="C305" s="77" t="s">
        <v>911</v>
      </c>
      <c r="D305" s="77" t="s">
        <v>925</v>
      </c>
      <c r="E305" s="78" t="s">
        <v>133</v>
      </c>
      <c r="F305" s="78" t="s">
        <v>394</v>
      </c>
      <c r="G305" s="78" t="s">
        <v>926</v>
      </c>
      <c r="H305" s="78" t="s">
        <v>21</v>
      </c>
      <c r="I305" s="20">
        <v>381.6</v>
      </c>
      <c r="J305" s="11" t="s">
        <v>331</v>
      </c>
      <c r="K305" s="36">
        <f>I305/30/10*10</f>
        <v>12.72</v>
      </c>
      <c r="L305" s="1">
        <v>0.85</v>
      </c>
      <c r="M305" s="13" t="s">
        <v>913</v>
      </c>
      <c r="N305" s="13" t="s">
        <v>914</v>
      </c>
    </row>
    <row r="306" spans="1:14" ht="56.25">
      <c r="A306" s="76" t="s">
        <v>928</v>
      </c>
      <c r="B306" s="77" t="s">
        <v>910</v>
      </c>
      <c r="C306" s="77" t="s">
        <v>911</v>
      </c>
      <c r="D306" s="77" t="s">
        <v>925</v>
      </c>
      <c r="E306" s="78" t="s">
        <v>133</v>
      </c>
      <c r="F306" s="78" t="s">
        <v>861</v>
      </c>
      <c r="G306" s="78" t="s">
        <v>926</v>
      </c>
      <c r="H306" s="78" t="s">
        <v>21</v>
      </c>
      <c r="I306" s="20">
        <v>419.3</v>
      </c>
      <c r="J306" s="11" t="s">
        <v>331</v>
      </c>
      <c r="K306" s="36">
        <f>I306/30/20*10</f>
        <v>6.9883333333333333</v>
      </c>
      <c r="L306" s="1">
        <v>0.85</v>
      </c>
      <c r="M306" s="13" t="s">
        <v>913</v>
      </c>
      <c r="N306" s="13" t="s">
        <v>914</v>
      </c>
    </row>
    <row r="307" spans="1:14" ht="56.25">
      <c r="A307" s="76" t="s">
        <v>929</v>
      </c>
      <c r="B307" s="77" t="s">
        <v>910</v>
      </c>
      <c r="C307" s="77" t="s">
        <v>911</v>
      </c>
      <c r="D307" s="77" t="s">
        <v>930</v>
      </c>
      <c r="E307" s="78" t="s">
        <v>133</v>
      </c>
      <c r="F307" s="78" t="s">
        <v>394</v>
      </c>
      <c r="G307" s="37" t="s">
        <v>2554</v>
      </c>
      <c r="H307" s="37" t="s">
        <v>2555</v>
      </c>
      <c r="I307" s="20">
        <v>381.6</v>
      </c>
      <c r="J307" s="11" t="s">
        <v>331</v>
      </c>
      <c r="K307" s="36">
        <f>I307/30/10*10</f>
        <v>12.72</v>
      </c>
      <c r="L307" s="1">
        <v>0.85</v>
      </c>
      <c r="M307" s="13" t="s">
        <v>913</v>
      </c>
      <c r="N307" s="13" t="s">
        <v>914</v>
      </c>
    </row>
    <row r="308" spans="1:14" ht="56.25">
      <c r="A308" s="76" t="s">
        <v>931</v>
      </c>
      <c r="B308" s="77" t="s">
        <v>910</v>
      </c>
      <c r="C308" s="77" t="s">
        <v>911</v>
      </c>
      <c r="D308" s="77" t="s">
        <v>930</v>
      </c>
      <c r="E308" s="78" t="s">
        <v>133</v>
      </c>
      <c r="F308" s="78" t="s">
        <v>861</v>
      </c>
      <c r="G308" s="37" t="s">
        <v>2556</v>
      </c>
      <c r="H308" s="37" t="s">
        <v>2557</v>
      </c>
      <c r="I308" s="20">
        <v>419.3</v>
      </c>
      <c r="J308" s="11" t="s">
        <v>331</v>
      </c>
      <c r="K308" s="36">
        <f>I308/30/20*10</f>
        <v>6.9883333333333333</v>
      </c>
      <c r="L308" s="1">
        <v>0.85</v>
      </c>
      <c r="M308" s="13" t="s">
        <v>913</v>
      </c>
      <c r="N308" s="13" t="s">
        <v>914</v>
      </c>
    </row>
    <row r="309" spans="1:14" ht="56.25">
      <c r="A309" s="46" t="s">
        <v>932</v>
      </c>
      <c r="B309" s="13" t="s">
        <v>910</v>
      </c>
      <c r="C309" s="13" t="s">
        <v>911</v>
      </c>
      <c r="D309" s="13" t="s">
        <v>933</v>
      </c>
      <c r="E309" s="10" t="s">
        <v>133</v>
      </c>
      <c r="F309" s="10" t="s">
        <v>394</v>
      </c>
      <c r="G309" s="10" t="s">
        <v>454</v>
      </c>
      <c r="H309" s="10" t="s">
        <v>324</v>
      </c>
      <c r="I309" s="20">
        <v>381.6</v>
      </c>
      <c r="J309" s="61" t="s">
        <v>331</v>
      </c>
      <c r="K309" s="11">
        <f>I309/30/10*10</f>
        <v>12.72</v>
      </c>
      <c r="L309" s="12">
        <v>0.85</v>
      </c>
      <c r="M309" s="13" t="s">
        <v>934</v>
      </c>
      <c r="N309" s="13" t="s">
        <v>914</v>
      </c>
    </row>
    <row r="310" spans="1:14" ht="56.25">
      <c r="A310" s="46" t="s">
        <v>935</v>
      </c>
      <c r="B310" s="13" t="s">
        <v>910</v>
      </c>
      <c r="C310" s="13" t="s">
        <v>911</v>
      </c>
      <c r="D310" s="13" t="s">
        <v>933</v>
      </c>
      <c r="E310" s="10" t="s">
        <v>133</v>
      </c>
      <c r="F310" s="10" t="s">
        <v>861</v>
      </c>
      <c r="G310" s="10" t="s">
        <v>454</v>
      </c>
      <c r="H310" s="10" t="s">
        <v>324</v>
      </c>
      <c r="I310" s="20">
        <v>419.3</v>
      </c>
      <c r="J310" s="61" t="s">
        <v>331</v>
      </c>
      <c r="K310" s="11">
        <f>I310/30/20*10</f>
        <v>6.9883333333333333</v>
      </c>
      <c r="L310" s="12">
        <v>0.85</v>
      </c>
      <c r="M310" s="13" t="s">
        <v>934</v>
      </c>
      <c r="N310" s="13" t="s">
        <v>914</v>
      </c>
    </row>
    <row r="311" spans="1:14" ht="56.25">
      <c r="A311" s="18" t="s">
        <v>936</v>
      </c>
      <c r="B311" s="18" t="s">
        <v>910</v>
      </c>
      <c r="C311" s="18" t="s">
        <v>911</v>
      </c>
      <c r="D311" s="18" t="s">
        <v>937</v>
      </c>
      <c r="E311" s="22" t="s">
        <v>133</v>
      </c>
      <c r="F311" s="22" t="s">
        <v>394</v>
      </c>
      <c r="G311" s="22" t="s">
        <v>751</v>
      </c>
      <c r="H311" s="22" t="s">
        <v>752</v>
      </c>
      <c r="I311" s="20">
        <v>381.6</v>
      </c>
      <c r="J311" s="10" t="s">
        <v>331</v>
      </c>
      <c r="K311" s="11">
        <f>I311/30/10*10</f>
        <v>12.72</v>
      </c>
      <c r="L311" s="6">
        <v>0.85</v>
      </c>
      <c r="M311" s="13" t="s">
        <v>885</v>
      </c>
      <c r="N311" s="13" t="s">
        <v>886</v>
      </c>
    </row>
    <row r="312" spans="1:14" ht="56.25">
      <c r="A312" s="18" t="s">
        <v>938</v>
      </c>
      <c r="B312" s="18" t="s">
        <v>910</v>
      </c>
      <c r="C312" s="18" t="s">
        <v>911</v>
      </c>
      <c r="D312" s="18" t="s">
        <v>937</v>
      </c>
      <c r="E312" s="22" t="s">
        <v>133</v>
      </c>
      <c r="F312" s="22" t="s">
        <v>861</v>
      </c>
      <c r="G312" s="22" t="s">
        <v>751</v>
      </c>
      <c r="H312" s="22" t="s">
        <v>752</v>
      </c>
      <c r="I312" s="20">
        <v>419.3</v>
      </c>
      <c r="J312" s="10" t="s">
        <v>331</v>
      </c>
      <c r="K312" s="11">
        <f>I312/30/20*10</f>
        <v>6.9883333333333333</v>
      </c>
      <c r="L312" s="6">
        <v>0.85</v>
      </c>
      <c r="M312" s="13" t="s">
        <v>885</v>
      </c>
      <c r="N312" s="13" t="s">
        <v>886</v>
      </c>
    </row>
    <row r="313" spans="1:14" ht="56.25">
      <c r="A313" s="46" t="s">
        <v>939</v>
      </c>
      <c r="B313" s="13" t="s">
        <v>910</v>
      </c>
      <c r="C313" s="13" t="s">
        <v>911</v>
      </c>
      <c r="D313" s="18" t="s">
        <v>937</v>
      </c>
      <c r="E313" s="65" t="s">
        <v>174</v>
      </c>
      <c r="F313" s="65" t="s">
        <v>390</v>
      </c>
      <c r="G313" s="65" t="s">
        <v>751</v>
      </c>
      <c r="H313" s="65" t="s">
        <v>752</v>
      </c>
      <c r="I313" s="11">
        <v>187.7</v>
      </c>
      <c r="J313" s="11" t="s">
        <v>331</v>
      </c>
      <c r="K313" s="11">
        <f>I313/30/5*10</f>
        <v>12.513333333333332</v>
      </c>
      <c r="L313" s="7">
        <v>0.85</v>
      </c>
      <c r="M313" s="13" t="s">
        <v>885</v>
      </c>
      <c r="N313" s="13" t="s">
        <v>886</v>
      </c>
    </row>
    <row r="314" spans="1:14" ht="56.25">
      <c r="A314" s="46" t="s">
        <v>940</v>
      </c>
      <c r="B314" s="13" t="s">
        <v>910</v>
      </c>
      <c r="C314" s="18" t="s">
        <v>911</v>
      </c>
      <c r="D314" s="18" t="s">
        <v>941</v>
      </c>
      <c r="E314" s="65" t="s">
        <v>133</v>
      </c>
      <c r="F314" s="65" t="s">
        <v>394</v>
      </c>
      <c r="G314" s="65" t="s">
        <v>449</v>
      </c>
      <c r="H314" s="65" t="s">
        <v>277</v>
      </c>
      <c r="I314" s="11">
        <v>381.6</v>
      </c>
      <c r="J314" s="11" t="s">
        <v>331</v>
      </c>
      <c r="K314" s="11">
        <f>I314/30/10*10</f>
        <v>12.72</v>
      </c>
      <c r="L314" s="7">
        <v>0.85</v>
      </c>
      <c r="M314" s="13" t="s">
        <v>885</v>
      </c>
      <c r="N314" s="13" t="s">
        <v>886</v>
      </c>
    </row>
    <row r="315" spans="1:14" ht="56.25">
      <c r="A315" s="46" t="s">
        <v>942</v>
      </c>
      <c r="B315" s="13" t="s">
        <v>910</v>
      </c>
      <c r="C315" s="18" t="s">
        <v>911</v>
      </c>
      <c r="D315" s="18" t="s">
        <v>941</v>
      </c>
      <c r="E315" s="65" t="s">
        <v>133</v>
      </c>
      <c r="F315" s="65" t="s">
        <v>861</v>
      </c>
      <c r="G315" s="65" t="s">
        <v>449</v>
      </c>
      <c r="H315" s="65" t="s">
        <v>277</v>
      </c>
      <c r="I315" s="11">
        <v>419.3</v>
      </c>
      <c r="J315" s="11" t="s">
        <v>331</v>
      </c>
      <c r="K315" s="11">
        <f>I315/30/20*10</f>
        <v>6.9883333333333333</v>
      </c>
      <c r="L315" s="7">
        <v>0.85</v>
      </c>
      <c r="M315" s="13" t="s">
        <v>885</v>
      </c>
      <c r="N315" s="13" t="s">
        <v>886</v>
      </c>
    </row>
    <row r="316" spans="1:14" ht="56.25">
      <c r="A316" s="48" t="s">
        <v>943</v>
      </c>
      <c r="B316" s="79" t="s">
        <v>910</v>
      </c>
      <c r="C316" s="13" t="s">
        <v>911</v>
      </c>
      <c r="D316" s="14" t="s">
        <v>944</v>
      </c>
      <c r="E316" s="10" t="s">
        <v>133</v>
      </c>
      <c r="F316" s="10" t="s">
        <v>501</v>
      </c>
      <c r="G316" s="10" t="s">
        <v>945</v>
      </c>
      <c r="H316" s="10" t="s">
        <v>25</v>
      </c>
      <c r="I316" s="11">
        <v>356.2</v>
      </c>
      <c r="J316" s="37" t="s">
        <v>331</v>
      </c>
      <c r="K316" s="11">
        <f>I316/28/10*10</f>
        <v>12.721428571428572</v>
      </c>
      <c r="L316" s="7">
        <v>0.85</v>
      </c>
      <c r="M316" s="13" t="s">
        <v>885</v>
      </c>
      <c r="N316" s="13" t="s">
        <v>886</v>
      </c>
    </row>
    <row r="317" spans="1:14" ht="56.25">
      <c r="A317" s="48" t="s">
        <v>946</v>
      </c>
      <c r="B317" s="79" t="s">
        <v>910</v>
      </c>
      <c r="C317" s="13" t="s">
        <v>911</v>
      </c>
      <c r="D317" s="14" t="s">
        <v>944</v>
      </c>
      <c r="E317" s="10" t="s">
        <v>133</v>
      </c>
      <c r="F317" s="10" t="s">
        <v>44</v>
      </c>
      <c r="G317" s="10" t="s">
        <v>945</v>
      </c>
      <c r="H317" s="10" t="s">
        <v>25</v>
      </c>
      <c r="I317" s="11">
        <v>391.3</v>
      </c>
      <c r="J317" s="37" t="s">
        <v>331</v>
      </c>
      <c r="K317" s="11">
        <f>I317/28/20*10</f>
        <v>6.9874999999999998</v>
      </c>
      <c r="L317" s="7">
        <v>0.85</v>
      </c>
      <c r="M317" s="13" t="s">
        <v>885</v>
      </c>
      <c r="N317" s="13" t="s">
        <v>886</v>
      </c>
    </row>
    <row r="318" spans="1:14" ht="56.25">
      <c r="A318" s="48" t="s">
        <v>947</v>
      </c>
      <c r="B318" s="16" t="s">
        <v>910</v>
      </c>
      <c r="C318" s="13" t="s">
        <v>911</v>
      </c>
      <c r="D318" s="14" t="s">
        <v>930</v>
      </c>
      <c r="E318" s="21" t="s">
        <v>133</v>
      </c>
      <c r="F318" s="10" t="s">
        <v>390</v>
      </c>
      <c r="G318" s="10" t="s">
        <v>2556</v>
      </c>
      <c r="H318" s="10" t="s">
        <v>2558</v>
      </c>
      <c r="I318" s="20">
        <v>187.7</v>
      </c>
      <c r="J318" s="20" t="s">
        <v>331</v>
      </c>
      <c r="K318" s="37">
        <f>I318/30/5*10</f>
        <v>12.513333333333332</v>
      </c>
      <c r="L318" s="7">
        <v>0.85</v>
      </c>
      <c r="M318" s="13" t="s">
        <v>885</v>
      </c>
      <c r="N318" s="13" t="s">
        <v>886</v>
      </c>
    </row>
    <row r="319" spans="1:14" ht="56.25">
      <c r="A319" s="16" t="s">
        <v>948</v>
      </c>
      <c r="B319" s="16" t="s">
        <v>910</v>
      </c>
      <c r="C319" s="16" t="s">
        <v>911</v>
      </c>
      <c r="D319" s="16" t="s">
        <v>919</v>
      </c>
      <c r="E319" s="21" t="s">
        <v>133</v>
      </c>
      <c r="F319" s="21" t="s">
        <v>390</v>
      </c>
      <c r="G319" s="21" t="s">
        <v>487</v>
      </c>
      <c r="H319" s="21" t="s">
        <v>21</v>
      </c>
      <c r="I319" s="11">
        <v>187.7</v>
      </c>
      <c r="J319" s="21" t="s">
        <v>331</v>
      </c>
      <c r="K319" s="37">
        <f>I319/30/5*10</f>
        <v>12.513333333333332</v>
      </c>
      <c r="L319" s="7">
        <v>0.85</v>
      </c>
      <c r="M319" s="13" t="s">
        <v>885</v>
      </c>
      <c r="N319" s="13" t="s">
        <v>886</v>
      </c>
    </row>
    <row r="320" spans="1:14" ht="22.5">
      <c r="A320" s="46" t="s">
        <v>949</v>
      </c>
      <c r="B320" s="13" t="s">
        <v>950</v>
      </c>
      <c r="C320" s="13" t="s">
        <v>951</v>
      </c>
      <c r="D320" s="13" t="s">
        <v>952</v>
      </c>
      <c r="E320" s="10" t="s">
        <v>274</v>
      </c>
      <c r="F320" s="10" t="s">
        <v>754</v>
      </c>
      <c r="G320" s="10" t="s">
        <v>433</v>
      </c>
      <c r="H320" s="10" t="s">
        <v>21</v>
      </c>
      <c r="I320" s="20">
        <v>367.1</v>
      </c>
      <c r="J320" s="11" t="s">
        <v>278</v>
      </c>
      <c r="K320" s="11">
        <f>I320/30/160*200</f>
        <v>15.295833333333336</v>
      </c>
      <c r="L320" s="61" t="s">
        <v>953</v>
      </c>
      <c r="M320" s="13"/>
      <c r="N320" s="13" t="s">
        <v>954</v>
      </c>
    </row>
    <row r="321" spans="1:14" ht="33.75">
      <c r="A321" s="46" t="s">
        <v>955</v>
      </c>
      <c r="B321" s="13" t="s">
        <v>950</v>
      </c>
      <c r="C321" s="13" t="s">
        <v>951</v>
      </c>
      <c r="D321" s="13" t="s">
        <v>956</v>
      </c>
      <c r="E321" s="10" t="s">
        <v>174</v>
      </c>
      <c r="F321" s="10" t="s">
        <v>957</v>
      </c>
      <c r="G321" s="10" t="s">
        <v>958</v>
      </c>
      <c r="H321" s="10" t="s">
        <v>277</v>
      </c>
      <c r="I321" s="20">
        <v>416.2</v>
      </c>
      <c r="J321" s="11" t="s">
        <v>961</v>
      </c>
      <c r="K321" s="11">
        <f>I321/30/145*200</f>
        <v>19.135632183908047</v>
      </c>
      <c r="L321" s="61" t="s">
        <v>953</v>
      </c>
      <c r="M321" s="66"/>
      <c r="N321" s="13" t="s">
        <v>954</v>
      </c>
    </row>
    <row r="322" spans="1:14" ht="67.5">
      <c r="A322" s="46" t="s">
        <v>959</v>
      </c>
      <c r="B322" s="13" t="s">
        <v>950</v>
      </c>
      <c r="C322" s="13" t="s">
        <v>951</v>
      </c>
      <c r="D322" s="13" t="s">
        <v>960</v>
      </c>
      <c r="E322" s="10" t="s">
        <v>133</v>
      </c>
      <c r="F322" s="10" t="s">
        <v>957</v>
      </c>
      <c r="G322" s="10" t="s">
        <v>2528</v>
      </c>
      <c r="H322" s="10" t="s">
        <v>2529</v>
      </c>
      <c r="I322" s="20">
        <v>495.3</v>
      </c>
      <c r="J322" s="11" t="s">
        <v>961</v>
      </c>
      <c r="K322" s="11">
        <f>I322/30/145*200</f>
        <v>22.77241379310345</v>
      </c>
      <c r="L322" s="1">
        <v>0.6</v>
      </c>
      <c r="M322" s="66"/>
      <c r="N322" s="13" t="s">
        <v>954</v>
      </c>
    </row>
    <row r="323" spans="1:14" ht="56.25">
      <c r="A323" s="46">
        <v>1104010</v>
      </c>
      <c r="B323" s="13" t="s">
        <v>962</v>
      </c>
      <c r="C323" s="13" t="s">
        <v>963</v>
      </c>
      <c r="D323" s="13" t="s">
        <v>964</v>
      </c>
      <c r="E323" s="10" t="s">
        <v>965</v>
      </c>
      <c r="F323" s="10" t="s">
        <v>966</v>
      </c>
      <c r="G323" s="10" t="s">
        <v>967</v>
      </c>
      <c r="H323" s="10" t="s">
        <v>239</v>
      </c>
      <c r="I323" s="20">
        <v>895.8</v>
      </c>
      <c r="J323" s="111" t="s">
        <v>267</v>
      </c>
      <c r="K323" s="11">
        <f>I323/30</f>
        <v>29.86</v>
      </c>
      <c r="L323" s="12">
        <v>0.75</v>
      </c>
      <c r="M323" s="66" t="s">
        <v>968</v>
      </c>
      <c r="N323" s="13" t="s">
        <v>969</v>
      </c>
    </row>
    <row r="324" spans="1:14" ht="56.25">
      <c r="A324" s="46">
        <v>1104011</v>
      </c>
      <c r="B324" s="13" t="s">
        <v>962</v>
      </c>
      <c r="C324" s="13" t="s">
        <v>963</v>
      </c>
      <c r="D324" s="13" t="s">
        <v>964</v>
      </c>
      <c r="E324" s="10" t="s">
        <v>965</v>
      </c>
      <c r="F324" s="10" t="s">
        <v>970</v>
      </c>
      <c r="G324" s="10" t="s">
        <v>967</v>
      </c>
      <c r="H324" s="10" t="s">
        <v>239</v>
      </c>
      <c r="I324" s="20">
        <v>1093.2</v>
      </c>
      <c r="J324" s="112" t="s">
        <v>267</v>
      </c>
      <c r="K324" s="11">
        <f>I324/30</f>
        <v>36.440000000000005</v>
      </c>
      <c r="L324" s="12">
        <v>0.75</v>
      </c>
      <c r="M324" s="66" t="s">
        <v>968</v>
      </c>
      <c r="N324" s="13" t="s">
        <v>969</v>
      </c>
    </row>
    <row r="325" spans="1:14" ht="56.25">
      <c r="A325" s="46">
        <v>1104640</v>
      </c>
      <c r="B325" s="13" t="s">
        <v>971</v>
      </c>
      <c r="C325" s="13" t="s">
        <v>972</v>
      </c>
      <c r="D325" s="13" t="s">
        <v>973</v>
      </c>
      <c r="E325" s="10" t="s">
        <v>274</v>
      </c>
      <c r="F325" s="10" t="s">
        <v>974</v>
      </c>
      <c r="G325" s="10" t="s">
        <v>975</v>
      </c>
      <c r="H325" s="10" t="s">
        <v>66</v>
      </c>
      <c r="I325" s="20">
        <v>811.6</v>
      </c>
      <c r="J325" s="38" t="s">
        <v>976</v>
      </c>
      <c r="K325" s="11">
        <f>I325/28</f>
        <v>28.985714285714288</v>
      </c>
      <c r="L325" s="12">
        <v>0.8</v>
      </c>
      <c r="M325" s="13" t="s">
        <v>977</v>
      </c>
      <c r="N325" s="13" t="s">
        <v>978</v>
      </c>
    </row>
    <row r="326" spans="1:14" ht="56.25">
      <c r="A326" s="46">
        <v>1104641</v>
      </c>
      <c r="B326" s="13" t="s">
        <v>971</v>
      </c>
      <c r="C326" s="13" t="s">
        <v>972</v>
      </c>
      <c r="D326" s="13" t="s">
        <v>973</v>
      </c>
      <c r="E326" s="10" t="s">
        <v>274</v>
      </c>
      <c r="F326" s="10" t="s">
        <v>979</v>
      </c>
      <c r="G326" s="10" t="s">
        <v>975</v>
      </c>
      <c r="H326" s="10" t="s">
        <v>66</v>
      </c>
      <c r="I326" s="20">
        <v>898.1</v>
      </c>
      <c r="J326" s="38" t="s">
        <v>976</v>
      </c>
      <c r="K326" s="11">
        <f>I326/28</f>
        <v>32.075000000000003</v>
      </c>
      <c r="L326" s="12">
        <v>0.8</v>
      </c>
      <c r="M326" s="13" t="s">
        <v>977</v>
      </c>
      <c r="N326" s="13" t="s">
        <v>978</v>
      </c>
    </row>
    <row r="327" spans="1:14" ht="56.25">
      <c r="A327" s="46">
        <v>1104642</v>
      </c>
      <c r="B327" s="13" t="s">
        <v>971</v>
      </c>
      <c r="C327" s="13" t="s">
        <v>972</v>
      </c>
      <c r="D327" s="13" t="s">
        <v>973</v>
      </c>
      <c r="E327" s="10" t="s">
        <v>274</v>
      </c>
      <c r="F327" s="10" t="s">
        <v>980</v>
      </c>
      <c r="G327" s="10" t="s">
        <v>975</v>
      </c>
      <c r="H327" s="10" t="s">
        <v>66</v>
      </c>
      <c r="I327" s="20">
        <v>1081</v>
      </c>
      <c r="J327" s="38" t="s">
        <v>976</v>
      </c>
      <c r="K327" s="11">
        <f>I327/28</f>
        <v>38.607142857142854</v>
      </c>
      <c r="L327" s="12">
        <v>0.8</v>
      </c>
      <c r="M327" s="13" t="s">
        <v>977</v>
      </c>
      <c r="N327" s="13" t="s">
        <v>978</v>
      </c>
    </row>
    <row r="328" spans="1:14" ht="22.5">
      <c r="A328" s="13" t="s">
        <v>984</v>
      </c>
      <c r="B328" s="13" t="s">
        <v>981</v>
      </c>
      <c r="C328" s="13" t="s">
        <v>982</v>
      </c>
      <c r="D328" s="13" t="s">
        <v>985</v>
      </c>
      <c r="E328" s="10" t="s">
        <v>983</v>
      </c>
      <c r="F328" s="10" t="s">
        <v>986</v>
      </c>
      <c r="G328" s="10" t="s">
        <v>987</v>
      </c>
      <c r="H328" s="10" t="s">
        <v>366</v>
      </c>
      <c r="I328" s="20">
        <v>254.1</v>
      </c>
      <c r="J328" s="61" t="s">
        <v>36</v>
      </c>
      <c r="K328" s="61" t="s">
        <v>36</v>
      </c>
      <c r="L328" s="12">
        <v>0.5</v>
      </c>
      <c r="M328" s="13"/>
      <c r="N328" s="13"/>
    </row>
    <row r="329" spans="1:14" ht="22.5">
      <c r="A329" s="48" t="s">
        <v>988</v>
      </c>
      <c r="B329" s="16" t="s">
        <v>981</v>
      </c>
      <c r="C329" s="13" t="s">
        <v>982</v>
      </c>
      <c r="D329" s="14" t="s">
        <v>989</v>
      </c>
      <c r="E329" s="21" t="s">
        <v>983</v>
      </c>
      <c r="F329" s="10" t="s">
        <v>2421</v>
      </c>
      <c r="G329" s="10" t="s">
        <v>231</v>
      </c>
      <c r="H329" s="10" t="s">
        <v>21</v>
      </c>
      <c r="I329" s="20">
        <v>467.5</v>
      </c>
      <c r="J329" s="20" t="s">
        <v>36</v>
      </c>
      <c r="K329" s="37" t="s">
        <v>36</v>
      </c>
      <c r="L329" s="12">
        <v>0.5</v>
      </c>
      <c r="M329" s="13"/>
      <c r="N329" s="13"/>
    </row>
    <row r="330" spans="1:14" ht="22.5">
      <c r="A330" s="46" t="s">
        <v>990</v>
      </c>
      <c r="B330" s="13" t="s">
        <v>991</v>
      </c>
      <c r="C330" s="13" t="s">
        <v>992</v>
      </c>
      <c r="D330" s="13" t="s">
        <v>993</v>
      </c>
      <c r="E330" s="10" t="s">
        <v>983</v>
      </c>
      <c r="F330" s="10" t="s">
        <v>994</v>
      </c>
      <c r="G330" s="10" t="s">
        <v>995</v>
      </c>
      <c r="H330" s="10" t="s">
        <v>366</v>
      </c>
      <c r="I330" s="20">
        <v>283.10000000000002</v>
      </c>
      <c r="J330" s="10" t="s">
        <v>36</v>
      </c>
      <c r="K330" s="11" t="s">
        <v>36</v>
      </c>
      <c r="L330" s="12">
        <v>0.75</v>
      </c>
      <c r="M330" s="13"/>
      <c r="N330" s="13"/>
    </row>
    <row r="331" spans="1:14" ht="22.5">
      <c r="A331" s="46" t="s">
        <v>996</v>
      </c>
      <c r="B331" s="13" t="s">
        <v>991</v>
      </c>
      <c r="C331" s="13" t="s">
        <v>992</v>
      </c>
      <c r="D331" s="13" t="s">
        <v>993</v>
      </c>
      <c r="E331" s="10" t="s">
        <v>997</v>
      </c>
      <c r="F331" s="10" t="s">
        <v>994</v>
      </c>
      <c r="G331" s="10" t="s">
        <v>995</v>
      </c>
      <c r="H331" s="10" t="s">
        <v>366</v>
      </c>
      <c r="I331" s="20">
        <v>283.10000000000002</v>
      </c>
      <c r="J331" s="10" t="s">
        <v>36</v>
      </c>
      <c r="K331" s="11" t="s">
        <v>36</v>
      </c>
      <c r="L331" s="12">
        <v>0.75</v>
      </c>
      <c r="M331" s="13"/>
      <c r="N331" s="13"/>
    </row>
    <row r="332" spans="1:14" ht="22.5">
      <c r="A332" s="46" t="s">
        <v>998</v>
      </c>
      <c r="B332" s="13" t="s">
        <v>999</v>
      </c>
      <c r="C332" s="13" t="s">
        <v>1000</v>
      </c>
      <c r="D332" s="13" t="s">
        <v>1001</v>
      </c>
      <c r="E332" s="10" t="s">
        <v>983</v>
      </c>
      <c r="F332" s="10" t="s">
        <v>1002</v>
      </c>
      <c r="G332" s="10" t="s">
        <v>2497</v>
      </c>
      <c r="H332" s="10" t="s">
        <v>1003</v>
      </c>
      <c r="I332" s="20">
        <v>242.1</v>
      </c>
      <c r="J332" s="10" t="s">
        <v>36</v>
      </c>
      <c r="K332" s="11" t="s">
        <v>36</v>
      </c>
      <c r="L332" s="12">
        <v>0.8</v>
      </c>
      <c r="M332" s="13"/>
      <c r="N332" s="13"/>
    </row>
    <row r="333" spans="1:14" ht="22.5">
      <c r="A333" s="46" t="s">
        <v>1004</v>
      </c>
      <c r="B333" s="13" t="s">
        <v>999</v>
      </c>
      <c r="C333" s="13" t="s">
        <v>1000</v>
      </c>
      <c r="D333" s="13" t="s">
        <v>1001</v>
      </c>
      <c r="E333" s="10" t="s">
        <v>997</v>
      </c>
      <c r="F333" s="10" t="s">
        <v>1002</v>
      </c>
      <c r="G333" s="10" t="s">
        <v>2497</v>
      </c>
      <c r="H333" s="10" t="s">
        <v>1003</v>
      </c>
      <c r="I333" s="20">
        <v>242.1</v>
      </c>
      <c r="J333" s="10" t="s">
        <v>36</v>
      </c>
      <c r="K333" s="11" t="s">
        <v>36</v>
      </c>
      <c r="L333" s="12">
        <v>0.8</v>
      </c>
      <c r="M333" s="13"/>
      <c r="N333" s="13"/>
    </row>
    <row r="334" spans="1:14" ht="56.25">
      <c r="A334" s="46" t="s">
        <v>1005</v>
      </c>
      <c r="B334" s="13" t="s">
        <v>1006</v>
      </c>
      <c r="C334" s="13" t="s">
        <v>1007</v>
      </c>
      <c r="D334" s="13" t="s">
        <v>1008</v>
      </c>
      <c r="E334" s="10" t="s">
        <v>204</v>
      </c>
      <c r="F334" s="10" t="s">
        <v>394</v>
      </c>
      <c r="G334" s="10" t="s">
        <v>215</v>
      </c>
      <c r="H334" s="10" t="s">
        <v>120</v>
      </c>
      <c r="I334" s="20">
        <v>630.6</v>
      </c>
      <c r="J334" s="10" t="s">
        <v>71</v>
      </c>
      <c r="K334" s="11">
        <f>I334/30/10*30</f>
        <v>63.059999999999995</v>
      </c>
      <c r="L334" s="1">
        <v>0.45</v>
      </c>
      <c r="M334" s="13" t="s">
        <v>1009</v>
      </c>
      <c r="N334" s="13" t="s">
        <v>2530</v>
      </c>
    </row>
    <row r="335" spans="1:14" ht="56.25">
      <c r="A335" s="46" t="s">
        <v>1010</v>
      </c>
      <c r="B335" s="13" t="s">
        <v>1006</v>
      </c>
      <c r="C335" s="13" t="s">
        <v>1007</v>
      </c>
      <c r="D335" s="18" t="s">
        <v>1011</v>
      </c>
      <c r="E335" s="65" t="s">
        <v>204</v>
      </c>
      <c r="F335" s="65" t="s">
        <v>394</v>
      </c>
      <c r="G335" s="65" t="s">
        <v>1012</v>
      </c>
      <c r="H335" s="65" t="s">
        <v>752</v>
      </c>
      <c r="I335" s="11">
        <v>485.1</v>
      </c>
      <c r="J335" s="10" t="s">
        <v>71</v>
      </c>
      <c r="K335" s="11">
        <f>I335/30/10*30</f>
        <v>48.510000000000005</v>
      </c>
      <c r="L335" s="2">
        <v>0.25</v>
      </c>
      <c r="M335" s="13" t="s">
        <v>1009</v>
      </c>
      <c r="N335" s="13" t="s">
        <v>2530</v>
      </c>
    </row>
    <row r="336" spans="1:14" ht="33.75">
      <c r="A336" s="46" t="s">
        <v>1013</v>
      </c>
      <c r="B336" s="13" t="s">
        <v>1014</v>
      </c>
      <c r="C336" s="13" t="s">
        <v>1015</v>
      </c>
      <c r="D336" s="13" t="s">
        <v>1016</v>
      </c>
      <c r="E336" s="10" t="s">
        <v>1017</v>
      </c>
      <c r="F336" s="10" t="s">
        <v>1018</v>
      </c>
      <c r="G336" s="10" t="s">
        <v>1019</v>
      </c>
      <c r="H336" s="10" t="s">
        <v>239</v>
      </c>
      <c r="I336" s="20">
        <v>708.7</v>
      </c>
      <c r="J336" s="11" t="s">
        <v>36</v>
      </c>
      <c r="K336" s="11" t="s">
        <v>36</v>
      </c>
      <c r="L336" s="1">
        <v>0.7</v>
      </c>
      <c r="M336" s="13" t="s">
        <v>1020</v>
      </c>
      <c r="N336" s="13" t="s">
        <v>1021</v>
      </c>
    </row>
    <row r="337" spans="1:14" ht="22.5">
      <c r="A337" s="46" t="s">
        <v>1023</v>
      </c>
      <c r="B337" s="13" t="s">
        <v>1024</v>
      </c>
      <c r="C337" s="13" t="s">
        <v>1025</v>
      </c>
      <c r="D337" s="13" t="s">
        <v>1026</v>
      </c>
      <c r="E337" s="10" t="s">
        <v>133</v>
      </c>
      <c r="F337" s="10" t="s">
        <v>1027</v>
      </c>
      <c r="G337" s="10" t="s">
        <v>612</v>
      </c>
      <c r="H337" s="10" t="s">
        <v>330</v>
      </c>
      <c r="I337" s="20">
        <v>923.4</v>
      </c>
      <c r="J337" s="10" t="s">
        <v>1028</v>
      </c>
      <c r="K337" s="11">
        <f>I337/21*0.75</f>
        <v>32.978571428571428</v>
      </c>
      <c r="L337" s="12">
        <v>0.9</v>
      </c>
      <c r="M337" s="13" t="s">
        <v>1029</v>
      </c>
      <c r="N337" s="13" t="s">
        <v>1030</v>
      </c>
    </row>
    <row r="338" spans="1:14" ht="33.75">
      <c r="A338" s="46" t="s">
        <v>1032</v>
      </c>
      <c r="B338" s="13" t="s">
        <v>1033</v>
      </c>
      <c r="C338" s="13" t="s">
        <v>1034</v>
      </c>
      <c r="D338" s="13" t="s">
        <v>1035</v>
      </c>
      <c r="E338" s="10" t="s">
        <v>133</v>
      </c>
      <c r="F338" s="10" t="s">
        <v>1036</v>
      </c>
      <c r="G338" s="10" t="s">
        <v>1037</v>
      </c>
      <c r="H338" s="10" t="s">
        <v>1038</v>
      </c>
      <c r="I338" s="20">
        <v>858.9</v>
      </c>
      <c r="J338" s="10" t="s">
        <v>267</v>
      </c>
      <c r="K338" s="11">
        <f>I338/28</f>
        <v>30.675000000000001</v>
      </c>
      <c r="L338" s="1">
        <v>0.85</v>
      </c>
      <c r="M338" s="13" t="s">
        <v>1031</v>
      </c>
      <c r="N338" s="13" t="s">
        <v>1030</v>
      </c>
    </row>
    <row r="339" spans="1:14" ht="22.5">
      <c r="A339" s="46" t="s">
        <v>1039</v>
      </c>
      <c r="B339" s="13" t="s">
        <v>1040</v>
      </c>
      <c r="C339" s="16" t="s">
        <v>1041</v>
      </c>
      <c r="D339" s="13" t="s">
        <v>1042</v>
      </c>
      <c r="E339" s="10" t="s">
        <v>1043</v>
      </c>
      <c r="F339" s="10" t="s">
        <v>1044</v>
      </c>
      <c r="G339" s="10" t="s">
        <v>1045</v>
      </c>
      <c r="H339" s="10" t="s">
        <v>82</v>
      </c>
      <c r="I339" s="20">
        <v>142.9</v>
      </c>
      <c r="J339" s="10" t="s">
        <v>1046</v>
      </c>
      <c r="K339" s="11">
        <f>I339/21*0.75</f>
        <v>5.1035714285714295</v>
      </c>
      <c r="L339" s="12">
        <v>0.25</v>
      </c>
      <c r="M339" s="13" t="s">
        <v>1031</v>
      </c>
      <c r="N339" s="13" t="s">
        <v>1030</v>
      </c>
    </row>
    <row r="340" spans="1:14" ht="45">
      <c r="A340" s="46" t="s">
        <v>1047</v>
      </c>
      <c r="B340" s="13" t="s">
        <v>1048</v>
      </c>
      <c r="C340" s="13" t="s">
        <v>1049</v>
      </c>
      <c r="D340" s="13" t="s">
        <v>1050</v>
      </c>
      <c r="E340" s="10" t="s">
        <v>174</v>
      </c>
      <c r="F340" s="10" t="s">
        <v>1051</v>
      </c>
      <c r="G340" s="25" t="s">
        <v>1052</v>
      </c>
      <c r="H340" s="25" t="s">
        <v>1053</v>
      </c>
      <c r="I340" s="20">
        <v>1834.8</v>
      </c>
      <c r="J340" s="10" t="s">
        <v>1022</v>
      </c>
      <c r="K340" s="11">
        <f>I340/50/50*100</f>
        <v>73.391999999999996</v>
      </c>
      <c r="L340" s="1">
        <v>0.25</v>
      </c>
      <c r="M340" s="13" t="s">
        <v>1054</v>
      </c>
      <c r="N340" s="13" t="s">
        <v>1055</v>
      </c>
    </row>
    <row r="341" spans="1:14" ht="45">
      <c r="A341" s="46" t="s">
        <v>1056</v>
      </c>
      <c r="B341" s="13" t="s">
        <v>1057</v>
      </c>
      <c r="C341" s="13" t="s">
        <v>1058</v>
      </c>
      <c r="D341" s="13" t="s">
        <v>1059</v>
      </c>
      <c r="E341" s="10" t="s">
        <v>1043</v>
      </c>
      <c r="F341" s="10" t="s">
        <v>1060</v>
      </c>
      <c r="G341" s="10" t="s">
        <v>1061</v>
      </c>
      <c r="H341" s="10" t="s">
        <v>82</v>
      </c>
      <c r="I341" s="20">
        <v>417.6</v>
      </c>
      <c r="J341" s="10" t="s">
        <v>1046</v>
      </c>
      <c r="K341" s="11">
        <f>I341/21*0.75</f>
        <v>14.914285714285715</v>
      </c>
      <c r="L341" s="12">
        <v>0.15</v>
      </c>
      <c r="M341" s="13" t="s">
        <v>1062</v>
      </c>
      <c r="N341" s="13" t="s">
        <v>1030</v>
      </c>
    </row>
    <row r="342" spans="1:14" ht="22.5">
      <c r="A342" s="46" t="s">
        <v>1063</v>
      </c>
      <c r="B342" s="13" t="s">
        <v>1064</v>
      </c>
      <c r="C342" s="13" t="s">
        <v>1065</v>
      </c>
      <c r="D342" s="13" t="s">
        <v>1066</v>
      </c>
      <c r="E342" s="10" t="s">
        <v>133</v>
      </c>
      <c r="F342" s="10" t="s">
        <v>1067</v>
      </c>
      <c r="G342" s="10" t="s">
        <v>1068</v>
      </c>
      <c r="H342" s="10" t="s">
        <v>1069</v>
      </c>
      <c r="I342" s="20">
        <v>765.1</v>
      </c>
      <c r="J342" s="11" t="s">
        <v>367</v>
      </c>
      <c r="K342" s="11">
        <f>I342/28/2*4</f>
        <v>54.65</v>
      </c>
      <c r="L342" s="12">
        <v>0.7</v>
      </c>
      <c r="M342" s="13" t="s">
        <v>1070</v>
      </c>
      <c r="N342" s="13" t="s">
        <v>1071</v>
      </c>
    </row>
    <row r="343" spans="1:14" ht="22.5">
      <c r="A343" s="46" t="s">
        <v>1075</v>
      </c>
      <c r="B343" s="13" t="s">
        <v>1072</v>
      </c>
      <c r="C343" s="13" t="s">
        <v>1073</v>
      </c>
      <c r="D343" s="13" t="s">
        <v>1076</v>
      </c>
      <c r="E343" s="10" t="s">
        <v>133</v>
      </c>
      <c r="F343" s="10" t="s">
        <v>390</v>
      </c>
      <c r="G343" s="10" t="s">
        <v>407</v>
      </c>
      <c r="H343" s="10" t="s">
        <v>21</v>
      </c>
      <c r="I343" s="20">
        <v>856.5</v>
      </c>
      <c r="J343" s="11" t="s">
        <v>232</v>
      </c>
      <c r="K343" s="39">
        <f>I343/30/5*5</f>
        <v>28.55</v>
      </c>
      <c r="L343" s="1">
        <v>0.8</v>
      </c>
      <c r="M343" s="13" t="s">
        <v>1077</v>
      </c>
      <c r="N343" s="13" t="s">
        <v>1071</v>
      </c>
    </row>
    <row r="344" spans="1:14" ht="22.5">
      <c r="A344" s="46" t="s">
        <v>1078</v>
      </c>
      <c r="B344" s="13" t="s">
        <v>1072</v>
      </c>
      <c r="C344" s="13" t="s">
        <v>1073</v>
      </c>
      <c r="D344" s="13" t="s">
        <v>1076</v>
      </c>
      <c r="E344" s="10" t="s">
        <v>133</v>
      </c>
      <c r="F344" s="10" t="s">
        <v>394</v>
      </c>
      <c r="G344" s="10" t="s">
        <v>407</v>
      </c>
      <c r="H344" s="10" t="s">
        <v>21</v>
      </c>
      <c r="I344" s="20">
        <v>970.1</v>
      </c>
      <c r="J344" s="11" t="s">
        <v>232</v>
      </c>
      <c r="K344" s="11">
        <f>I344/30/10*5</f>
        <v>16.168333333333333</v>
      </c>
      <c r="L344" s="1">
        <v>0.8</v>
      </c>
      <c r="M344" s="13" t="s">
        <v>1077</v>
      </c>
      <c r="N344" s="13" t="s">
        <v>1071</v>
      </c>
    </row>
    <row r="345" spans="1:14" ht="22.5">
      <c r="A345" s="46" t="s">
        <v>1079</v>
      </c>
      <c r="B345" s="13" t="s">
        <v>1072</v>
      </c>
      <c r="C345" s="13" t="s">
        <v>1073</v>
      </c>
      <c r="D345" s="13" t="s">
        <v>1080</v>
      </c>
      <c r="E345" s="10" t="s">
        <v>133</v>
      </c>
      <c r="F345" s="10" t="s">
        <v>1074</v>
      </c>
      <c r="G345" s="10" t="s">
        <v>1081</v>
      </c>
      <c r="H345" s="10" t="s">
        <v>21</v>
      </c>
      <c r="I345" s="20">
        <v>285.5</v>
      </c>
      <c r="J345" s="11" t="s">
        <v>232</v>
      </c>
      <c r="K345" s="11">
        <f>+I345/10/5*5</f>
        <v>28.55</v>
      </c>
      <c r="L345" s="1">
        <v>0.8</v>
      </c>
      <c r="M345" s="13" t="s">
        <v>1077</v>
      </c>
      <c r="N345" s="13" t="s">
        <v>1071</v>
      </c>
    </row>
    <row r="346" spans="1:14" ht="22.5">
      <c r="A346" s="46" t="s">
        <v>1082</v>
      </c>
      <c r="B346" s="13" t="s">
        <v>1072</v>
      </c>
      <c r="C346" s="13" t="s">
        <v>1073</v>
      </c>
      <c r="D346" s="13" t="s">
        <v>1080</v>
      </c>
      <c r="E346" s="10" t="s">
        <v>133</v>
      </c>
      <c r="F346" s="10" t="s">
        <v>390</v>
      </c>
      <c r="G346" s="10" t="s">
        <v>1081</v>
      </c>
      <c r="H346" s="10" t="s">
        <v>21</v>
      </c>
      <c r="I346" s="20">
        <v>856.5</v>
      </c>
      <c r="J346" s="11" t="s">
        <v>232</v>
      </c>
      <c r="K346" s="11">
        <f>+I346/30/5*5</f>
        <v>28.55</v>
      </c>
      <c r="L346" s="1">
        <v>0.8</v>
      </c>
      <c r="M346" s="13" t="s">
        <v>1077</v>
      </c>
      <c r="N346" s="13" t="s">
        <v>1071</v>
      </c>
    </row>
    <row r="347" spans="1:14" ht="22.5">
      <c r="A347" s="46" t="s">
        <v>1083</v>
      </c>
      <c r="B347" s="13" t="s">
        <v>1072</v>
      </c>
      <c r="C347" s="13" t="s">
        <v>1073</v>
      </c>
      <c r="D347" s="13" t="s">
        <v>1080</v>
      </c>
      <c r="E347" s="10" t="s">
        <v>133</v>
      </c>
      <c r="F347" s="10" t="s">
        <v>394</v>
      </c>
      <c r="G347" s="10" t="s">
        <v>1081</v>
      </c>
      <c r="H347" s="10" t="s">
        <v>21</v>
      </c>
      <c r="I347" s="20">
        <v>970.1</v>
      </c>
      <c r="J347" s="11" t="s">
        <v>232</v>
      </c>
      <c r="K347" s="11">
        <f>+I347/30/10*5</f>
        <v>16.168333333333333</v>
      </c>
      <c r="L347" s="1">
        <v>0.8</v>
      </c>
      <c r="M347" s="13" t="s">
        <v>1077</v>
      </c>
      <c r="N347" s="13" t="s">
        <v>1071</v>
      </c>
    </row>
    <row r="348" spans="1:14" ht="33.75">
      <c r="A348" s="46" t="s">
        <v>1084</v>
      </c>
      <c r="B348" s="13" t="s">
        <v>1085</v>
      </c>
      <c r="C348" s="13" t="s">
        <v>1086</v>
      </c>
      <c r="D348" s="13" t="s">
        <v>1087</v>
      </c>
      <c r="E348" s="10" t="s">
        <v>133</v>
      </c>
      <c r="F348" s="10" t="s">
        <v>1088</v>
      </c>
      <c r="G348" s="10" t="s">
        <v>1089</v>
      </c>
      <c r="H348" s="10" t="s">
        <v>1090</v>
      </c>
      <c r="I348" s="20">
        <v>491.4</v>
      </c>
      <c r="J348" s="11" t="s">
        <v>33</v>
      </c>
      <c r="K348" s="11">
        <f>I348/20/15*40</f>
        <v>65.52000000000001</v>
      </c>
      <c r="L348" s="12">
        <v>0.8</v>
      </c>
      <c r="M348" s="13" t="s">
        <v>1077</v>
      </c>
      <c r="N348" s="13" t="s">
        <v>1071</v>
      </c>
    </row>
    <row r="349" spans="1:14" ht="33.75">
      <c r="A349" s="46" t="s">
        <v>1091</v>
      </c>
      <c r="B349" s="13" t="s">
        <v>1085</v>
      </c>
      <c r="C349" s="13" t="s">
        <v>1086</v>
      </c>
      <c r="D349" s="13" t="s">
        <v>1087</v>
      </c>
      <c r="E349" s="10" t="s">
        <v>133</v>
      </c>
      <c r="F349" s="10" t="s">
        <v>1092</v>
      </c>
      <c r="G349" s="10" t="s">
        <v>1089</v>
      </c>
      <c r="H349" s="10" t="s">
        <v>1090</v>
      </c>
      <c r="I349" s="20">
        <v>686</v>
      </c>
      <c r="J349" s="11" t="s">
        <v>33</v>
      </c>
      <c r="K349" s="11">
        <f>I349/20/30*40</f>
        <v>45.733333333333334</v>
      </c>
      <c r="L349" s="12">
        <v>0.8</v>
      </c>
      <c r="M349" s="13" t="s">
        <v>1077</v>
      </c>
      <c r="N349" s="13" t="s">
        <v>1071</v>
      </c>
    </row>
    <row r="350" spans="1:14" ht="45">
      <c r="A350" s="46" t="s">
        <v>1093</v>
      </c>
      <c r="B350" s="13" t="s">
        <v>1094</v>
      </c>
      <c r="C350" s="13" t="s">
        <v>1095</v>
      </c>
      <c r="D350" s="13" t="s">
        <v>1096</v>
      </c>
      <c r="E350" s="10" t="s">
        <v>290</v>
      </c>
      <c r="F350" s="10" t="s">
        <v>357</v>
      </c>
      <c r="G350" s="10" t="s">
        <v>433</v>
      </c>
      <c r="H350" s="10" t="s">
        <v>21</v>
      </c>
      <c r="I350" s="20">
        <v>357.7</v>
      </c>
      <c r="J350" s="10" t="s">
        <v>1097</v>
      </c>
      <c r="K350" s="11">
        <f t="shared" ref="K350:K355" si="7">I350/30/0.4*0.4</f>
        <v>11.923333333333334</v>
      </c>
      <c r="L350" s="1">
        <v>0.25</v>
      </c>
      <c r="M350" s="13" t="s">
        <v>1098</v>
      </c>
      <c r="N350" s="13" t="s">
        <v>1099</v>
      </c>
    </row>
    <row r="351" spans="1:14" ht="45">
      <c r="A351" s="46" t="s">
        <v>1100</v>
      </c>
      <c r="B351" s="13" t="s">
        <v>1094</v>
      </c>
      <c r="C351" s="13" t="s">
        <v>1095</v>
      </c>
      <c r="D351" s="13" t="s">
        <v>1101</v>
      </c>
      <c r="E351" s="10" t="s">
        <v>1102</v>
      </c>
      <c r="F351" s="10" t="s">
        <v>357</v>
      </c>
      <c r="G351" s="10" t="s">
        <v>256</v>
      </c>
      <c r="H351" s="10" t="s">
        <v>21</v>
      </c>
      <c r="I351" s="20">
        <v>357.7</v>
      </c>
      <c r="J351" s="10" t="s">
        <v>1097</v>
      </c>
      <c r="K351" s="11">
        <f t="shared" si="7"/>
        <v>11.923333333333334</v>
      </c>
      <c r="L351" s="1">
        <v>0.25</v>
      </c>
      <c r="M351" s="13" t="s">
        <v>1098</v>
      </c>
      <c r="N351" s="13" t="s">
        <v>1099</v>
      </c>
    </row>
    <row r="352" spans="1:14" ht="45">
      <c r="A352" s="46" t="s">
        <v>1103</v>
      </c>
      <c r="B352" s="13" t="s">
        <v>1094</v>
      </c>
      <c r="C352" s="13" t="s">
        <v>1095</v>
      </c>
      <c r="D352" s="13" t="s">
        <v>1104</v>
      </c>
      <c r="E352" s="10" t="s">
        <v>1102</v>
      </c>
      <c r="F352" s="10" t="s">
        <v>357</v>
      </c>
      <c r="G352" s="10" t="s">
        <v>1105</v>
      </c>
      <c r="H352" s="10" t="s">
        <v>25</v>
      </c>
      <c r="I352" s="20">
        <v>357.7</v>
      </c>
      <c r="J352" s="11" t="s">
        <v>1106</v>
      </c>
      <c r="K352" s="11">
        <f t="shared" si="7"/>
        <v>11.923333333333334</v>
      </c>
      <c r="L352" s="1">
        <v>0.25</v>
      </c>
      <c r="M352" s="13" t="s">
        <v>1098</v>
      </c>
      <c r="N352" s="13" t="s">
        <v>1099</v>
      </c>
    </row>
    <row r="353" spans="1:14" ht="45">
      <c r="A353" s="13" t="s">
        <v>1107</v>
      </c>
      <c r="B353" s="13" t="s">
        <v>1094</v>
      </c>
      <c r="C353" s="13" t="s">
        <v>1095</v>
      </c>
      <c r="D353" s="13" t="s">
        <v>1108</v>
      </c>
      <c r="E353" s="10" t="s">
        <v>1102</v>
      </c>
      <c r="F353" s="10" t="s">
        <v>357</v>
      </c>
      <c r="G353" s="10" t="s">
        <v>449</v>
      </c>
      <c r="H353" s="10" t="s">
        <v>277</v>
      </c>
      <c r="I353" s="20">
        <v>357.7</v>
      </c>
      <c r="J353" s="10" t="s">
        <v>1097</v>
      </c>
      <c r="K353" s="11">
        <f t="shared" si="7"/>
        <v>11.923333333333334</v>
      </c>
      <c r="L353" s="5">
        <v>0.25</v>
      </c>
      <c r="M353" s="13" t="s">
        <v>1098</v>
      </c>
      <c r="N353" s="13" t="s">
        <v>1099</v>
      </c>
    </row>
    <row r="354" spans="1:14" ht="90">
      <c r="A354" s="13" t="s">
        <v>1109</v>
      </c>
      <c r="B354" s="13" t="s">
        <v>1094</v>
      </c>
      <c r="C354" s="13" t="s">
        <v>1095</v>
      </c>
      <c r="D354" s="13" t="s">
        <v>1110</v>
      </c>
      <c r="E354" s="10" t="s">
        <v>118</v>
      </c>
      <c r="F354" s="10" t="s">
        <v>2422</v>
      </c>
      <c r="G354" s="10" t="s">
        <v>1111</v>
      </c>
      <c r="H354" s="10" t="s">
        <v>1112</v>
      </c>
      <c r="I354" s="20">
        <v>357.7</v>
      </c>
      <c r="J354" s="10" t="s">
        <v>1097</v>
      </c>
      <c r="K354" s="11">
        <f t="shared" si="7"/>
        <v>11.923333333333334</v>
      </c>
      <c r="L354" s="5">
        <v>0.25</v>
      </c>
      <c r="M354" s="13" t="s">
        <v>1098</v>
      </c>
      <c r="N354" s="13" t="s">
        <v>1099</v>
      </c>
    </row>
    <row r="355" spans="1:14" ht="33.75">
      <c r="A355" s="46" t="s">
        <v>1113</v>
      </c>
      <c r="B355" s="13" t="s">
        <v>1094</v>
      </c>
      <c r="C355" s="13" t="s">
        <v>1095</v>
      </c>
      <c r="D355" s="13" t="s">
        <v>1114</v>
      </c>
      <c r="E355" s="10" t="s">
        <v>118</v>
      </c>
      <c r="F355" s="10" t="s">
        <v>357</v>
      </c>
      <c r="G355" s="10" t="s">
        <v>1115</v>
      </c>
      <c r="H355" s="10" t="s">
        <v>330</v>
      </c>
      <c r="I355" s="20">
        <v>357.7</v>
      </c>
      <c r="J355" s="10" t="s">
        <v>1097</v>
      </c>
      <c r="K355" s="11">
        <f t="shared" si="7"/>
        <v>11.923333333333334</v>
      </c>
      <c r="L355" s="12">
        <v>0.25</v>
      </c>
      <c r="M355" s="13" t="s">
        <v>1098</v>
      </c>
      <c r="N355" s="13" t="s">
        <v>1099</v>
      </c>
    </row>
    <row r="356" spans="1:14" ht="45">
      <c r="A356" s="46" t="s">
        <v>1116</v>
      </c>
      <c r="B356" s="13" t="s">
        <v>1094</v>
      </c>
      <c r="C356" s="13" t="s">
        <v>1095</v>
      </c>
      <c r="D356" s="13" t="s">
        <v>1117</v>
      </c>
      <c r="E356" s="10" t="s">
        <v>1102</v>
      </c>
      <c r="F356" s="10" t="s">
        <v>357</v>
      </c>
      <c r="G356" s="10" t="s">
        <v>1118</v>
      </c>
      <c r="H356" s="10" t="s">
        <v>1119</v>
      </c>
      <c r="I356" s="11">
        <v>357.7</v>
      </c>
      <c r="J356" s="20" t="s">
        <v>1097</v>
      </c>
      <c r="K356" s="11">
        <f>I356/30/0.4*0.4</f>
        <v>11.923333333333334</v>
      </c>
      <c r="L356" s="12">
        <v>0.25</v>
      </c>
      <c r="M356" s="51" t="s">
        <v>1098</v>
      </c>
      <c r="N356" s="51" t="s">
        <v>1120</v>
      </c>
    </row>
    <row r="357" spans="1:14" ht="45">
      <c r="A357" s="46" t="s">
        <v>1121</v>
      </c>
      <c r="B357" s="13" t="s">
        <v>1094</v>
      </c>
      <c r="C357" s="18" t="s">
        <v>1095</v>
      </c>
      <c r="D357" s="18" t="s">
        <v>1122</v>
      </c>
      <c r="E357" s="22" t="s">
        <v>1102</v>
      </c>
      <c r="F357" s="22" t="s">
        <v>357</v>
      </c>
      <c r="G357" s="10" t="s">
        <v>1123</v>
      </c>
      <c r="H357" s="22" t="s">
        <v>1124</v>
      </c>
      <c r="I357" s="11">
        <v>357.7</v>
      </c>
      <c r="J357" s="11" t="s">
        <v>1106</v>
      </c>
      <c r="K357" s="11">
        <f>I357/30/0.4*0.4</f>
        <v>11.923333333333334</v>
      </c>
      <c r="L357" s="12">
        <v>0.25</v>
      </c>
      <c r="M357" s="13" t="s">
        <v>1098</v>
      </c>
      <c r="N357" s="13" t="s">
        <v>1099</v>
      </c>
    </row>
    <row r="358" spans="1:14" ht="56.25">
      <c r="A358" s="48" t="s">
        <v>1125</v>
      </c>
      <c r="B358" s="13" t="s">
        <v>1094</v>
      </c>
      <c r="C358" s="13" t="s">
        <v>1095</v>
      </c>
      <c r="D358" s="14" t="s">
        <v>1126</v>
      </c>
      <c r="E358" s="10" t="s">
        <v>118</v>
      </c>
      <c r="F358" s="10" t="s">
        <v>357</v>
      </c>
      <c r="G358" s="10" t="s">
        <v>2508</v>
      </c>
      <c r="H358" s="10" t="s">
        <v>2509</v>
      </c>
      <c r="I358" s="11">
        <v>357.7</v>
      </c>
      <c r="J358" s="10" t="s">
        <v>1097</v>
      </c>
      <c r="K358" s="11">
        <f>I358/30/0.4*0.4</f>
        <v>11.923333333333334</v>
      </c>
      <c r="L358" s="12">
        <v>0.25</v>
      </c>
      <c r="M358" s="13" t="s">
        <v>1098</v>
      </c>
      <c r="N358" s="13" t="s">
        <v>1099</v>
      </c>
    </row>
    <row r="359" spans="1:14" ht="22.5">
      <c r="A359" s="46" t="s">
        <v>1127</v>
      </c>
      <c r="B359" s="13" t="s">
        <v>1128</v>
      </c>
      <c r="C359" s="13" t="s">
        <v>1129</v>
      </c>
      <c r="D359" s="13" t="s">
        <v>1130</v>
      </c>
      <c r="E359" s="10" t="s">
        <v>274</v>
      </c>
      <c r="F359" s="21" t="s">
        <v>1131</v>
      </c>
      <c r="G359" s="10" t="s">
        <v>1132</v>
      </c>
      <c r="H359" s="10" t="s">
        <v>66</v>
      </c>
      <c r="I359" s="11">
        <v>638.6</v>
      </c>
      <c r="J359" s="20" t="s">
        <v>976</v>
      </c>
      <c r="K359" s="11">
        <f>I359/30</f>
        <v>21.286666666666669</v>
      </c>
      <c r="L359" s="12">
        <v>0.65</v>
      </c>
      <c r="M359" s="13" t="s">
        <v>1098</v>
      </c>
      <c r="N359" s="13" t="s">
        <v>1120</v>
      </c>
    </row>
    <row r="360" spans="1:14" ht="33.75">
      <c r="A360" s="46" t="s">
        <v>1133</v>
      </c>
      <c r="B360" s="13" t="s">
        <v>1128</v>
      </c>
      <c r="C360" s="13" t="s">
        <v>1129</v>
      </c>
      <c r="D360" s="16" t="s">
        <v>1134</v>
      </c>
      <c r="E360" s="21" t="s">
        <v>274</v>
      </c>
      <c r="F360" s="21" t="s">
        <v>1131</v>
      </c>
      <c r="G360" s="21" t="s">
        <v>620</v>
      </c>
      <c r="H360" s="21" t="s">
        <v>277</v>
      </c>
      <c r="I360" s="11">
        <v>638.6</v>
      </c>
      <c r="J360" s="20" t="s">
        <v>976</v>
      </c>
      <c r="K360" s="37">
        <f>I360/30</f>
        <v>21.286666666666669</v>
      </c>
      <c r="L360" s="12">
        <v>0.65</v>
      </c>
      <c r="M360" s="13" t="s">
        <v>1098</v>
      </c>
      <c r="N360" s="13" t="s">
        <v>1120</v>
      </c>
    </row>
    <row r="361" spans="1:14" ht="22.5">
      <c r="A361" s="46" t="s">
        <v>1135</v>
      </c>
      <c r="B361" s="13" t="s">
        <v>1128</v>
      </c>
      <c r="C361" s="13" t="s">
        <v>1129</v>
      </c>
      <c r="D361" s="13" t="s">
        <v>1136</v>
      </c>
      <c r="E361" s="10" t="s">
        <v>274</v>
      </c>
      <c r="F361" s="10" t="s">
        <v>1131</v>
      </c>
      <c r="G361" s="10" t="s">
        <v>1132</v>
      </c>
      <c r="H361" s="10" t="s">
        <v>66</v>
      </c>
      <c r="I361" s="11">
        <v>638.6</v>
      </c>
      <c r="J361" s="20" t="s">
        <v>976</v>
      </c>
      <c r="K361" s="37">
        <f>I361/30</f>
        <v>21.286666666666669</v>
      </c>
      <c r="L361" s="12">
        <v>0.65</v>
      </c>
      <c r="M361" s="13" t="s">
        <v>1098</v>
      </c>
      <c r="N361" s="13" t="s">
        <v>1120</v>
      </c>
    </row>
    <row r="362" spans="1:14" ht="22.5">
      <c r="A362" s="46" t="s">
        <v>1137</v>
      </c>
      <c r="B362" s="53" t="s">
        <v>1128</v>
      </c>
      <c r="C362" s="16" t="s">
        <v>1129</v>
      </c>
      <c r="D362" s="16" t="s">
        <v>1138</v>
      </c>
      <c r="E362" s="21" t="s">
        <v>274</v>
      </c>
      <c r="F362" s="21" t="s">
        <v>1131</v>
      </c>
      <c r="G362" s="21" t="s">
        <v>1139</v>
      </c>
      <c r="H362" s="21" t="s">
        <v>82</v>
      </c>
      <c r="I362" s="11">
        <v>638.6</v>
      </c>
      <c r="J362" s="20" t="s">
        <v>976</v>
      </c>
      <c r="K362" s="37">
        <f>+I362/30</f>
        <v>21.286666666666669</v>
      </c>
      <c r="L362" s="12">
        <v>0.65</v>
      </c>
      <c r="M362" s="46" t="s">
        <v>1098</v>
      </c>
      <c r="N362" s="13" t="s">
        <v>1120</v>
      </c>
    </row>
    <row r="363" spans="1:14" ht="33.75">
      <c r="A363" s="46" t="s">
        <v>2470</v>
      </c>
      <c r="B363" s="46" t="s">
        <v>1128</v>
      </c>
      <c r="C363" s="70" t="s">
        <v>1129</v>
      </c>
      <c r="D363" s="70" t="s">
        <v>2471</v>
      </c>
      <c r="E363" s="71" t="s">
        <v>274</v>
      </c>
      <c r="F363" s="21" t="s">
        <v>2472</v>
      </c>
      <c r="G363" s="71" t="s">
        <v>2473</v>
      </c>
      <c r="H363" s="71" t="s">
        <v>66</v>
      </c>
      <c r="I363" s="11">
        <v>638.6</v>
      </c>
      <c r="J363" s="54" t="s">
        <v>976</v>
      </c>
      <c r="K363" s="108">
        <f>I363/30</f>
        <v>21.286666666666669</v>
      </c>
      <c r="L363" s="12">
        <v>0.65</v>
      </c>
      <c r="M363" s="46" t="s">
        <v>1098</v>
      </c>
      <c r="N363" s="13" t="s">
        <v>1120</v>
      </c>
    </row>
    <row r="364" spans="1:14" ht="33.75">
      <c r="A364" s="46" t="s">
        <v>2441</v>
      </c>
      <c r="B364" s="46" t="s">
        <v>1140</v>
      </c>
      <c r="C364" s="46" t="s">
        <v>1141</v>
      </c>
      <c r="D364" s="46" t="s">
        <v>2442</v>
      </c>
      <c r="E364" s="61" t="s">
        <v>154</v>
      </c>
      <c r="F364" s="61" t="s">
        <v>2443</v>
      </c>
      <c r="G364" s="61" t="s">
        <v>2444</v>
      </c>
      <c r="H364" s="21" t="s">
        <v>2445</v>
      </c>
      <c r="I364" s="11">
        <v>1327.5</v>
      </c>
      <c r="J364" s="10" t="s">
        <v>267</v>
      </c>
      <c r="K364" s="11">
        <f>I364/30</f>
        <v>44.25</v>
      </c>
      <c r="L364" s="12">
        <v>0.85</v>
      </c>
      <c r="M364" s="13" t="s">
        <v>1142</v>
      </c>
      <c r="N364" s="13" t="s">
        <v>1099</v>
      </c>
    </row>
    <row r="365" spans="1:14" ht="45">
      <c r="A365" s="58" t="s">
        <v>2446</v>
      </c>
      <c r="B365" s="58" t="s">
        <v>1140</v>
      </c>
      <c r="C365" s="53" t="s">
        <v>1141</v>
      </c>
      <c r="D365" s="58" t="s">
        <v>2447</v>
      </c>
      <c r="E365" s="54" t="s">
        <v>154</v>
      </c>
      <c r="F365" s="54" t="s">
        <v>2443</v>
      </c>
      <c r="G365" s="69" t="s">
        <v>2448</v>
      </c>
      <c r="H365" s="21" t="s">
        <v>2449</v>
      </c>
      <c r="I365" s="11">
        <v>1327.5</v>
      </c>
      <c r="J365" s="10" t="s">
        <v>267</v>
      </c>
      <c r="K365" s="11">
        <f>+I365/30</f>
        <v>44.25</v>
      </c>
      <c r="L365" s="12">
        <v>0.85</v>
      </c>
      <c r="M365" s="13" t="s">
        <v>1142</v>
      </c>
      <c r="N365" s="13" t="s">
        <v>1099</v>
      </c>
    </row>
    <row r="366" spans="1:14" ht="45">
      <c r="A366" s="46" t="s">
        <v>1143</v>
      </c>
      <c r="B366" s="13" t="s">
        <v>1144</v>
      </c>
      <c r="C366" s="13" t="s">
        <v>1145</v>
      </c>
      <c r="D366" s="13" t="s">
        <v>1146</v>
      </c>
      <c r="E366" s="10" t="s">
        <v>174</v>
      </c>
      <c r="F366" s="10" t="s">
        <v>1147</v>
      </c>
      <c r="G366" s="10" t="s">
        <v>2531</v>
      </c>
      <c r="H366" s="10" t="s">
        <v>2532</v>
      </c>
      <c r="I366" s="20">
        <v>378.5</v>
      </c>
      <c r="J366" s="10" t="s">
        <v>232</v>
      </c>
      <c r="K366" s="11">
        <f>I366/28/5*5</f>
        <v>13.517857142857142</v>
      </c>
      <c r="L366" s="1">
        <v>0.65</v>
      </c>
      <c r="M366" s="13" t="s">
        <v>1098</v>
      </c>
      <c r="N366" s="13" t="s">
        <v>1099</v>
      </c>
    </row>
    <row r="367" spans="1:14" ht="22.5">
      <c r="A367" s="46" t="s">
        <v>1148</v>
      </c>
      <c r="B367" s="13" t="s">
        <v>1144</v>
      </c>
      <c r="C367" s="13" t="s">
        <v>1145</v>
      </c>
      <c r="D367" s="13" t="s">
        <v>1149</v>
      </c>
      <c r="E367" s="10" t="s">
        <v>133</v>
      </c>
      <c r="F367" s="10" t="s">
        <v>390</v>
      </c>
      <c r="G367" s="10" t="s">
        <v>1150</v>
      </c>
      <c r="H367" s="10" t="s">
        <v>21</v>
      </c>
      <c r="I367" s="20">
        <v>312.5</v>
      </c>
      <c r="J367" s="10" t="s">
        <v>232</v>
      </c>
      <c r="K367" s="11">
        <f>I367/30/5*5</f>
        <v>10.416666666666664</v>
      </c>
      <c r="L367" s="1">
        <v>0.55000000000000004</v>
      </c>
      <c r="M367" s="13" t="s">
        <v>1098</v>
      </c>
      <c r="N367" s="13" t="s">
        <v>1099</v>
      </c>
    </row>
    <row r="368" spans="1:14" ht="22.5">
      <c r="A368" s="46" t="s">
        <v>1151</v>
      </c>
      <c r="B368" s="13" t="s">
        <v>1144</v>
      </c>
      <c r="C368" s="13" t="s">
        <v>1145</v>
      </c>
      <c r="D368" s="13" t="s">
        <v>1152</v>
      </c>
      <c r="E368" s="10" t="s">
        <v>133</v>
      </c>
      <c r="F368" s="10" t="s">
        <v>441</v>
      </c>
      <c r="G368" s="10" t="s">
        <v>317</v>
      </c>
      <c r="H368" s="10" t="s">
        <v>21</v>
      </c>
      <c r="I368" s="20">
        <v>291.7</v>
      </c>
      <c r="J368" s="10" t="s">
        <v>232</v>
      </c>
      <c r="K368" s="11">
        <f>I368/28/5*5</f>
        <v>10.417857142857143</v>
      </c>
      <c r="L368" s="1">
        <v>0.55000000000000004</v>
      </c>
      <c r="M368" s="13" t="s">
        <v>1098</v>
      </c>
      <c r="N368" s="13" t="s">
        <v>1099</v>
      </c>
    </row>
    <row r="369" spans="1:14" ht="33.75">
      <c r="A369" s="46" t="s">
        <v>1153</v>
      </c>
      <c r="B369" s="13" t="s">
        <v>1144</v>
      </c>
      <c r="C369" s="13" t="s">
        <v>1145</v>
      </c>
      <c r="D369" s="13" t="s">
        <v>1154</v>
      </c>
      <c r="E369" s="10" t="s">
        <v>133</v>
      </c>
      <c r="F369" s="10" t="s">
        <v>441</v>
      </c>
      <c r="G369" s="10" t="s">
        <v>1155</v>
      </c>
      <c r="H369" s="10" t="s">
        <v>330</v>
      </c>
      <c r="I369" s="20">
        <v>291.7</v>
      </c>
      <c r="J369" s="10" t="s">
        <v>232</v>
      </c>
      <c r="K369" s="11">
        <f>I369/28/5*5</f>
        <v>10.417857142857143</v>
      </c>
      <c r="L369" s="1">
        <v>0.55000000000000004</v>
      </c>
      <c r="M369" s="13" t="s">
        <v>1098</v>
      </c>
      <c r="N369" s="13" t="s">
        <v>1099</v>
      </c>
    </row>
    <row r="370" spans="1:14">
      <c r="A370" s="58" t="s">
        <v>1157</v>
      </c>
      <c r="B370" s="51" t="s">
        <v>1144</v>
      </c>
      <c r="C370" s="51" t="s">
        <v>1145</v>
      </c>
      <c r="D370" s="51" t="s">
        <v>1158</v>
      </c>
      <c r="E370" s="30" t="s">
        <v>133</v>
      </c>
      <c r="F370" s="24" t="s">
        <v>390</v>
      </c>
      <c r="G370" s="30" t="s">
        <v>751</v>
      </c>
      <c r="H370" s="30" t="s">
        <v>752</v>
      </c>
      <c r="I370" s="11">
        <v>312.5</v>
      </c>
      <c r="J370" s="10" t="s">
        <v>232</v>
      </c>
      <c r="K370" s="11">
        <f>I370/30/5*5</f>
        <v>10.416666666666664</v>
      </c>
      <c r="L370" s="4">
        <v>0.55000000000000004</v>
      </c>
      <c r="M370" s="51" t="s">
        <v>1098</v>
      </c>
      <c r="N370" s="51" t="s">
        <v>1099</v>
      </c>
    </row>
    <row r="371" spans="1:14" ht="22.5">
      <c r="A371" s="46" t="s">
        <v>1159</v>
      </c>
      <c r="B371" s="13" t="s">
        <v>1160</v>
      </c>
      <c r="C371" s="13" t="s">
        <v>1161</v>
      </c>
      <c r="D371" s="13" t="s">
        <v>1162</v>
      </c>
      <c r="E371" s="10" t="s">
        <v>204</v>
      </c>
      <c r="F371" s="10" t="s">
        <v>1163</v>
      </c>
      <c r="G371" s="10" t="s">
        <v>502</v>
      </c>
      <c r="H371" s="10" t="s">
        <v>21</v>
      </c>
      <c r="I371" s="20">
        <v>559.4</v>
      </c>
      <c r="J371" s="10" t="s">
        <v>1164</v>
      </c>
      <c r="K371" s="11">
        <f>I371/30/0.5*0.5</f>
        <v>18.646666666666665</v>
      </c>
      <c r="L371" s="1">
        <v>0.8</v>
      </c>
      <c r="M371" s="13" t="s">
        <v>1098</v>
      </c>
      <c r="N371" s="13" t="s">
        <v>1165</v>
      </c>
    </row>
    <row r="372" spans="1:14" ht="45">
      <c r="A372" s="46" t="s">
        <v>1166</v>
      </c>
      <c r="B372" s="13" t="s">
        <v>1160</v>
      </c>
      <c r="C372" s="13" t="s">
        <v>1161</v>
      </c>
      <c r="D372" s="13" t="s">
        <v>1167</v>
      </c>
      <c r="E372" s="10" t="s">
        <v>204</v>
      </c>
      <c r="F372" s="10" t="s">
        <v>1163</v>
      </c>
      <c r="G372" s="10" t="s">
        <v>1168</v>
      </c>
      <c r="H372" s="10" t="s">
        <v>1169</v>
      </c>
      <c r="I372" s="20">
        <v>559.4</v>
      </c>
      <c r="J372" s="10" t="s">
        <v>1164</v>
      </c>
      <c r="K372" s="11">
        <f t="shared" ref="K372:K376" si="8">I372/30/0.5*0.5</f>
        <v>18.646666666666665</v>
      </c>
      <c r="L372" s="6">
        <v>0.8</v>
      </c>
      <c r="M372" s="13" t="s">
        <v>1098</v>
      </c>
      <c r="N372" s="13" t="s">
        <v>1165</v>
      </c>
    </row>
    <row r="373" spans="1:14" ht="22.5">
      <c r="A373" s="18" t="s">
        <v>1170</v>
      </c>
      <c r="B373" s="18" t="s">
        <v>1160</v>
      </c>
      <c r="C373" s="18" t="s">
        <v>1161</v>
      </c>
      <c r="D373" s="18" t="s">
        <v>1171</v>
      </c>
      <c r="E373" s="22" t="s">
        <v>204</v>
      </c>
      <c r="F373" s="22" t="s">
        <v>1163</v>
      </c>
      <c r="G373" s="22" t="s">
        <v>2515</v>
      </c>
      <c r="H373" s="22" t="s">
        <v>1172</v>
      </c>
      <c r="I373" s="20">
        <v>559.4</v>
      </c>
      <c r="J373" s="10" t="s">
        <v>1164</v>
      </c>
      <c r="K373" s="11">
        <f t="shared" si="8"/>
        <v>18.646666666666665</v>
      </c>
      <c r="L373" s="12">
        <v>0.8</v>
      </c>
      <c r="M373" s="13" t="s">
        <v>1098</v>
      </c>
      <c r="N373" s="13" t="s">
        <v>1165</v>
      </c>
    </row>
    <row r="374" spans="1:14" ht="33.75">
      <c r="A374" s="46" t="s">
        <v>1173</v>
      </c>
      <c r="B374" s="13" t="s">
        <v>1160</v>
      </c>
      <c r="C374" s="13" t="s">
        <v>1161</v>
      </c>
      <c r="D374" s="13" t="s">
        <v>1174</v>
      </c>
      <c r="E374" s="10" t="s">
        <v>204</v>
      </c>
      <c r="F374" s="65" t="s">
        <v>1163</v>
      </c>
      <c r="G374" s="65" t="s">
        <v>449</v>
      </c>
      <c r="H374" s="65" t="s">
        <v>277</v>
      </c>
      <c r="I374" s="11">
        <v>559.4</v>
      </c>
      <c r="J374" s="10" t="s">
        <v>1164</v>
      </c>
      <c r="K374" s="11">
        <f t="shared" si="8"/>
        <v>18.646666666666665</v>
      </c>
      <c r="L374" s="12">
        <v>0.8</v>
      </c>
      <c r="M374" s="51" t="s">
        <v>1098</v>
      </c>
      <c r="N374" s="51" t="s">
        <v>1165</v>
      </c>
    </row>
    <row r="375" spans="1:14" ht="22.5">
      <c r="A375" s="48" t="s">
        <v>1175</v>
      </c>
      <c r="B375" s="16" t="s">
        <v>1160</v>
      </c>
      <c r="C375" s="13" t="s">
        <v>1161</v>
      </c>
      <c r="D375" s="14" t="s">
        <v>1176</v>
      </c>
      <c r="E375" s="21" t="s">
        <v>204</v>
      </c>
      <c r="F375" s="10" t="s">
        <v>1163</v>
      </c>
      <c r="G375" s="10" t="s">
        <v>1132</v>
      </c>
      <c r="H375" s="10" t="s">
        <v>66</v>
      </c>
      <c r="I375" s="20">
        <v>559.4</v>
      </c>
      <c r="J375" s="10" t="s">
        <v>1164</v>
      </c>
      <c r="K375" s="37">
        <f t="shared" si="8"/>
        <v>18.646666666666665</v>
      </c>
      <c r="L375" s="12">
        <v>0.8</v>
      </c>
      <c r="M375" s="13" t="s">
        <v>1098</v>
      </c>
      <c r="N375" s="13" t="s">
        <v>1165</v>
      </c>
    </row>
    <row r="376" spans="1:14" ht="22.5">
      <c r="A376" s="48" t="s">
        <v>1177</v>
      </c>
      <c r="B376" s="16" t="s">
        <v>1160</v>
      </c>
      <c r="C376" s="13" t="s">
        <v>1161</v>
      </c>
      <c r="D376" s="14" t="s">
        <v>1178</v>
      </c>
      <c r="E376" s="10" t="s">
        <v>204</v>
      </c>
      <c r="F376" s="10" t="s">
        <v>1163</v>
      </c>
      <c r="G376" s="10" t="s">
        <v>588</v>
      </c>
      <c r="H376" s="10" t="s">
        <v>589</v>
      </c>
      <c r="I376" s="11">
        <v>559.4</v>
      </c>
      <c r="J376" s="11" t="s">
        <v>1164</v>
      </c>
      <c r="K376" s="11">
        <f t="shared" si="8"/>
        <v>18.646666666666665</v>
      </c>
      <c r="L376" s="12">
        <v>0.8</v>
      </c>
      <c r="M376" s="13" t="s">
        <v>1098</v>
      </c>
      <c r="N376" s="13" t="s">
        <v>1165</v>
      </c>
    </row>
    <row r="377" spans="1:14">
      <c r="A377" s="46" t="s">
        <v>1179</v>
      </c>
      <c r="B377" s="13" t="s">
        <v>1180</v>
      </c>
      <c r="C377" s="13" t="s">
        <v>1181</v>
      </c>
      <c r="D377" s="13" t="s">
        <v>1182</v>
      </c>
      <c r="E377" s="10" t="s">
        <v>1183</v>
      </c>
      <c r="F377" s="10" t="s">
        <v>1184</v>
      </c>
      <c r="G377" s="10" t="s">
        <v>125</v>
      </c>
      <c r="H377" s="10" t="s">
        <v>82</v>
      </c>
      <c r="I377" s="11">
        <v>1885.2</v>
      </c>
      <c r="J377" s="10" t="s">
        <v>1185</v>
      </c>
      <c r="K377" s="11">
        <f>+I377/30/60*240</f>
        <v>251.36</v>
      </c>
      <c r="L377" s="1">
        <v>0.1</v>
      </c>
      <c r="M377" s="13"/>
      <c r="N377" s="13"/>
    </row>
    <row r="378" spans="1:14">
      <c r="A378" s="46" t="s">
        <v>1186</v>
      </c>
      <c r="B378" s="13" t="s">
        <v>1180</v>
      </c>
      <c r="C378" s="13" t="s">
        <v>1181</v>
      </c>
      <c r="D378" s="13" t="s">
        <v>1182</v>
      </c>
      <c r="E378" s="10" t="s">
        <v>1183</v>
      </c>
      <c r="F378" s="10" t="s">
        <v>1187</v>
      </c>
      <c r="G378" s="10" t="s">
        <v>125</v>
      </c>
      <c r="H378" s="10" t="s">
        <v>82</v>
      </c>
      <c r="I378" s="11">
        <v>3711.9</v>
      </c>
      <c r="J378" s="10" t="s">
        <v>1185</v>
      </c>
      <c r="K378" s="11">
        <f>+I378/30/120*240</f>
        <v>247.46</v>
      </c>
      <c r="L378" s="1">
        <v>0.1</v>
      </c>
      <c r="M378" s="13"/>
      <c r="N378" s="13"/>
    </row>
    <row r="379" spans="1:14" ht="22.5">
      <c r="A379" s="46" t="s">
        <v>2479</v>
      </c>
      <c r="B379" s="46" t="s">
        <v>2480</v>
      </c>
      <c r="C379" s="70" t="s">
        <v>2481</v>
      </c>
      <c r="D379" s="70" t="s">
        <v>2482</v>
      </c>
      <c r="E379" s="71" t="s">
        <v>174</v>
      </c>
      <c r="F379" s="21" t="s">
        <v>2483</v>
      </c>
      <c r="G379" s="71" t="s">
        <v>2484</v>
      </c>
      <c r="H379" s="71" t="s">
        <v>82</v>
      </c>
      <c r="I379" s="11">
        <v>324.10000000000002</v>
      </c>
      <c r="J379" s="54" t="s">
        <v>2485</v>
      </c>
      <c r="K379" s="11">
        <f>I379/50/112*150</f>
        <v>8.6812500000000004</v>
      </c>
      <c r="L379" s="12">
        <v>0.65</v>
      </c>
      <c r="M379" s="16"/>
      <c r="N379" s="16"/>
    </row>
    <row r="380" spans="1:14" ht="22.5">
      <c r="A380" s="46" t="s">
        <v>2486</v>
      </c>
      <c r="B380" s="46" t="s">
        <v>2480</v>
      </c>
      <c r="C380" s="70" t="s">
        <v>2481</v>
      </c>
      <c r="D380" s="70" t="s">
        <v>2482</v>
      </c>
      <c r="E380" s="71" t="s">
        <v>174</v>
      </c>
      <c r="F380" s="21" t="s">
        <v>2487</v>
      </c>
      <c r="G380" s="71" t="s">
        <v>2484</v>
      </c>
      <c r="H380" s="71" t="s">
        <v>82</v>
      </c>
      <c r="I380" s="11">
        <v>358.2</v>
      </c>
      <c r="J380" s="54" t="s">
        <v>2485</v>
      </c>
      <c r="K380" s="11">
        <f>I380/50/137*150</f>
        <v>7.8437956204379553</v>
      </c>
      <c r="L380" s="12">
        <v>0.65</v>
      </c>
      <c r="M380" s="16"/>
      <c r="N380" s="16"/>
    </row>
    <row r="381" spans="1:14" ht="22.5">
      <c r="A381" s="46" t="s">
        <v>2488</v>
      </c>
      <c r="B381" s="46" t="s">
        <v>2480</v>
      </c>
      <c r="C381" s="70" t="s">
        <v>2481</v>
      </c>
      <c r="D381" s="70" t="s">
        <v>2482</v>
      </c>
      <c r="E381" s="71" t="s">
        <v>174</v>
      </c>
      <c r="F381" s="21" t="s">
        <v>2489</v>
      </c>
      <c r="G381" s="71" t="s">
        <v>2484</v>
      </c>
      <c r="H381" s="71" t="s">
        <v>82</v>
      </c>
      <c r="I381" s="11">
        <v>254.4</v>
      </c>
      <c r="J381" s="54" t="s">
        <v>2485</v>
      </c>
      <c r="K381" s="11">
        <f>I381/50/88*150</f>
        <v>8.672727272727272</v>
      </c>
      <c r="L381" s="12">
        <v>0.55000000000000004</v>
      </c>
      <c r="M381" s="16"/>
      <c r="N381" s="16"/>
    </row>
    <row r="382" spans="1:14" ht="22.5">
      <c r="A382" s="46" t="s">
        <v>2541</v>
      </c>
      <c r="B382" s="46" t="s">
        <v>2480</v>
      </c>
      <c r="C382" s="70" t="s">
        <v>2542</v>
      </c>
      <c r="D382" s="70" t="s">
        <v>2482</v>
      </c>
      <c r="E382" s="71" t="s">
        <v>174</v>
      </c>
      <c r="F382" s="21" t="s">
        <v>2543</v>
      </c>
      <c r="G382" s="71" t="s">
        <v>2544</v>
      </c>
      <c r="H382" s="71" t="s">
        <v>82</v>
      </c>
      <c r="I382" s="11">
        <v>133.4</v>
      </c>
      <c r="J382" s="54" t="s">
        <v>2485</v>
      </c>
      <c r="K382" s="11">
        <f>I382/50/25*150</f>
        <v>16.008000000000003</v>
      </c>
      <c r="L382" s="12">
        <v>0.3</v>
      </c>
      <c r="M382" s="16"/>
      <c r="N382" s="16"/>
    </row>
    <row r="383" spans="1:14" ht="67.5">
      <c r="A383" s="58" t="s">
        <v>1192</v>
      </c>
      <c r="B383" s="13" t="s">
        <v>1188</v>
      </c>
      <c r="C383" s="13" t="s">
        <v>1189</v>
      </c>
      <c r="D383" s="51" t="s">
        <v>1193</v>
      </c>
      <c r="E383" s="30" t="s">
        <v>1194</v>
      </c>
      <c r="F383" s="21" t="s">
        <v>2440</v>
      </c>
      <c r="G383" s="10" t="s">
        <v>612</v>
      </c>
      <c r="H383" s="10" t="s">
        <v>330</v>
      </c>
      <c r="I383" s="11">
        <v>14169.5</v>
      </c>
      <c r="J383" s="20" t="s">
        <v>225</v>
      </c>
      <c r="K383" s="11">
        <f>I383/28/30*30</f>
        <v>506.05357142857139</v>
      </c>
      <c r="L383" s="5">
        <v>0.35</v>
      </c>
      <c r="M383" s="13" t="s">
        <v>1190</v>
      </c>
      <c r="N383" s="13" t="s">
        <v>1191</v>
      </c>
    </row>
    <row r="384" spans="1:14" ht="67.5">
      <c r="A384" s="46" t="s">
        <v>1195</v>
      </c>
      <c r="B384" s="13" t="s">
        <v>1188</v>
      </c>
      <c r="C384" s="13" t="s">
        <v>1189</v>
      </c>
      <c r="D384" s="51" t="s">
        <v>1196</v>
      </c>
      <c r="E384" s="30" t="s">
        <v>1194</v>
      </c>
      <c r="F384" s="21" t="s">
        <v>1197</v>
      </c>
      <c r="G384" s="10" t="s">
        <v>612</v>
      </c>
      <c r="H384" s="10" t="s">
        <v>330</v>
      </c>
      <c r="I384" s="11">
        <v>14826.2</v>
      </c>
      <c r="J384" s="10" t="s">
        <v>225</v>
      </c>
      <c r="K384" s="11">
        <f>I384/28/20*20</f>
        <v>529.50714285714287</v>
      </c>
      <c r="L384" s="5">
        <v>0.35</v>
      </c>
      <c r="M384" s="13" t="s">
        <v>1190</v>
      </c>
      <c r="N384" s="13" t="s">
        <v>1191</v>
      </c>
    </row>
    <row r="385" spans="1:14" ht="45">
      <c r="A385" s="46" t="s">
        <v>1198</v>
      </c>
      <c r="B385" s="13" t="s">
        <v>1199</v>
      </c>
      <c r="C385" s="16" t="s">
        <v>1200</v>
      </c>
      <c r="D385" s="13" t="s">
        <v>1201</v>
      </c>
      <c r="E385" s="10" t="s">
        <v>1202</v>
      </c>
      <c r="F385" s="10" t="s">
        <v>1203</v>
      </c>
      <c r="G385" s="10" t="s">
        <v>256</v>
      </c>
      <c r="H385" s="10" t="s">
        <v>21</v>
      </c>
      <c r="I385" s="11">
        <v>322.3</v>
      </c>
      <c r="J385" s="10" t="s">
        <v>1204</v>
      </c>
      <c r="K385" s="11">
        <f>I385/15/250*1000</f>
        <v>85.946666666666673</v>
      </c>
      <c r="L385" s="1">
        <v>0.5</v>
      </c>
      <c r="M385" s="13" t="s">
        <v>1205</v>
      </c>
      <c r="N385" s="13"/>
    </row>
    <row r="386" spans="1:14" ht="45">
      <c r="A386" s="46" t="s">
        <v>1206</v>
      </c>
      <c r="B386" s="13" t="s">
        <v>1199</v>
      </c>
      <c r="C386" s="16" t="s">
        <v>1200</v>
      </c>
      <c r="D386" s="13" t="s">
        <v>1201</v>
      </c>
      <c r="E386" s="10" t="s">
        <v>1202</v>
      </c>
      <c r="F386" s="10" t="s">
        <v>1207</v>
      </c>
      <c r="G386" s="10" t="s">
        <v>256</v>
      </c>
      <c r="H386" s="10" t="s">
        <v>21</v>
      </c>
      <c r="I386" s="20">
        <v>762</v>
      </c>
      <c r="J386" s="11" t="s">
        <v>1204</v>
      </c>
      <c r="K386" s="11">
        <f>I386/20/500*1000</f>
        <v>76.2</v>
      </c>
      <c r="L386" s="1">
        <v>0.55000000000000004</v>
      </c>
      <c r="M386" s="13" t="s">
        <v>1205</v>
      </c>
      <c r="N386" s="13"/>
    </row>
    <row r="387" spans="1:14" ht="45">
      <c r="A387" s="46" t="s">
        <v>1208</v>
      </c>
      <c r="B387" s="13" t="s">
        <v>1199</v>
      </c>
      <c r="C387" s="16" t="s">
        <v>1200</v>
      </c>
      <c r="D387" s="13" t="s">
        <v>1209</v>
      </c>
      <c r="E387" s="10" t="s">
        <v>133</v>
      </c>
      <c r="F387" s="10" t="s">
        <v>1210</v>
      </c>
      <c r="G387" s="10" t="s">
        <v>256</v>
      </c>
      <c r="H387" s="10" t="s">
        <v>21</v>
      </c>
      <c r="I387" s="20">
        <v>383</v>
      </c>
      <c r="J387" s="11" t="s">
        <v>1204</v>
      </c>
      <c r="K387" s="11">
        <f>I387/14/875*1000</f>
        <v>31.26530612244898</v>
      </c>
      <c r="L387" s="1">
        <v>0.55000000000000004</v>
      </c>
      <c r="M387" s="13" t="s">
        <v>1205</v>
      </c>
      <c r="N387" s="13"/>
    </row>
    <row r="388" spans="1:14" ht="45">
      <c r="A388" s="46" t="s">
        <v>1211</v>
      </c>
      <c r="B388" s="13" t="s">
        <v>1199</v>
      </c>
      <c r="C388" s="16" t="s">
        <v>1200</v>
      </c>
      <c r="D388" s="13" t="s">
        <v>1212</v>
      </c>
      <c r="E388" s="10" t="s">
        <v>133</v>
      </c>
      <c r="F388" s="10" t="s">
        <v>1213</v>
      </c>
      <c r="G388" s="10" t="s">
        <v>52</v>
      </c>
      <c r="H388" s="10" t="s">
        <v>25</v>
      </c>
      <c r="I388" s="20">
        <v>345.1</v>
      </c>
      <c r="J388" s="11" t="s">
        <v>1204</v>
      </c>
      <c r="K388" s="11">
        <f>I388/10/500*1000</f>
        <v>69.02000000000001</v>
      </c>
      <c r="L388" s="1">
        <v>0.5</v>
      </c>
      <c r="M388" s="13" t="s">
        <v>1205</v>
      </c>
      <c r="N388" s="13"/>
    </row>
    <row r="389" spans="1:14" ht="90">
      <c r="A389" s="46" t="s">
        <v>1214</v>
      </c>
      <c r="B389" s="13" t="s">
        <v>1199</v>
      </c>
      <c r="C389" s="16" t="s">
        <v>1200</v>
      </c>
      <c r="D389" s="13" t="s">
        <v>1212</v>
      </c>
      <c r="E389" s="10" t="s">
        <v>133</v>
      </c>
      <c r="F389" s="10" t="s">
        <v>1215</v>
      </c>
      <c r="G389" s="10" t="s">
        <v>2501</v>
      </c>
      <c r="H389" s="10" t="s">
        <v>1090</v>
      </c>
      <c r="I389" s="20">
        <v>273.60000000000002</v>
      </c>
      <c r="J389" s="11" t="s">
        <v>1204</v>
      </c>
      <c r="K389" s="11">
        <f>I389/10/875*1000</f>
        <v>31.26857142857143</v>
      </c>
      <c r="L389" s="1">
        <v>0.55000000000000004</v>
      </c>
      <c r="M389" s="13" t="s">
        <v>1205</v>
      </c>
      <c r="N389" s="13"/>
    </row>
    <row r="390" spans="1:14" ht="90">
      <c r="A390" s="46" t="s">
        <v>1216</v>
      </c>
      <c r="B390" s="13" t="s">
        <v>1199</v>
      </c>
      <c r="C390" s="16" t="s">
        <v>1200</v>
      </c>
      <c r="D390" s="13" t="s">
        <v>1217</v>
      </c>
      <c r="E390" s="10" t="s">
        <v>133</v>
      </c>
      <c r="F390" s="10" t="s">
        <v>2533</v>
      </c>
      <c r="G390" s="10" t="s">
        <v>2501</v>
      </c>
      <c r="H390" s="10" t="s">
        <v>1090</v>
      </c>
      <c r="I390" s="20">
        <v>571.5</v>
      </c>
      <c r="J390" s="11" t="s">
        <v>1204</v>
      </c>
      <c r="K390" s="11">
        <f>I390/15/500*1000</f>
        <v>76.2</v>
      </c>
      <c r="L390" s="1">
        <v>0.55000000000000004</v>
      </c>
      <c r="M390" s="13" t="s">
        <v>1205</v>
      </c>
      <c r="N390" s="13"/>
    </row>
    <row r="391" spans="1:14" ht="56.25">
      <c r="A391" s="46" t="s">
        <v>1219</v>
      </c>
      <c r="B391" s="13" t="s">
        <v>1199</v>
      </c>
      <c r="C391" s="16" t="s">
        <v>1200</v>
      </c>
      <c r="D391" s="13" t="s">
        <v>1220</v>
      </c>
      <c r="E391" s="10" t="s">
        <v>133</v>
      </c>
      <c r="F391" s="10" t="s">
        <v>1221</v>
      </c>
      <c r="G391" s="72" t="s">
        <v>2534</v>
      </c>
      <c r="H391" s="72" t="s">
        <v>2514</v>
      </c>
      <c r="I391" s="20">
        <v>344.2</v>
      </c>
      <c r="J391" s="11" t="s">
        <v>1204</v>
      </c>
      <c r="K391" s="11">
        <f>I391/14/875*1000</f>
        <v>28.097959183673467</v>
      </c>
      <c r="L391" s="2">
        <v>0.5</v>
      </c>
      <c r="M391" s="13" t="s">
        <v>1205</v>
      </c>
      <c r="N391" s="13"/>
    </row>
    <row r="392" spans="1:14" ht="45">
      <c r="A392" s="13" t="s">
        <v>1223</v>
      </c>
      <c r="B392" s="13" t="s">
        <v>1199</v>
      </c>
      <c r="C392" s="16" t="s">
        <v>1200</v>
      </c>
      <c r="D392" s="13" t="s">
        <v>1201</v>
      </c>
      <c r="E392" s="10" t="s">
        <v>133</v>
      </c>
      <c r="F392" s="10" t="s">
        <v>1218</v>
      </c>
      <c r="G392" s="10" t="s">
        <v>926</v>
      </c>
      <c r="H392" s="10" t="s">
        <v>21</v>
      </c>
      <c r="I392" s="20">
        <v>517.70000000000005</v>
      </c>
      <c r="J392" s="32" t="s">
        <v>1222</v>
      </c>
      <c r="K392" s="32">
        <f>I392/15/500*1000</f>
        <v>69.026666666666671</v>
      </c>
      <c r="L392" s="1">
        <v>0.5</v>
      </c>
      <c r="M392" s="13" t="s">
        <v>1205</v>
      </c>
      <c r="N392" s="13"/>
    </row>
    <row r="393" spans="1:14" ht="45">
      <c r="A393" s="13" t="s">
        <v>1224</v>
      </c>
      <c r="B393" s="13" t="s">
        <v>1199</v>
      </c>
      <c r="C393" s="16" t="s">
        <v>1200</v>
      </c>
      <c r="D393" s="13" t="s">
        <v>1209</v>
      </c>
      <c r="E393" s="10" t="s">
        <v>133</v>
      </c>
      <c r="F393" s="10" t="s">
        <v>2423</v>
      </c>
      <c r="G393" s="10" t="s">
        <v>926</v>
      </c>
      <c r="H393" s="10" t="s">
        <v>21</v>
      </c>
      <c r="I393" s="20">
        <v>273.60000000000002</v>
      </c>
      <c r="J393" s="10" t="s">
        <v>1222</v>
      </c>
      <c r="K393" s="11">
        <f>I393/10/875*1000</f>
        <v>31.26857142857143</v>
      </c>
      <c r="L393" s="1">
        <v>0.55000000000000004</v>
      </c>
      <c r="M393" s="13" t="s">
        <v>1205</v>
      </c>
      <c r="N393" s="13"/>
    </row>
    <row r="394" spans="1:14" ht="45">
      <c r="A394" s="80" t="s">
        <v>1225</v>
      </c>
      <c r="B394" s="17" t="s">
        <v>1226</v>
      </c>
      <c r="C394" s="81" t="s">
        <v>1227</v>
      </c>
      <c r="D394" s="80" t="s">
        <v>1228</v>
      </c>
      <c r="E394" s="25" t="s">
        <v>274</v>
      </c>
      <c r="F394" s="25" t="s">
        <v>1229</v>
      </c>
      <c r="G394" s="82" t="s">
        <v>1230</v>
      </c>
      <c r="H394" s="10" t="s">
        <v>277</v>
      </c>
      <c r="I394" s="20">
        <v>384.5</v>
      </c>
      <c r="J394" s="40" t="s">
        <v>140</v>
      </c>
      <c r="K394" s="40">
        <f>I394/16/500*2000</f>
        <v>96.125</v>
      </c>
      <c r="L394" s="12">
        <v>0.4</v>
      </c>
      <c r="M394" s="16" t="s">
        <v>1231</v>
      </c>
      <c r="N394" s="13"/>
    </row>
    <row r="395" spans="1:14" ht="56.25">
      <c r="A395" s="46" t="s">
        <v>1232</v>
      </c>
      <c r="B395" s="13" t="s">
        <v>1233</v>
      </c>
      <c r="C395" s="13" t="s">
        <v>1234</v>
      </c>
      <c r="D395" s="13" t="s">
        <v>1235</v>
      </c>
      <c r="E395" s="10" t="s">
        <v>174</v>
      </c>
      <c r="F395" s="10" t="s">
        <v>1236</v>
      </c>
      <c r="G395" s="10" t="s">
        <v>520</v>
      </c>
      <c r="H395" s="10" t="s">
        <v>21</v>
      </c>
      <c r="I395" s="20">
        <v>291.8</v>
      </c>
      <c r="J395" s="11" t="s">
        <v>1237</v>
      </c>
      <c r="K395" s="11">
        <f>I395/10/250*500</f>
        <v>58.36</v>
      </c>
      <c r="L395" s="1">
        <v>0.5</v>
      </c>
      <c r="M395" s="13" t="s">
        <v>1238</v>
      </c>
      <c r="N395" s="13"/>
    </row>
    <row r="396" spans="1:14" ht="56.25">
      <c r="A396" s="46" t="s">
        <v>1239</v>
      </c>
      <c r="B396" s="13" t="s">
        <v>1233</v>
      </c>
      <c r="C396" s="13" t="s">
        <v>1234</v>
      </c>
      <c r="D396" s="13" t="s">
        <v>1235</v>
      </c>
      <c r="E396" s="10" t="s">
        <v>174</v>
      </c>
      <c r="F396" s="10" t="s">
        <v>1240</v>
      </c>
      <c r="G396" s="10" t="s">
        <v>520</v>
      </c>
      <c r="H396" s="10" t="s">
        <v>21</v>
      </c>
      <c r="I396" s="20">
        <v>409.1</v>
      </c>
      <c r="J396" s="11" t="s">
        <v>1237</v>
      </c>
      <c r="K396" s="11">
        <f>I396/10/500*500</f>
        <v>40.910000000000004</v>
      </c>
      <c r="L396" s="1">
        <v>0.5</v>
      </c>
      <c r="M396" s="13" t="s">
        <v>1238</v>
      </c>
      <c r="N396" s="13"/>
    </row>
    <row r="397" spans="1:14" ht="56.25">
      <c r="A397" s="46" t="s">
        <v>1241</v>
      </c>
      <c r="B397" s="13" t="s">
        <v>1233</v>
      </c>
      <c r="C397" s="13" t="s">
        <v>1234</v>
      </c>
      <c r="D397" s="13" t="s">
        <v>1242</v>
      </c>
      <c r="E397" s="10" t="s">
        <v>133</v>
      </c>
      <c r="F397" s="10" t="s">
        <v>1243</v>
      </c>
      <c r="G397" s="10" t="s">
        <v>2535</v>
      </c>
      <c r="H397" s="10" t="s">
        <v>307</v>
      </c>
      <c r="I397" s="20">
        <v>638.5</v>
      </c>
      <c r="J397" s="11" t="s">
        <v>1237</v>
      </c>
      <c r="K397" s="11">
        <f>I397/14/500*500</f>
        <v>45.607142857142854</v>
      </c>
      <c r="L397" s="1">
        <v>0.55000000000000004</v>
      </c>
      <c r="M397" s="13" t="s">
        <v>1238</v>
      </c>
      <c r="N397" s="13"/>
    </row>
    <row r="398" spans="1:14" ht="56.25">
      <c r="A398" s="46" t="s">
        <v>1244</v>
      </c>
      <c r="B398" s="13" t="s">
        <v>1233</v>
      </c>
      <c r="C398" s="13" t="s">
        <v>1234</v>
      </c>
      <c r="D398" s="13" t="s">
        <v>1245</v>
      </c>
      <c r="E398" s="10" t="s">
        <v>133</v>
      </c>
      <c r="F398" s="10" t="s">
        <v>1240</v>
      </c>
      <c r="G398" s="10" t="s">
        <v>1246</v>
      </c>
      <c r="H398" s="10" t="s">
        <v>1247</v>
      </c>
      <c r="I398" s="20">
        <v>409.1</v>
      </c>
      <c r="J398" s="11" t="s">
        <v>1248</v>
      </c>
      <c r="K398" s="11">
        <f>I398/10/500*500</f>
        <v>40.910000000000004</v>
      </c>
      <c r="L398" s="1">
        <v>0.5</v>
      </c>
      <c r="M398" s="13" t="s">
        <v>1238</v>
      </c>
      <c r="N398" s="13"/>
    </row>
    <row r="399" spans="1:14" ht="56.25">
      <c r="A399" s="46" t="s">
        <v>1250</v>
      </c>
      <c r="B399" s="13" t="s">
        <v>1251</v>
      </c>
      <c r="C399" s="13" t="s">
        <v>1252</v>
      </c>
      <c r="D399" s="13" t="s">
        <v>1253</v>
      </c>
      <c r="E399" s="10" t="s">
        <v>133</v>
      </c>
      <c r="F399" s="10" t="s">
        <v>1240</v>
      </c>
      <c r="G399" s="83" t="s">
        <v>1254</v>
      </c>
      <c r="H399" s="21" t="s">
        <v>82</v>
      </c>
      <c r="I399" s="20">
        <v>644.20000000000005</v>
      </c>
      <c r="J399" s="11" t="s">
        <v>1204</v>
      </c>
      <c r="K399" s="11">
        <f>I399/10/500*1000</f>
        <v>128.84</v>
      </c>
      <c r="L399" s="12">
        <v>0.85</v>
      </c>
      <c r="M399" s="13" t="s">
        <v>1255</v>
      </c>
      <c r="N399" s="13"/>
    </row>
    <row r="400" spans="1:14" ht="56.25">
      <c r="A400" s="46" t="s">
        <v>2459</v>
      </c>
      <c r="B400" s="46" t="s">
        <v>1251</v>
      </c>
      <c r="C400" s="70" t="s">
        <v>1252</v>
      </c>
      <c r="D400" s="70" t="s">
        <v>2460</v>
      </c>
      <c r="E400" s="71" t="s">
        <v>133</v>
      </c>
      <c r="F400" s="21" t="s">
        <v>1240</v>
      </c>
      <c r="G400" s="71" t="s">
        <v>1354</v>
      </c>
      <c r="H400" s="71" t="s">
        <v>1247</v>
      </c>
      <c r="I400" s="20">
        <v>450.9</v>
      </c>
      <c r="J400" s="54" t="s">
        <v>1204</v>
      </c>
      <c r="K400" s="108">
        <f>+I400/(10*500)*1000</f>
        <v>90.179999999999993</v>
      </c>
      <c r="L400" s="12">
        <v>0.8</v>
      </c>
      <c r="M400" s="13" t="s">
        <v>1255</v>
      </c>
      <c r="N400" s="13"/>
    </row>
    <row r="401" spans="1:14" ht="45">
      <c r="A401" s="46" t="s">
        <v>1256</v>
      </c>
      <c r="B401" s="13" t="s">
        <v>1257</v>
      </c>
      <c r="C401" s="13" t="s">
        <v>1258</v>
      </c>
      <c r="D401" s="13" t="s">
        <v>1259</v>
      </c>
      <c r="E401" s="10" t="s">
        <v>1202</v>
      </c>
      <c r="F401" s="10" t="s">
        <v>1260</v>
      </c>
      <c r="G401" s="10" t="s">
        <v>1249</v>
      </c>
      <c r="H401" s="10" t="s">
        <v>277</v>
      </c>
      <c r="I401" s="20">
        <v>855</v>
      </c>
      <c r="J401" s="11" t="s">
        <v>1261</v>
      </c>
      <c r="K401" s="11">
        <f>I401/10/400*400</f>
        <v>85.5</v>
      </c>
      <c r="L401" s="12">
        <v>0.7</v>
      </c>
      <c r="M401" s="13" t="s">
        <v>1262</v>
      </c>
      <c r="N401" s="13"/>
    </row>
    <row r="402" spans="1:14" ht="45">
      <c r="A402" s="46" t="s">
        <v>1263</v>
      </c>
      <c r="B402" s="13" t="s">
        <v>1257</v>
      </c>
      <c r="C402" s="13" t="s">
        <v>1258</v>
      </c>
      <c r="D402" s="13" t="s">
        <v>1259</v>
      </c>
      <c r="E402" s="10" t="s">
        <v>133</v>
      </c>
      <c r="F402" s="10" t="s">
        <v>1264</v>
      </c>
      <c r="G402" s="10" t="s">
        <v>1249</v>
      </c>
      <c r="H402" s="10" t="s">
        <v>277</v>
      </c>
      <c r="I402" s="20">
        <v>427.5</v>
      </c>
      <c r="J402" s="11" t="s">
        <v>1261</v>
      </c>
      <c r="K402" s="11">
        <f>I402/5/400*400</f>
        <v>85.5</v>
      </c>
      <c r="L402" s="12">
        <v>0.7</v>
      </c>
      <c r="M402" s="13" t="s">
        <v>1262</v>
      </c>
      <c r="N402" s="13"/>
    </row>
    <row r="403" spans="1:14" ht="45">
      <c r="A403" s="46" t="s">
        <v>1265</v>
      </c>
      <c r="B403" s="46" t="s">
        <v>1257</v>
      </c>
      <c r="C403" s="16" t="s">
        <v>1258</v>
      </c>
      <c r="D403" s="16" t="s">
        <v>1266</v>
      </c>
      <c r="E403" s="21" t="s">
        <v>133</v>
      </c>
      <c r="F403" s="21" t="s">
        <v>1260</v>
      </c>
      <c r="G403" s="10" t="s">
        <v>650</v>
      </c>
      <c r="H403" s="10" t="s">
        <v>21</v>
      </c>
      <c r="I403" s="11">
        <v>855</v>
      </c>
      <c r="J403" s="61" t="s">
        <v>1261</v>
      </c>
      <c r="K403" s="11">
        <f>I403/10/400*400</f>
        <v>85.5</v>
      </c>
      <c r="L403" s="12">
        <v>0.7</v>
      </c>
      <c r="M403" s="13" t="s">
        <v>1262</v>
      </c>
      <c r="N403" s="13"/>
    </row>
    <row r="404" spans="1:14" ht="45">
      <c r="A404" s="46" t="s">
        <v>1267</v>
      </c>
      <c r="B404" s="13" t="s">
        <v>1268</v>
      </c>
      <c r="C404" s="13" t="s">
        <v>1269</v>
      </c>
      <c r="D404" s="13" t="s">
        <v>1270</v>
      </c>
      <c r="E404" s="10" t="s">
        <v>133</v>
      </c>
      <c r="F404" s="10" t="s">
        <v>1271</v>
      </c>
      <c r="G404" s="10" t="s">
        <v>958</v>
      </c>
      <c r="H404" s="10" t="s">
        <v>277</v>
      </c>
      <c r="I404" s="20">
        <v>312.60000000000002</v>
      </c>
      <c r="J404" s="11" t="s">
        <v>1261</v>
      </c>
      <c r="K404" s="11">
        <f>I404/10/100*400</f>
        <v>125.03999999999999</v>
      </c>
      <c r="L404" s="1">
        <v>0.65</v>
      </c>
      <c r="M404" s="13" t="s">
        <v>1272</v>
      </c>
      <c r="N404" s="13"/>
    </row>
    <row r="405" spans="1:14" ht="45">
      <c r="A405" s="46" t="s">
        <v>1273</v>
      </c>
      <c r="B405" s="13" t="s">
        <v>1268</v>
      </c>
      <c r="C405" s="13" t="s">
        <v>1269</v>
      </c>
      <c r="D405" s="13" t="s">
        <v>1270</v>
      </c>
      <c r="E405" s="10" t="s">
        <v>133</v>
      </c>
      <c r="F405" s="10" t="s">
        <v>1274</v>
      </c>
      <c r="G405" s="10" t="s">
        <v>958</v>
      </c>
      <c r="H405" s="10" t="s">
        <v>277</v>
      </c>
      <c r="I405" s="20">
        <v>625.4</v>
      </c>
      <c r="J405" s="11" t="s">
        <v>1261</v>
      </c>
      <c r="K405" s="11">
        <f>I405/10/200*400</f>
        <v>125.07999999999998</v>
      </c>
      <c r="L405" s="1">
        <v>0.65</v>
      </c>
      <c r="M405" s="13" t="s">
        <v>1272</v>
      </c>
      <c r="N405" s="13"/>
    </row>
    <row r="406" spans="1:14" ht="56.25">
      <c r="A406" s="46" t="s">
        <v>1275</v>
      </c>
      <c r="B406" s="13" t="s">
        <v>1276</v>
      </c>
      <c r="C406" s="13" t="s">
        <v>1277</v>
      </c>
      <c r="D406" s="13" t="s">
        <v>1278</v>
      </c>
      <c r="E406" s="10" t="s">
        <v>133</v>
      </c>
      <c r="F406" s="10" t="s">
        <v>1279</v>
      </c>
      <c r="G406" s="10" t="s">
        <v>284</v>
      </c>
      <c r="H406" s="10" t="s">
        <v>21</v>
      </c>
      <c r="I406" s="20">
        <v>408.4</v>
      </c>
      <c r="J406" s="11" t="s">
        <v>1280</v>
      </c>
      <c r="K406" s="11">
        <f>I406/10/150*300</f>
        <v>81.679999999999993</v>
      </c>
      <c r="L406" s="1">
        <v>0.5</v>
      </c>
      <c r="M406" s="13" t="s">
        <v>1281</v>
      </c>
      <c r="N406" s="13"/>
    </row>
    <row r="407" spans="1:14" ht="78.75">
      <c r="A407" s="46" t="s">
        <v>1282</v>
      </c>
      <c r="B407" s="13" t="s">
        <v>1283</v>
      </c>
      <c r="C407" s="13" t="s">
        <v>1284</v>
      </c>
      <c r="D407" s="13" t="s">
        <v>1285</v>
      </c>
      <c r="E407" s="10" t="s">
        <v>133</v>
      </c>
      <c r="F407" s="10" t="s">
        <v>1243</v>
      </c>
      <c r="G407" s="10" t="s">
        <v>46</v>
      </c>
      <c r="H407" s="10" t="s">
        <v>25</v>
      </c>
      <c r="I407" s="20">
        <v>352.6</v>
      </c>
      <c r="J407" s="11" t="s">
        <v>1237</v>
      </c>
      <c r="K407" s="11">
        <f>I407/14/500*500</f>
        <v>25.185714285714287</v>
      </c>
      <c r="L407" s="1">
        <v>0.55000000000000004</v>
      </c>
      <c r="M407" s="13" t="s">
        <v>1286</v>
      </c>
      <c r="N407" s="13"/>
    </row>
    <row r="408" spans="1:14" ht="78.75">
      <c r="A408" s="46" t="s">
        <v>1287</v>
      </c>
      <c r="B408" s="13" t="s">
        <v>1283</v>
      </c>
      <c r="C408" s="13" t="s">
        <v>1284</v>
      </c>
      <c r="D408" s="13" t="s">
        <v>1288</v>
      </c>
      <c r="E408" s="10" t="s">
        <v>118</v>
      </c>
      <c r="F408" s="10" t="s">
        <v>1289</v>
      </c>
      <c r="G408" s="10" t="s">
        <v>46</v>
      </c>
      <c r="H408" s="10" t="s">
        <v>25</v>
      </c>
      <c r="I408" s="20">
        <v>195.7</v>
      </c>
      <c r="J408" s="11" t="s">
        <v>1237</v>
      </c>
      <c r="K408" s="11">
        <f>I408/7/500*500</f>
        <v>27.957142857142856</v>
      </c>
      <c r="L408" s="1">
        <v>0.55000000000000004</v>
      </c>
      <c r="M408" s="13" t="s">
        <v>1286</v>
      </c>
      <c r="N408" s="13"/>
    </row>
    <row r="409" spans="1:14" ht="78.75">
      <c r="A409" s="46" t="s">
        <v>1290</v>
      </c>
      <c r="B409" s="13" t="s">
        <v>1283</v>
      </c>
      <c r="C409" s="13" t="s">
        <v>1284</v>
      </c>
      <c r="D409" s="13" t="s">
        <v>1288</v>
      </c>
      <c r="E409" s="10" t="s">
        <v>118</v>
      </c>
      <c r="F409" s="10" t="s">
        <v>1243</v>
      </c>
      <c r="G409" s="10" t="s">
        <v>46</v>
      </c>
      <c r="H409" s="10" t="s">
        <v>25</v>
      </c>
      <c r="I409" s="20">
        <v>391.4</v>
      </c>
      <c r="J409" s="11" t="s">
        <v>1237</v>
      </c>
      <c r="K409" s="11">
        <f>I409/14/500*500</f>
        <v>27.957142857142856</v>
      </c>
      <c r="L409" s="1">
        <v>0.55000000000000004</v>
      </c>
      <c r="M409" s="13" t="s">
        <v>1286</v>
      </c>
      <c r="N409" s="13"/>
    </row>
    <row r="410" spans="1:14" ht="78.75">
      <c r="A410" s="46" t="s">
        <v>1291</v>
      </c>
      <c r="B410" s="13" t="s">
        <v>1283</v>
      </c>
      <c r="C410" s="13" t="s">
        <v>1284</v>
      </c>
      <c r="D410" s="13" t="s">
        <v>1292</v>
      </c>
      <c r="E410" s="10" t="s">
        <v>133</v>
      </c>
      <c r="F410" s="10" t="s">
        <v>1243</v>
      </c>
      <c r="G410" s="10" t="s">
        <v>1293</v>
      </c>
      <c r="H410" s="10" t="s">
        <v>1294</v>
      </c>
      <c r="I410" s="20">
        <v>885</v>
      </c>
      <c r="J410" s="11" t="s">
        <v>1237</v>
      </c>
      <c r="K410" s="11">
        <f>I410/14/500*500</f>
        <v>63.214285714285708</v>
      </c>
      <c r="L410" s="1">
        <v>0.85</v>
      </c>
      <c r="M410" s="13" t="s">
        <v>1286</v>
      </c>
      <c r="N410" s="13"/>
    </row>
    <row r="411" spans="1:14" ht="78.75">
      <c r="A411" s="46" t="s">
        <v>1295</v>
      </c>
      <c r="B411" s="13" t="s">
        <v>1283</v>
      </c>
      <c r="C411" s="13" t="s">
        <v>1284</v>
      </c>
      <c r="D411" s="13" t="s">
        <v>1296</v>
      </c>
      <c r="E411" s="10" t="s">
        <v>421</v>
      </c>
      <c r="F411" s="10" t="s">
        <v>1289</v>
      </c>
      <c r="G411" s="10" t="s">
        <v>1293</v>
      </c>
      <c r="H411" s="10" t="s">
        <v>1294</v>
      </c>
      <c r="I411" s="20">
        <v>685</v>
      </c>
      <c r="J411" s="11" t="s">
        <v>1237</v>
      </c>
      <c r="K411" s="11">
        <f>I411/7/500*500</f>
        <v>97.857142857142861</v>
      </c>
      <c r="L411" s="1">
        <v>0.9</v>
      </c>
      <c r="M411" s="13" t="s">
        <v>1286</v>
      </c>
      <c r="N411" s="13"/>
    </row>
    <row r="412" spans="1:14" ht="78.75">
      <c r="A412" s="46" t="s">
        <v>1297</v>
      </c>
      <c r="B412" s="13" t="s">
        <v>1298</v>
      </c>
      <c r="C412" s="13" t="s">
        <v>1299</v>
      </c>
      <c r="D412" s="13" t="s">
        <v>1300</v>
      </c>
      <c r="E412" s="10" t="s">
        <v>274</v>
      </c>
      <c r="F412" s="10" t="s">
        <v>1301</v>
      </c>
      <c r="G412" s="10" t="s">
        <v>256</v>
      </c>
      <c r="H412" s="10" t="s">
        <v>21</v>
      </c>
      <c r="I412" s="20">
        <v>200.7</v>
      </c>
      <c r="J412" s="11" t="s">
        <v>1280</v>
      </c>
      <c r="K412" s="11">
        <f>I412/6/250*300</f>
        <v>40.139999999999993</v>
      </c>
      <c r="L412" s="1">
        <v>0.8</v>
      </c>
      <c r="M412" s="13" t="s">
        <v>1302</v>
      </c>
      <c r="N412" s="13"/>
    </row>
    <row r="413" spans="1:14" ht="78.75">
      <c r="A413" s="46" t="s">
        <v>1303</v>
      </c>
      <c r="B413" s="13" t="s">
        <v>1298</v>
      </c>
      <c r="C413" s="13" t="s">
        <v>1299</v>
      </c>
      <c r="D413" s="13" t="s">
        <v>1300</v>
      </c>
      <c r="E413" s="10" t="s">
        <v>1202</v>
      </c>
      <c r="F413" s="10" t="s">
        <v>1304</v>
      </c>
      <c r="G413" s="10" t="s">
        <v>256</v>
      </c>
      <c r="H413" s="10" t="s">
        <v>21</v>
      </c>
      <c r="I413" s="20">
        <v>186.6</v>
      </c>
      <c r="J413" s="11" t="s">
        <v>1280</v>
      </c>
      <c r="K413" s="32">
        <f>I413/3/500*300</f>
        <v>37.32</v>
      </c>
      <c r="L413" s="1">
        <v>0.8</v>
      </c>
      <c r="M413" s="13" t="s">
        <v>1302</v>
      </c>
      <c r="N413" s="13"/>
    </row>
    <row r="414" spans="1:14" ht="78.75">
      <c r="A414" s="46" t="s">
        <v>1305</v>
      </c>
      <c r="B414" s="13" t="s">
        <v>1298</v>
      </c>
      <c r="C414" s="13" t="s">
        <v>1299</v>
      </c>
      <c r="D414" s="13" t="s">
        <v>1306</v>
      </c>
      <c r="E414" s="10" t="s">
        <v>274</v>
      </c>
      <c r="F414" s="10" t="s">
        <v>1301</v>
      </c>
      <c r="G414" s="10" t="s">
        <v>391</v>
      </c>
      <c r="H414" s="10" t="s">
        <v>366</v>
      </c>
      <c r="I414" s="20">
        <v>200.7</v>
      </c>
      <c r="J414" s="11" t="s">
        <v>1280</v>
      </c>
      <c r="K414" s="11">
        <f>I414/6/250*300</f>
        <v>40.139999999999993</v>
      </c>
      <c r="L414" s="1">
        <v>0.8</v>
      </c>
      <c r="M414" s="13" t="s">
        <v>1302</v>
      </c>
      <c r="N414" s="13"/>
    </row>
    <row r="415" spans="1:14" ht="78.75">
      <c r="A415" s="46" t="s">
        <v>1307</v>
      </c>
      <c r="B415" s="13" t="s">
        <v>1298</v>
      </c>
      <c r="C415" s="13" t="s">
        <v>1299</v>
      </c>
      <c r="D415" s="13" t="s">
        <v>1308</v>
      </c>
      <c r="E415" s="10" t="s">
        <v>133</v>
      </c>
      <c r="F415" s="10" t="s">
        <v>1304</v>
      </c>
      <c r="G415" s="10" t="s">
        <v>391</v>
      </c>
      <c r="H415" s="10" t="s">
        <v>366</v>
      </c>
      <c r="I415" s="20">
        <v>186.6</v>
      </c>
      <c r="J415" s="11" t="s">
        <v>1280</v>
      </c>
      <c r="K415" s="11">
        <f>I415/3/500*300</f>
        <v>37.32</v>
      </c>
      <c r="L415" s="1">
        <v>0.8</v>
      </c>
      <c r="M415" s="13" t="s">
        <v>1302</v>
      </c>
      <c r="N415" s="13"/>
    </row>
    <row r="416" spans="1:14" ht="78.75">
      <c r="A416" s="46" t="s">
        <v>1309</v>
      </c>
      <c r="B416" s="13" t="s">
        <v>1298</v>
      </c>
      <c r="C416" s="13" t="s">
        <v>1299</v>
      </c>
      <c r="D416" s="13" t="s">
        <v>1310</v>
      </c>
      <c r="E416" s="10" t="s">
        <v>133</v>
      </c>
      <c r="F416" s="10" t="s">
        <v>1304</v>
      </c>
      <c r="G416" s="10" t="s">
        <v>1311</v>
      </c>
      <c r="H416" s="10" t="s">
        <v>1172</v>
      </c>
      <c r="I416" s="20">
        <v>169</v>
      </c>
      <c r="J416" s="11" t="s">
        <v>1280</v>
      </c>
      <c r="K416" s="11">
        <f>I416/3/500*300</f>
        <v>33.799999999999997</v>
      </c>
      <c r="L416" s="1">
        <v>0.8</v>
      </c>
      <c r="M416" s="13" t="s">
        <v>1302</v>
      </c>
      <c r="N416" s="13"/>
    </row>
    <row r="417" spans="1:14" ht="78.75">
      <c r="A417" s="58" t="s">
        <v>1312</v>
      </c>
      <c r="B417" s="51" t="s">
        <v>1298</v>
      </c>
      <c r="C417" s="51" t="s">
        <v>1299</v>
      </c>
      <c r="D417" s="13" t="s">
        <v>1313</v>
      </c>
      <c r="E417" s="30" t="s">
        <v>133</v>
      </c>
      <c r="F417" s="24" t="s">
        <v>1304</v>
      </c>
      <c r="G417" s="10" t="s">
        <v>1314</v>
      </c>
      <c r="H417" s="10" t="s">
        <v>1315</v>
      </c>
      <c r="I417" s="11">
        <v>169</v>
      </c>
      <c r="J417" s="11" t="s">
        <v>1280</v>
      </c>
      <c r="K417" s="11">
        <f>I417/3/500*300</f>
        <v>33.799999999999997</v>
      </c>
      <c r="L417" s="1">
        <v>0.8</v>
      </c>
      <c r="M417" s="51" t="s">
        <v>1302</v>
      </c>
      <c r="N417" s="51"/>
    </row>
    <row r="418" spans="1:14" ht="22.5">
      <c r="A418" s="46" t="s">
        <v>1316</v>
      </c>
      <c r="B418" s="13" t="s">
        <v>1317</v>
      </c>
      <c r="C418" s="13" t="s">
        <v>1318</v>
      </c>
      <c r="D418" s="13" t="s">
        <v>1319</v>
      </c>
      <c r="E418" s="10" t="s">
        <v>133</v>
      </c>
      <c r="F418" s="10" t="s">
        <v>1320</v>
      </c>
      <c r="G418" s="10" t="s">
        <v>2559</v>
      </c>
      <c r="H418" s="10" t="s">
        <v>82</v>
      </c>
      <c r="I418" s="20">
        <v>325.7</v>
      </c>
      <c r="J418" s="11" t="s">
        <v>1321</v>
      </c>
      <c r="K418" s="11">
        <f>I418/12/300*1200</f>
        <v>108.56666666666666</v>
      </c>
      <c r="L418" s="1">
        <v>0.25</v>
      </c>
      <c r="M418" s="13"/>
      <c r="N418" s="13"/>
    </row>
    <row r="419" spans="1:14" ht="22.5">
      <c r="A419" s="46" t="s">
        <v>1322</v>
      </c>
      <c r="B419" s="13" t="s">
        <v>1317</v>
      </c>
      <c r="C419" s="13" t="s">
        <v>1318</v>
      </c>
      <c r="D419" s="13" t="s">
        <v>1319</v>
      </c>
      <c r="E419" s="10" t="s">
        <v>133</v>
      </c>
      <c r="F419" s="10" t="s">
        <v>1323</v>
      </c>
      <c r="G419" s="10" t="s">
        <v>2559</v>
      </c>
      <c r="H419" s="10" t="s">
        <v>82</v>
      </c>
      <c r="I419" s="20">
        <v>610.5</v>
      </c>
      <c r="J419" s="11" t="s">
        <v>1321</v>
      </c>
      <c r="K419" s="11">
        <f>I419/12/600*1200</f>
        <v>101.75</v>
      </c>
      <c r="L419" s="1">
        <v>0.3</v>
      </c>
      <c r="M419" s="13"/>
      <c r="N419" s="13"/>
    </row>
    <row r="420" spans="1:14" ht="22.5">
      <c r="A420" s="46" t="s">
        <v>1324</v>
      </c>
      <c r="B420" s="13" t="s">
        <v>1317</v>
      </c>
      <c r="C420" s="13" t="s">
        <v>1318</v>
      </c>
      <c r="D420" s="13" t="s">
        <v>1319</v>
      </c>
      <c r="E420" s="10" t="s">
        <v>133</v>
      </c>
      <c r="F420" s="10" t="s">
        <v>1325</v>
      </c>
      <c r="G420" s="10" t="s">
        <v>2559</v>
      </c>
      <c r="H420" s="10" t="s">
        <v>82</v>
      </c>
      <c r="I420" s="20">
        <v>1413.8</v>
      </c>
      <c r="J420" s="11" t="s">
        <v>1321</v>
      </c>
      <c r="K420" s="11">
        <f>I420/30/600*1200</f>
        <v>94.25333333333333</v>
      </c>
      <c r="L420" s="1">
        <v>0.25</v>
      </c>
      <c r="M420" s="13"/>
      <c r="N420" s="13"/>
    </row>
    <row r="421" spans="1:14" ht="67.5">
      <c r="A421" s="46" t="s">
        <v>1326</v>
      </c>
      <c r="B421" s="13" t="s">
        <v>1327</v>
      </c>
      <c r="C421" s="13" t="s">
        <v>1328</v>
      </c>
      <c r="D421" s="13" t="s">
        <v>1329</v>
      </c>
      <c r="E421" s="10" t="s">
        <v>133</v>
      </c>
      <c r="F421" s="10" t="s">
        <v>1236</v>
      </c>
      <c r="G421" s="10" t="s">
        <v>1330</v>
      </c>
      <c r="H421" s="10" t="s">
        <v>21</v>
      </c>
      <c r="I421" s="20">
        <v>406.4</v>
      </c>
      <c r="J421" s="11" t="s">
        <v>1237</v>
      </c>
      <c r="K421" s="11">
        <f>I421/10/250*500</f>
        <v>81.28</v>
      </c>
      <c r="L421" s="1">
        <v>0.25</v>
      </c>
      <c r="M421" s="13" t="s">
        <v>1331</v>
      </c>
      <c r="N421" s="13"/>
    </row>
    <row r="422" spans="1:14" ht="67.5">
      <c r="A422" s="46" t="s">
        <v>1332</v>
      </c>
      <c r="B422" s="13" t="s">
        <v>1327</v>
      </c>
      <c r="C422" s="13" t="s">
        <v>1328</v>
      </c>
      <c r="D422" s="13" t="s">
        <v>1329</v>
      </c>
      <c r="E422" s="10" t="s">
        <v>133</v>
      </c>
      <c r="F422" s="10" t="s">
        <v>1240</v>
      </c>
      <c r="G422" s="10" t="s">
        <v>1330</v>
      </c>
      <c r="H422" s="10" t="s">
        <v>21</v>
      </c>
      <c r="I422" s="20">
        <v>567.1</v>
      </c>
      <c r="J422" s="11" t="s">
        <v>1237</v>
      </c>
      <c r="K422" s="11">
        <f>I422/10/500*500</f>
        <v>56.71</v>
      </c>
      <c r="L422" s="1">
        <v>0.25</v>
      </c>
      <c r="M422" s="13" t="s">
        <v>1331</v>
      </c>
      <c r="N422" s="13"/>
    </row>
    <row r="423" spans="1:14" ht="67.5">
      <c r="A423" s="46" t="s">
        <v>1333</v>
      </c>
      <c r="B423" s="13" t="s">
        <v>1327</v>
      </c>
      <c r="C423" s="13" t="s">
        <v>1328</v>
      </c>
      <c r="D423" s="13" t="s">
        <v>1334</v>
      </c>
      <c r="E423" s="10" t="s">
        <v>133</v>
      </c>
      <c r="F423" s="10" t="s">
        <v>1240</v>
      </c>
      <c r="G423" s="10" t="s">
        <v>256</v>
      </c>
      <c r="H423" s="10" t="s">
        <v>21</v>
      </c>
      <c r="I423" s="20">
        <v>748.1</v>
      </c>
      <c r="J423" s="11" t="s">
        <v>1237</v>
      </c>
      <c r="K423" s="11">
        <f>I423/10/500*500</f>
        <v>74.81</v>
      </c>
      <c r="L423" s="1">
        <v>0.4</v>
      </c>
      <c r="M423" s="13" t="s">
        <v>1331</v>
      </c>
      <c r="N423" s="13"/>
    </row>
    <row r="424" spans="1:14" ht="67.5">
      <c r="A424" s="46" t="s">
        <v>1335</v>
      </c>
      <c r="B424" s="13" t="s">
        <v>1327</v>
      </c>
      <c r="C424" s="13" t="s">
        <v>1328</v>
      </c>
      <c r="D424" s="13" t="s">
        <v>1336</v>
      </c>
      <c r="E424" s="10" t="s">
        <v>133</v>
      </c>
      <c r="F424" s="10" t="s">
        <v>1236</v>
      </c>
      <c r="G424" s="47" t="s">
        <v>248</v>
      </c>
      <c r="H424" s="47" t="s">
        <v>249</v>
      </c>
      <c r="I424" s="20">
        <v>406.4</v>
      </c>
      <c r="J424" s="11" t="s">
        <v>1237</v>
      </c>
      <c r="K424" s="11">
        <f>I424/10/250*500</f>
        <v>81.28</v>
      </c>
      <c r="L424" s="1">
        <v>0.25</v>
      </c>
      <c r="M424" s="13" t="s">
        <v>1331</v>
      </c>
      <c r="N424" s="13"/>
    </row>
    <row r="425" spans="1:14" ht="67.5">
      <c r="A425" s="46" t="s">
        <v>1337</v>
      </c>
      <c r="B425" s="13" t="s">
        <v>1327</v>
      </c>
      <c r="C425" s="13" t="s">
        <v>1328</v>
      </c>
      <c r="D425" s="13" t="s">
        <v>1336</v>
      </c>
      <c r="E425" s="10" t="s">
        <v>133</v>
      </c>
      <c r="F425" s="10" t="s">
        <v>1240</v>
      </c>
      <c r="G425" s="47" t="s">
        <v>248</v>
      </c>
      <c r="H425" s="47" t="s">
        <v>249</v>
      </c>
      <c r="I425" s="20">
        <v>748.1</v>
      </c>
      <c r="J425" s="11" t="s">
        <v>1237</v>
      </c>
      <c r="K425" s="11">
        <f>I425/10/500*500</f>
        <v>74.81</v>
      </c>
      <c r="L425" s="1">
        <v>0.4</v>
      </c>
      <c r="M425" s="13" t="s">
        <v>1331</v>
      </c>
      <c r="N425" s="13"/>
    </row>
    <row r="426" spans="1:14" ht="67.5">
      <c r="A426" s="46" t="s">
        <v>1338</v>
      </c>
      <c r="B426" s="13" t="s">
        <v>1327</v>
      </c>
      <c r="C426" s="13" t="s">
        <v>1328</v>
      </c>
      <c r="D426" s="13" t="s">
        <v>1339</v>
      </c>
      <c r="E426" s="10" t="s">
        <v>133</v>
      </c>
      <c r="F426" s="10" t="s">
        <v>2478</v>
      </c>
      <c r="G426" s="10" t="s">
        <v>1340</v>
      </c>
      <c r="H426" s="10" t="s">
        <v>21</v>
      </c>
      <c r="I426" s="20">
        <v>284.5</v>
      </c>
      <c r="J426" s="11" t="s">
        <v>1237</v>
      </c>
      <c r="K426" s="11">
        <f>I426/7/250*500</f>
        <v>81.285714285714292</v>
      </c>
      <c r="L426" s="1">
        <v>0.25</v>
      </c>
      <c r="M426" s="13" t="s">
        <v>1331</v>
      </c>
      <c r="N426" s="13"/>
    </row>
    <row r="427" spans="1:14" ht="67.5">
      <c r="A427" s="46" t="s">
        <v>1341</v>
      </c>
      <c r="B427" s="13" t="s">
        <v>1327</v>
      </c>
      <c r="C427" s="13" t="s">
        <v>1328</v>
      </c>
      <c r="D427" s="13" t="s">
        <v>1339</v>
      </c>
      <c r="E427" s="10" t="s">
        <v>133</v>
      </c>
      <c r="F427" s="10" t="s">
        <v>1289</v>
      </c>
      <c r="G427" s="10" t="s">
        <v>1340</v>
      </c>
      <c r="H427" s="10" t="s">
        <v>21</v>
      </c>
      <c r="I427" s="20">
        <v>397</v>
      </c>
      <c r="J427" s="11" t="s">
        <v>1237</v>
      </c>
      <c r="K427" s="11">
        <f>I427/7/500*500</f>
        <v>56.714285714285715</v>
      </c>
      <c r="L427" s="1">
        <v>0.25</v>
      </c>
      <c r="M427" s="13" t="s">
        <v>1331</v>
      </c>
      <c r="N427" s="13"/>
    </row>
    <row r="428" spans="1:14" ht="67.5">
      <c r="A428" s="46" t="s">
        <v>1342</v>
      </c>
      <c r="B428" s="13" t="s">
        <v>1327</v>
      </c>
      <c r="C428" s="13" t="s">
        <v>1328</v>
      </c>
      <c r="D428" s="13" t="s">
        <v>1343</v>
      </c>
      <c r="E428" s="10" t="s">
        <v>133</v>
      </c>
      <c r="F428" s="10" t="s">
        <v>1236</v>
      </c>
      <c r="G428" s="10" t="s">
        <v>1344</v>
      </c>
      <c r="H428" s="10" t="s">
        <v>1345</v>
      </c>
      <c r="I428" s="20">
        <v>406.4</v>
      </c>
      <c r="J428" s="11" t="s">
        <v>1237</v>
      </c>
      <c r="K428" s="11">
        <f>I428/10/250*500</f>
        <v>81.28</v>
      </c>
      <c r="L428" s="1">
        <v>0.25</v>
      </c>
      <c r="M428" s="13" t="s">
        <v>1331</v>
      </c>
      <c r="N428" s="13"/>
    </row>
    <row r="429" spans="1:14" ht="67.5">
      <c r="A429" s="46" t="s">
        <v>1346</v>
      </c>
      <c r="B429" s="13" t="s">
        <v>1327</v>
      </c>
      <c r="C429" s="13" t="s">
        <v>1328</v>
      </c>
      <c r="D429" s="13" t="s">
        <v>1343</v>
      </c>
      <c r="E429" s="10" t="s">
        <v>133</v>
      </c>
      <c r="F429" s="10" t="s">
        <v>1240</v>
      </c>
      <c r="G429" s="10" t="s">
        <v>1344</v>
      </c>
      <c r="H429" s="10" t="s">
        <v>1345</v>
      </c>
      <c r="I429" s="20">
        <v>670.5</v>
      </c>
      <c r="J429" s="11" t="s">
        <v>1237</v>
      </c>
      <c r="K429" s="11">
        <f>I429/10/500*500</f>
        <v>67.05</v>
      </c>
      <c r="L429" s="1">
        <v>0.35</v>
      </c>
      <c r="M429" s="13" t="s">
        <v>1331</v>
      </c>
      <c r="N429" s="13"/>
    </row>
    <row r="430" spans="1:14" ht="67.5">
      <c r="A430" s="46" t="s">
        <v>1347</v>
      </c>
      <c r="B430" s="13" t="s">
        <v>1327</v>
      </c>
      <c r="C430" s="13" t="s">
        <v>1328</v>
      </c>
      <c r="D430" s="13" t="s">
        <v>1348</v>
      </c>
      <c r="E430" s="10" t="s">
        <v>133</v>
      </c>
      <c r="F430" s="10" t="s">
        <v>1236</v>
      </c>
      <c r="G430" s="10" t="s">
        <v>1349</v>
      </c>
      <c r="H430" s="10" t="s">
        <v>1350</v>
      </c>
      <c r="I430" s="20">
        <v>406.4</v>
      </c>
      <c r="J430" s="11" t="s">
        <v>1237</v>
      </c>
      <c r="K430" s="11">
        <f>+I430/10/250*500</f>
        <v>81.28</v>
      </c>
      <c r="L430" s="1">
        <v>0.25</v>
      </c>
      <c r="M430" s="13" t="s">
        <v>1331</v>
      </c>
      <c r="N430" s="13"/>
    </row>
    <row r="431" spans="1:14" ht="67.5">
      <c r="A431" s="46" t="s">
        <v>1351</v>
      </c>
      <c r="B431" s="13" t="s">
        <v>1327</v>
      </c>
      <c r="C431" s="13" t="s">
        <v>1328</v>
      </c>
      <c r="D431" s="13" t="s">
        <v>1348</v>
      </c>
      <c r="E431" s="10" t="s">
        <v>133</v>
      </c>
      <c r="F431" s="10" t="s">
        <v>1240</v>
      </c>
      <c r="G431" s="10" t="s">
        <v>1349</v>
      </c>
      <c r="H431" s="10" t="s">
        <v>1350</v>
      </c>
      <c r="I431" s="20">
        <v>567.1</v>
      </c>
      <c r="J431" s="11" t="s">
        <v>1237</v>
      </c>
      <c r="K431" s="11">
        <f>+I431/10/500*500</f>
        <v>56.71</v>
      </c>
      <c r="L431" s="1">
        <v>0.25</v>
      </c>
      <c r="M431" s="13" t="s">
        <v>1331</v>
      </c>
      <c r="N431" s="13"/>
    </row>
    <row r="432" spans="1:14" ht="67.5">
      <c r="A432" s="48" t="s">
        <v>1352</v>
      </c>
      <c r="B432" s="13" t="s">
        <v>1327</v>
      </c>
      <c r="C432" s="13" t="s">
        <v>1328</v>
      </c>
      <c r="D432" s="14" t="s">
        <v>1353</v>
      </c>
      <c r="E432" s="10" t="s">
        <v>133</v>
      </c>
      <c r="F432" s="10" t="s">
        <v>1289</v>
      </c>
      <c r="G432" s="10" t="s">
        <v>1354</v>
      </c>
      <c r="H432" s="10" t="s">
        <v>1247</v>
      </c>
      <c r="I432" s="11">
        <v>397</v>
      </c>
      <c r="J432" s="11" t="s">
        <v>1237</v>
      </c>
      <c r="K432" s="11">
        <f>I432/7/500*500</f>
        <v>56.714285714285715</v>
      </c>
      <c r="L432" s="2">
        <v>0.25</v>
      </c>
      <c r="M432" s="13" t="s">
        <v>1331</v>
      </c>
      <c r="N432" s="13"/>
    </row>
    <row r="433" spans="1:14" ht="67.5">
      <c r="A433" s="46" t="s">
        <v>1355</v>
      </c>
      <c r="B433" s="13" t="s">
        <v>1327</v>
      </c>
      <c r="C433" s="16" t="s">
        <v>1328</v>
      </c>
      <c r="D433" s="16" t="s">
        <v>1339</v>
      </c>
      <c r="E433" s="21" t="s">
        <v>133</v>
      </c>
      <c r="F433" s="21" t="s">
        <v>1240</v>
      </c>
      <c r="G433" s="10" t="s">
        <v>1356</v>
      </c>
      <c r="H433" s="10" t="s">
        <v>21</v>
      </c>
      <c r="I433" s="20">
        <v>567.1</v>
      </c>
      <c r="J433" s="11" t="s">
        <v>1237</v>
      </c>
      <c r="K433" s="11">
        <f>I433/10/500*500</f>
        <v>56.71</v>
      </c>
      <c r="L433" s="3">
        <v>0.25</v>
      </c>
      <c r="M433" s="13" t="s">
        <v>1331</v>
      </c>
      <c r="N433" s="13"/>
    </row>
    <row r="434" spans="1:14" ht="67.5">
      <c r="A434" s="46" t="s">
        <v>1357</v>
      </c>
      <c r="B434" s="16" t="s">
        <v>1327</v>
      </c>
      <c r="C434" s="51" t="s">
        <v>1328</v>
      </c>
      <c r="D434" s="13" t="s">
        <v>1358</v>
      </c>
      <c r="E434" s="30" t="s">
        <v>133</v>
      </c>
      <c r="F434" s="30" t="s">
        <v>1240</v>
      </c>
      <c r="G434" s="30" t="s">
        <v>1359</v>
      </c>
      <c r="H434" s="30" t="s">
        <v>324</v>
      </c>
      <c r="I434" s="20">
        <v>567.1</v>
      </c>
      <c r="J434" s="11" t="s">
        <v>1237</v>
      </c>
      <c r="K434" s="11">
        <f>(I434/10)/500*500</f>
        <v>56.71</v>
      </c>
      <c r="L434" s="3">
        <v>0.25</v>
      </c>
      <c r="M434" s="13" t="s">
        <v>1331</v>
      </c>
      <c r="N434" s="13"/>
    </row>
    <row r="435" spans="1:14" ht="112.5">
      <c r="A435" s="84" t="s">
        <v>1360</v>
      </c>
      <c r="B435" s="76" t="s">
        <v>1361</v>
      </c>
      <c r="C435" s="85" t="s">
        <v>1362</v>
      </c>
      <c r="D435" s="84" t="s">
        <v>1363</v>
      </c>
      <c r="E435" s="47" t="s">
        <v>133</v>
      </c>
      <c r="F435" s="86" t="s">
        <v>1260</v>
      </c>
      <c r="G435" s="10" t="s">
        <v>465</v>
      </c>
      <c r="H435" s="87" t="s">
        <v>21</v>
      </c>
      <c r="I435" s="20">
        <v>669.3</v>
      </c>
      <c r="J435" s="10" t="s">
        <v>1261</v>
      </c>
      <c r="K435" s="11">
        <f>I435/10/400*400</f>
        <v>66.929999999999993</v>
      </c>
      <c r="L435" s="12">
        <v>0.3</v>
      </c>
      <c r="M435" s="13" t="s">
        <v>1364</v>
      </c>
      <c r="N435" s="13" t="s">
        <v>1365</v>
      </c>
    </row>
    <row r="436" spans="1:14" ht="112.5">
      <c r="A436" s="46" t="s">
        <v>1366</v>
      </c>
      <c r="B436" s="13" t="s">
        <v>1361</v>
      </c>
      <c r="C436" s="13" t="s">
        <v>1362</v>
      </c>
      <c r="D436" s="13" t="s">
        <v>1367</v>
      </c>
      <c r="E436" s="10" t="s">
        <v>133</v>
      </c>
      <c r="F436" s="10" t="s">
        <v>1368</v>
      </c>
      <c r="G436" s="10" t="s">
        <v>1369</v>
      </c>
      <c r="H436" s="10" t="s">
        <v>1370</v>
      </c>
      <c r="I436" s="20">
        <v>468.5</v>
      </c>
      <c r="J436" s="10" t="s">
        <v>1371</v>
      </c>
      <c r="K436" s="11">
        <f>+(I436/7)/400*400</f>
        <v>66.928571428571431</v>
      </c>
      <c r="L436" s="12">
        <v>0.3</v>
      </c>
      <c r="M436" s="13" t="s">
        <v>1364</v>
      </c>
      <c r="N436" s="13" t="s">
        <v>1365</v>
      </c>
    </row>
    <row r="437" spans="1:14" ht="112.5">
      <c r="A437" s="46" t="s">
        <v>1372</v>
      </c>
      <c r="B437" s="13" t="s">
        <v>1361</v>
      </c>
      <c r="C437" s="13" t="s">
        <v>1362</v>
      </c>
      <c r="D437" s="13" t="s">
        <v>1367</v>
      </c>
      <c r="E437" s="10" t="s">
        <v>133</v>
      </c>
      <c r="F437" s="10" t="s">
        <v>1260</v>
      </c>
      <c r="G437" s="10" t="s">
        <v>1369</v>
      </c>
      <c r="H437" s="10" t="s">
        <v>1370</v>
      </c>
      <c r="I437" s="20">
        <v>669.3</v>
      </c>
      <c r="J437" s="10" t="s">
        <v>1371</v>
      </c>
      <c r="K437" s="11">
        <f>+(I437/10)/400*400</f>
        <v>66.929999999999993</v>
      </c>
      <c r="L437" s="12">
        <v>0.3</v>
      </c>
      <c r="M437" s="13" t="s">
        <v>1364</v>
      </c>
      <c r="N437" s="13" t="s">
        <v>1365</v>
      </c>
    </row>
    <row r="438" spans="1:14" ht="22.5">
      <c r="A438" s="46" t="s">
        <v>1373</v>
      </c>
      <c r="B438" s="13" t="s">
        <v>1374</v>
      </c>
      <c r="C438" s="13" t="s">
        <v>1375</v>
      </c>
      <c r="D438" s="13" t="s">
        <v>1376</v>
      </c>
      <c r="E438" s="10" t="s">
        <v>1377</v>
      </c>
      <c r="F438" s="10" t="s">
        <v>1378</v>
      </c>
      <c r="G438" s="10" t="s">
        <v>256</v>
      </c>
      <c r="H438" s="10" t="s">
        <v>21</v>
      </c>
      <c r="I438" s="20">
        <v>297.39999999999998</v>
      </c>
      <c r="J438" s="11" t="s">
        <v>1379</v>
      </c>
      <c r="K438" s="11">
        <f>I438/20/200*800</f>
        <v>59.48</v>
      </c>
      <c r="L438" s="1">
        <v>0.25</v>
      </c>
      <c r="M438" s="13"/>
      <c r="N438" s="13"/>
    </row>
    <row r="439" spans="1:14" ht="33.75">
      <c r="A439" s="46" t="s">
        <v>1380</v>
      </c>
      <c r="B439" s="13" t="s">
        <v>1381</v>
      </c>
      <c r="C439" s="13" t="s">
        <v>1382</v>
      </c>
      <c r="D439" s="13" t="s">
        <v>1383</v>
      </c>
      <c r="E439" s="10" t="s">
        <v>80</v>
      </c>
      <c r="F439" s="10" t="s">
        <v>1384</v>
      </c>
      <c r="G439" s="10" t="s">
        <v>1385</v>
      </c>
      <c r="H439" s="10" t="s">
        <v>120</v>
      </c>
      <c r="I439" s="20">
        <v>297.39999999999998</v>
      </c>
      <c r="J439" s="11" t="s">
        <v>1386</v>
      </c>
      <c r="K439" s="11">
        <f>I439/1/3*3</f>
        <v>297.39999999999998</v>
      </c>
      <c r="L439" s="1">
        <v>0.45</v>
      </c>
      <c r="M439" s="88" t="s">
        <v>1387</v>
      </c>
      <c r="N439" s="13"/>
    </row>
    <row r="440" spans="1:14" ht="22.5">
      <c r="A440" s="46" t="s">
        <v>1388</v>
      </c>
      <c r="B440" s="13" t="s">
        <v>1389</v>
      </c>
      <c r="C440" s="13" t="s">
        <v>1390</v>
      </c>
      <c r="D440" s="13" t="s">
        <v>1391</v>
      </c>
      <c r="E440" s="10" t="s">
        <v>274</v>
      </c>
      <c r="F440" s="10" t="s">
        <v>1392</v>
      </c>
      <c r="G440" s="10" t="s">
        <v>256</v>
      </c>
      <c r="H440" s="10" t="s">
        <v>21</v>
      </c>
      <c r="I440" s="20">
        <v>132.4</v>
      </c>
      <c r="J440" s="11" t="s">
        <v>278</v>
      </c>
      <c r="K440" s="11">
        <f>I440/1/150*200</f>
        <v>176.53333333333333</v>
      </c>
      <c r="L440" s="12">
        <v>0.75</v>
      </c>
      <c r="M440" s="13"/>
      <c r="N440" s="88" t="s">
        <v>1393</v>
      </c>
    </row>
    <row r="441" spans="1:14" ht="22.5">
      <c r="A441" s="46" t="s">
        <v>1394</v>
      </c>
      <c r="B441" s="13" t="s">
        <v>1389</v>
      </c>
      <c r="C441" s="13" t="s">
        <v>1390</v>
      </c>
      <c r="D441" s="13" t="s">
        <v>1391</v>
      </c>
      <c r="E441" s="10" t="s">
        <v>274</v>
      </c>
      <c r="F441" s="10" t="s">
        <v>1395</v>
      </c>
      <c r="G441" s="10" t="s">
        <v>256</v>
      </c>
      <c r="H441" s="10" t="s">
        <v>21</v>
      </c>
      <c r="I441" s="20">
        <v>150.6</v>
      </c>
      <c r="J441" s="11" t="s">
        <v>278</v>
      </c>
      <c r="K441" s="11">
        <f>I441/7/50*200</f>
        <v>86.05714285714285</v>
      </c>
      <c r="L441" s="12">
        <v>0.75</v>
      </c>
      <c r="M441" s="13"/>
      <c r="N441" s="88" t="s">
        <v>1393</v>
      </c>
    </row>
    <row r="442" spans="1:14" ht="33.75">
      <c r="A442" s="46" t="s">
        <v>1396</v>
      </c>
      <c r="B442" s="13" t="s">
        <v>1389</v>
      </c>
      <c r="C442" s="13" t="s">
        <v>1390</v>
      </c>
      <c r="D442" s="13" t="s">
        <v>1397</v>
      </c>
      <c r="E442" s="10" t="s">
        <v>274</v>
      </c>
      <c r="F442" s="10" t="s">
        <v>1395</v>
      </c>
      <c r="G442" s="10" t="s">
        <v>472</v>
      </c>
      <c r="H442" s="10" t="s">
        <v>21</v>
      </c>
      <c r="I442" s="20">
        <v>150.6</v>
      </c>
      <c r="J442" s="11" t="s">
        <v>278</v>
      </c>
      <c r="K442" s="11">
        <f>I442/7/50*200</f>
        <v>86.05714285714285</v>
      </c>
      <c r="L442" s="12">
        <v>0.75</v>
      </c>
      <c r="M442" s="13"/>
      <c r="N442" s="88" t="s">
        <v>1393</v>
      </c>
    </row>
    <row r="443" spans="1:14" ht="33.75">
      <c r="A443" s="46" t="s">
        <v>1398</v>
      </c>
      <c r="B443" s="13" t="s">
        <v>1389</v>
      </c>
      <c r="C443" s="13" t="s">
        <v>1390</v>
      </c>
      <c r="D443" s="13" t="s">
        <v>1397</v>
      </c>
      <c r="E443" s="10" t="s">
        <v>274</v>
      </c>
      <c r="F443" s="10" t="s">
        <v>1392</v>
      </c>
      <c r="G443" s="10" t="s">
        <v>472</v>
      </c>
      <c r="H443" s="10" t="s">
        <v>21</v>
      </c>
      <c r="I443" s="20">
        <v>132.4</v>
      </c>
      <c r="J443" s="11" t="s">
        <v>278</v>
      </c>
      <c r="K443" s="11">
        <f>I443/1/150*200</f>
        <v>176.53333333333333</v>
      </c>
      <c r="L443" s="12">
        <v>0.75</v>
      </c>
      <c r="M443" s="13"/>
      <c r="N443" s="88" t="s">
        <v>1393</v>
      </c>
    </row>
    <row r="444" spans="1:14" ht="45">
      <c r="A444" s="46" t="s">
        <v>1399</v>
      </c>
      <c r="B444" s="13" t="s">
        <v>1400</v>
      </c>
      <c r="C444" s="13" t="s">
        <v>1401</v>
      </c>
      <c r="D444" s="13" t="s">
        <v>1402</v>
      </c>
      <c r="E444" s="10" t="s">
        <v>274</v>
      </c>
      <c r="F444" s="10" t="s">
        <v>1271</v>
      </c>
      <c r="G444" s="10" t="s">
        <v>1403</v>
      </c>
      <c r="H444" s="10" t="s">
        <v>21</v>
      </c>
      <c r="I444" s="20">
        <v>695.1</v>
      </c>
      <c r="J444" s="11" t="s">
        <v>278</v>
      </c>
      <c r="K444" s="11">
        <f>I444/10/100*200</f>
        <v>139.02000000000001</v>
      </c>
      <c r="L444" s="12">
        <v>0.3</v>
      </c>
      <c r="M444" s="13" t="s">
        <v>1404</v>
      </c>
      <c r="N444" s="13" t="s">
        <v>1405</v>
      </c>
    </row>
    <row r="445" spans="1:14" ht="22.5">
      <c r="A445" s="17" t="s">
        <v>1406</v>
      </c>
      <c r="B445" s="17" t="s">
        <v>1407</v>
      </c>
      <c r="C445" s="17" t="s">
        <v>1408</v>
      </c>
      <c r="D445" s="17" t="s">
        <v>1409</v>
      </c>
      <c r="E445" s="25" t="s">
        <v>133</v>
      </c>
      <c r="F445" s="25" t="s">
        <v>394</v>
      </c>
      <c r="G445" s="25" t="s">
        <v>1410</v>
      </c>
      <c r="H445" s="25" t="s">
        <v>307</v>
      </c>
      <c r="I445" s="20">
        <v>556.9</v>
      </c>
      <c r="J445" s="35" t="s">
        <v>22</v>
      </c>
      <c r="K445" s="35">
        <f>I445/30/10*20</f>
        <v>37.126666666666665</v>
      </c>
      <c r="L445" s="12">
        <v>0.4</v>
      </c>
      <c r="M445" s="122"/>
      <c r="N445" s="17"/>
    </row>
    <row r="446" spans="1:14" ht="292.5">
      <c r="A446" s="80" t="s">
        <v>1411</v>
      </c>
      <c r="B446" s="17" t="s">
        <v>1412</v>
      </c>
      <c r="C446" s="17" t="s">
        <v>1413</v>
      </c>
      <c r="D446" s="17" t="s">
        <v>1414</v>
      </c>
      <c r="E446" s="25" t="s">
        <v>133</v>
      </c>
      <c r="F446" s="25" t="s">
        <v>1415</v>
      </c>
      <c r="G446" s="21" t="s">
        <v>2511</v>
      </c>
      <c r="H446" s="21" t="s">
        <v>2512</v>
      </c>
      <c r="I446" s="11">
        <v>1066</v>
      </c>
      <c r="J446" s="42" t="s">
        <v>359</v>
      </c>
      <c r="K446" s="42">
        <f>(I446/28)/1*1</f>
        <v>38.071428571428569</v>
      </c>
      <c r="L446" s="27" t="s">
        <v>1416</v>
      </c>
      <c r="M446" s="17" t="s">
        <v>1417</v>
      </c>
      <c r="N446" s="17" t="s">
        <v>1418</v>
      </c>
    </row>
    <row r="447" spans="1:14" ht="146.25">
      <c r="A447" s="46" t="s">
        <v>1419</v>
      </c>
      <c r="B447" s="13" t="s">
        <v>1420</v>
      </c>
      <c r="C447" s="13" t="s">
        <v>1421</v>
      </c>
      <c r="D447" s="13" t="s">
        <v>1422</v>
      </c>
      <c r="E447" s="10" t="s">
        <v>133</v>
      </c>
      <c r="F447" s="10" t="s">
        <v>1423</v>
      </c>
      <c r="G447" s="10" t="s">
        <v>2510</v>
      </c>
      <c r="H447" s="10" t="s">
        <v>239</v>
      </c>
      <c r="I447" s="20">
        <v>1491.5</v>
      </c>
      <c r="J447" s="10" t="s">
        <v>22</v>
      </c>
      <c r="K447" s="11">
        <f>I447/30/20*20</f>
        <v>49.716666666666669</v>
      </c>
      <c r="L447" s="12">
        <v>0.1</v>
      </c>
      <c r="M447" s="13" t="s">
        <v>1424</v>
      </c>
      <c r="N447" s="68" t="s">
        <v>1425</v>
      </c>
    </row>
    <row r="448" spans="1:14" ht="45">
      <c r="A448" s="13" t="s">
        <v>1426</v>
      </c>
      <c r="B448" s="13" t="s">
        <v>1427</v>
      </c>
      <c r="C448" s="13" t="s">
        <v>1428</v>
      </c>
      <c r="D448" s="13" t="s">
        <v>1429</v>
      </c>
      <c r="E448" s="10" t="s">
        <v>174</v>
      </c>
      <c r="F448" s="10" t="s">
        <v>1430</v>
      </c>
      <c r="G448" s="10" t="s">
        <v>256</v>
      </c>
      <c r="H448" s="10" t="s">
        <v>21</v>
      </c>
      <c r="I448" s="20">
        <v>485</v>
      </c>
      <c r="J448" s="11" t="s">
        <v>331</v>
      </c>
      <c r="K448" s="11">
        <f>I448/4/70*10</f>
        <v>17.321428571428573</v>
      </c>
      <c r="L448" s="1">
        <v>0.35</v>
      </c>
      <c r="M448" s="13" t="s">
        <v>1431</v>
      </c>
      <c r="N448" s="13" t="s">
        <v>1432</v>
      </c>
    </row>
    <row r="449" spans="1:14" ht="45">
      <c r="A449" s="13" t="s">
        <v>1433</v>
      </c>
      <c r="B449" s="13" t="s">
        <v>1427</v>
      </c>
      <c r="C449" s="13" t="s">
        <v>1428</v>
      </c>
      <c r="D449" s="13" t="s">
        <v>1434</v>
      </c>
      <c r="E449" s="10" t="s">
        <v>174</v>
      </c>
      <c r="F449" s="10" t="s">
        <v>1430</v>
      </c>
      <c r="G449" s="10" t="s">
        <v>1330</v>
      </c>
      <c r="H449" s="10" t="s">
        <v>21</v>
      </c>
      <c r="I449" s="20">
        <v>485</v>
      </c>
      <c r="J449" s="11" t="s">
        <v>331</v>
      </c>
      <c r="K449" s="11">
        <f>I449/4/70*10</f>
        <v>17.321428571428573</v>
      </c>
      <c r="L449" s="1">
        <v>0.35</v>
      </c>
      <c r="M449" s="13" t="s">
        <v>1431</v>
      </c>
      <c r="N449" s="13" t="s">
        <v>1432</v>
      </c>
    </row>
    <row r="450" spans="1:14" ht="45">
      <c r="A450" s="46" t="s">
        <v>1435</v>
      </c>
      <c r="B450" s="13" t="s">
        <v>1427</v>
      </c>
      <c r="C450" s="13" t="s">
        <v>1428</v>
      </c>
      <c r="D450" s="13" t="s">
        <v>1434</v>
      </c>
      <c r="E450" s="10" t="s">
        <v>174</v>
      </c>
      <c r="F450" s="10" t="s">
        <v>1436</v>
      </c>
      <c r="G450" s="10" t="s">
        <v>1330</v>
      </c>
      <c r="H450" s="10" t="s">
        <v>21</v>
      </c>
      <c r="I450" s="20">
        <v>970.1</v>
      </c>
      <c r="J450" s="11" t="s">
        <v>331</v>
      </c>
      <c r="K450" s="11">
        <f>I450/8/70*10</f>
        <v>17.323214285714286</v>
      </c>
      <c r="L450" s="1">
        <v>0.35</v>
      </c>
      <c r="M450" s="13" t="s">
        <v>1431</v>
      </c>
      <c r="N450" s="13" t="s">
        <v>1432</v>
      </c>
    </row>
    <row r="451" spans="1:14" ht="45">
      <c r="A451" s="46" t="s">
        <v>1437</v>
      </c>
      <c r="B451" s="13" t="s">
        <v>1427</v>
      </c>
      <c r="C451" s="13" t="s">
        <v>1428</v>
      </c>
      <c r="D451" s="13" t="s">
        <v>1434</v>
      </c>
      <c r="E451" s="10" t="s">
        <v>174</v>
      </c>
      <c r="F451" s="10" t="s">
        <v>1438</v>
      </c>
      <c r="G451" s="10" t="s">
        <v>1330</v>
      </c>
      <c r="H451" s="10" t="s">
        <v>21</v>
      </c>
      <c r="I451" s="20">
        <v>1455.2</v>
      </c>
      <c r="J451" s="11" t="s">
        <v>331</v>
      </c>
      <c r="K451" s="11">
        <f>I451/12/70*10</f>
        <v>17.323809523809523</v>
      </c>
      <c r="L451" s="1">
        <v>0.35</v>
      </c>
      <c r="M451" s="13" t="s">
        <v>1431</v>
      </c>
      <c r="N451" s="13" t="s">
        <v>1432</v>
      </c>
    </row>
    <row r="452" spans="1:14" ht="45">
      <c r="A452" s="13" t="s">
        <v>1439</v>
      </c>
      <c r="B452" s="13" t="s">
        <v>1440</v>
      </c>
      <c r="C452" s="13" t="s">
        <v>1441</v>
      </c>
      <c r="D452" s="13" t="s">
        <v>1442</v>
      </c>
      <c r="E452" s="10" t="s">
        <v>133</v>
      </c>
      <c r="F452" s="10" t="s">
        <v>1392</v>
      </c>
      <c r="G452" s="10" t="s">
        <v>1443</v>
      </c>
      <c r="H452" s="10" t="s">
        <v>1444</v>
      </c>
      <c r="I452" s="20">
        <v>593.29999999999995</v>
      </c>
      <c r="J452" s="11" t="s">
        <v>232</v>
      </c>
      <c r="K452" s="11">
        <f>I452/150*5</f>
        <v>19.776666666666664</v>
      </c>
      <c r="L452" s="1">
        <v>0.35</v>
      </c>
      <c r="M452" s="13" t="s">
        <v>1431</v>
      </c>
      <c r="N452" s="13" t="s">
        <v>1432</v>
      </c>
    </row>
    <row r="453" spans="1:14" ht="45">
      <c r="A453" s="46" t="s">
        <v>1445</v>
      </c>
      <c r="B453" s="13" t="s">
        <v>1440</v>
      </c>
      <c r="C453" s="13" t="s">
        <v>1441</v>
      </c>
      <c r="D453" s="13" t="s">
        <v>1446</v>
      </c>
      <c r="E453" s="10" t="s">
        <v>133</v>
      </c>
      <c r="F453" s="10" t="s">
        <v>1392</v>
      </c>
      <c r="G453" s="10" t="s">
        <v>1447</v>
      </c>
      <c r="H453" s="10" t="s">
        <v>1448</v>
      </c>
      <c r="I453" s="20">
        <v>477.9</v>
      </c>
      <c r="J453" s="11" t="s">
        <v>232</v>
      </c>
      <c r="K453" s="11">
        <f>I453/150*5</f>
        <v>15.93</v>
      </c>
      <c r="L453" s="1">
        <v>0.35</v>
      </c>
      <c r="M453" s="13" t="s">
        <v>1431</v>
      </c>
      <c r="N453" s="13" t="s">
        <v>1432</v>
      </c>
    </row>
    <row r="454" spans="1:14" ht="56.25">
      <c r="A454" s="46" t="s">
        <v>1449</v>
      </c>
      <c r="B454" s="13" t="s">
        <v>1440</v>
      </c>
      <c r="C454" s="13" t="s">
        <v>1441</v>
      </c>
      <c r="D454" s="13" t="s">
        <v>1450</v>
      </c>
      <c r="E454" s="10" t="s">
        <v>133</v>
      </c>
      <c r="F454" s="10" t="s">
        <v>1392</v>
      </c>
      <c r="G454" s="10" t="s">
        <v>1451</v>
      </c>
      <c r="H454" s="10" t="s">
        <v>1452</v>
      </c>
      <c r="I454" s="20">
        <v>477.9</v>
      </c>
      <c r="J454" s="10" t="s">
        <v>232</v>
      </c>
      <c r="K454" s="11">
        <f>I454/150*5</f>
        <v>15.93</v>
      </c>
      <c r="L454" s="1">
        <v>0.35</v>
      </c>
      <c r="M454" s="13" t="s">
        <v>1431</v>
      </c>
      <c r="N454" s="13" t="s">
        <v>1432</v>
      </c>
    </row>
    <row r="455" spans="1:14" ht="45">
      <c r="A455" s="13" t="s">
        <v>1453</v>
      </c>
      <c r="B455" s="13" t="s">
        <v>1454</v>
      </c>
      <c r="C455" s="13" t="s">
        <v>1455</v>
      </c>
      <c r="D455" s="13" t="s">
        <v>1456</v>
      </c>
      <c r="E455" s="10" t="s">
        <v>174</v>
      </c>
      <c r="F455" s="10" t="s">
        <v>1457</v>
      </c>
      <c r="G455" s="10" t="s">
        <v>2536</v>
      </c>
      <c r="H455" s="10" t="s">
        <v>2537</v>
      </c>
      <c r="I455" s="20">
        <v>552.20000000000005</v>
      </c>
      <c r="J455" s="11" t="s">
        <v>331</v>
      </c>
      <c r="K455" s="11">
        <f>I455/280*10</f>
        <v>19.721428571428572</v>
      </c>
      <c r="L455" s="12">
        <v>0.55000000000000004</v>
      </c>
      <c r="M455" s="13" t="s">
        <v>1431</v>
      </c>
      <c r="N455" s="13" t="s">
        <v>1432</v>
      </c>
    </row>
    <row r="456" spans="1:14" ht="56.25">
      <c r="A456" s="13">
        <v>1087660</v>
      </c>
      <c r="B456" s="13" t="s">
        <v>1458</v>
      </c>
      <c r="C456" s="13" t="s">
        <v>1459</v>
      </c>
      <c r="D456" s="13" t="s">
        <v>1460</v>
      </c>
      <c r="E456" s="10" t="s">
        <v>1461</v>
      </c>
      <c r="F456" s="10" t="s">
        <v>1462</v>
      </c>
      <c r="G456" s="10" t="s">
        <v>1463</v>
      </c>
      <c r="H456" s="10" t="s">
        <v>1464</v>
      </c>
      <c r="I456" s="11">
        <v>574.5</v>
      </c>
      <c r="J456" s="11" t="s">
        <v>240</v>
      </c>
      <c r="K456" s="11">
        <f>I456/30/5*75</f>
        <v>287.25</v>
      </c>
      <c r="L456" s="113">
        <v>0.6</v>
      </c>
      <c r="M456" s="16" t="s">
        <v>1465</v>
      </c>
      <c r="N456" s="16" t="s">
        <v>1466</v>
      </c>
    </row>
    <row r="457" spans="1:14" ht="56.25">
      <c r="A457" s="13">
        <v>1087662</v>
      </c>
      <c r="B457" s="13" t="s">
        <v>1458</v>
      </c>
      <c r="C457" s="13" t="s">
        <v>1459</v>
      </c>
      <c r="D457" s="13" t="s">
        <v>1460</v>
      </c>
      <c r="E457" s="10" t="s">
        <v>1461</v>
      </c>
      <c r="F457" s="10" t="s">
        <v>689</v>
      </c>
      <c r="G457" s="10" t="s">
        <v>1463</v>
      </c>
      <c r="H457" s="10" t="s">
        <v>1464</v>
      </c>
      <c r="I457" s="20">
        <v>993.2</v>
      </c>
      <c r="J457" s="11" t="s">
        <v>240</v>
      </c>
      <c r="K457" s="11">
        <f>I457/30/10*75</f>
        <v>248.30000000000004</v>
      </c>
      <c r="L457" s="113">
        <v>0.6</v>
      </c>
      <c r="M457" s="16" t="s">
        <v>1465</v>
      </c>
      <c r="N457" s="16" t="s">
        <v>1466</v>
      </c>
    </row>
    <row r="458" spans="1:14" ht="56.25">
      <c r="A458" s="13">
        <v>1087664</v>
      </c>
      <c r="B458" s="13" t="s">
        <v>1458</v>
      </c>
      <c r="C458" s="13" t="s">
        <v>1459</v>
      </c>
      <c r="D458" s="13" t="s">
        <v>1460</v>
      </c>
      <c r="E458" s="10" t="s">
        <v>1461</v>
      </c>
      <c r="F458" s="10" t="s">
        <v>1467</v>
      </c>
      <c r="G458" s="10" t="s">
        <v>1463</v>
      </c>
      <c r="H458" s="10" t="s">
        <v>1464</v>
      </c>
      <c r="I458" s="20">
        <v>1766.8</v>
      </c>
      <c r="J458" s="11" t="s">
        <v>240</v>
      </c>
      <c r="K458" s="11">
        <f>I458/30/20*75</f>
        <v>220.85</v>
      </c>
      <c r="L458" s="113">
        <v>0.6</v>
      </c>
      <c r="M458" s="16" t="s">
        <v>1465</v>
      </c>
      <c r="N458" s="16" t="s">
        <v>1466</v>
      </c>
    </row>
    <row r="459" spans="1:14" ht="56.25">
      <c r="A459" s="13">
        <v>1087666</v>
      </c>
      <c r="B459" s="13" t="s">
        <v>1458</v>
      </c>
      <c r="C459" s="13" t="s">
        <v>1459</v>
      </c>
      <c r="D459" s="13" t="s">
        <v>1460</v>
      </c>
      <c r="E459" s="10" t="s">
        <v>1461</v>
      </c>
      <c r="F459" s="10" t="s">
        <v>1468</v>
      </c>
      <c r="G459" s="10" t="s">
        <v>1463</v>
      </c>
      <c r="H459" s="10" t="s">
        <v>1464</v>
      </c>
      <c r="I459" s="11">
        <v>3003</v>
      </c>
      <c r="J459" s="11" t="s">
        <v>240</v>
      </c>
      <c r="K459" s="11">
        <f>I459/30/40*75</f>
        <v>187.6875</v>
      </c>
      <c r="L459" s="113">
        <v>0.6</v>
      </c>
      <c r="M459" s="16" t="s">
        <v>1465</v>
      </c>
      <c r="N459" s="16" t="s">
        <v>1466</v>
      </c>
    </row>
    <row r="460" spans="1:14" ht="146.25">
      <c r="A460" s="13" t="s">
        <v>1469</v>
      </c>
      <c r="B460" s="13" t="s">
        <v>1470</v>
      </c>
      <c r="C460" s="13" t="s">
        <v>1471</v>
      </c>
      <c r="D460" s="13" t="s">
        <v>1472</v>
      </c>
      <c r="E460" s="10" t="s">
        <v>1473</v>
      </c>
      <c r="F460" s="10" t="s">
        <v>1474</v>
      </c>
      <c r="G460" s="10" t="s">
        <v>1475</v>
      </c>
      <c r="H460" s="10" t="s">
        <v>1003</v>
      </c>
      <c r="I460" s="20">
        <v>721.1</v>
      </c>
      <c r="J460" s="10" t="s">
        <v>1476</v>
      </c>
      <c r="K460" s="11">
        <f>I460/5/4.2*1.2</f>
        <v>41.205714285714279</v>
      </c>
      <c r="L460" s="12">
        <v>0.75</v>
      </c>
      <c r="M460" s="13" t="s">
        <v>1477</v>
      </c>
      <c r="N460" s="13" t="s">
        <v>1478</v>
      </c>
    </row>
    <row r="461" spans="1:14" ht="146.25">
      <c r="A461" s="13" t="s">
        <v>1479</v>
      </c>
      <c r="B461" s="13" t="s">
        <v>1470</v>
      </c>
      <c r="C461" s="13" t="s">
        <v>1471</v>
      </c>
      <c r="D461" s="13" t="s">
        <v>1472</v>
      </c>
      <c r="E461" s="10" t="s">
        <v>1473</v>
      </c>
      <c r="F461" s="10" t="s">
        <v>1480</v>
      </c>
      <c r="G461" s="10" t="s">
        <v>1475</v>
      </c>
      <c r="H461" s="10" t="s">
        <v>1003</v>
      </c>
      <c r="I461" s="20">
        <v>1442</v>
      </c>
      <c r="J461" s="10" t="s">
        <v>1476</v>
      </c>
      <c r="K461" s="11">
        <f>I461/5/8.4*1.2</f>
        <v>41.199999999999996</v>
      </c>
      <c r="L461" s="12">
        <v>0.75</v>
      </c>
      <c r="M461" s="13" t="s">
        <v>1477</v>
      </c>
      <c r="N461" s="13" t="s">
        <v>1478</v>
      </c>
    </row>
    <row r="462" spans="1:14" ht="146.25">
      <c r="A462" s="13" t="s">
        <v>1481</v>
      </c>
      <c r="B462" s="13" t="s">
        <v>1470</v>
      </c>
      <c r="C462" s="13" t="s">
        <v>1471</v>
      </c>
      <c r="D462" s="13" t="s">
        <v>1472</v>
      </c>
      <c r="E462" s="10" t="s">
        <v>1473</v>
      </c>
      <c r="F462" s="10" t="s">
        <v>1482</v>
      </c>
      <c r="G462" s="10" t="s">
        <v>1483</v>
      </c>
      <c r="H462" s="10" t="s">
        <v>1003</v>
      </c>
      <c r="I462" s="20">
        <v>2446.6</v>
      </c>
      <c r="J462" s="10" t="s">
        <v>1476</v>
      </c>
      <c r="K462" s="11">
        <f>I462/5/12.6*1.2</f>
        <v>46.601904761904763</v>
      </c>
      <c r="L462" s="12">
        <v>0.8</v>
      </c>
      <c r="M462" s="13" t="s">
        <v>1477</v>
      </c>
      <c r="N462" s="13" t="s">
        <v>1478</v>
      </c>
    </row>
    <row r="463" spans="1:14" ht="146.25">
      <c r="A463" s="13" t="s">
        <v>1484</v>
      </c>
      <c r="B463" s="13" t="s">
        <v>1470</v>
      </c>
      <c r="C463" s="13" t="s">
        <v>1471</v>
      </c>
      <c r="D463" s="13" t="s">
        <v>1472</v>
      </c>
      <c r="E463" s="10" t="s">
        <v>1473</v>
      </c>
      <c r="F463" s="10" t="s">
        <v>1485</v>
      </c>
      <c r="G463" s="10" t="s">
        <v>1475</v>
      </c>
      <c r="H463" s="10" t="s">
        <v>1003</v>
      </c>
      <c r="I463" s="20">
        <v>2416.5</v>
      </c>
      <c r="J463" s="10" t="s">
        <v>1476</v>
      </c>
      <c r="K463" s="11">
        <f>I463/5/16.8*1.2</f>
        <v>34.521428571428572</v>
      </c>
      <c r="L463" s="12">
        <v>0.75</v>
      </c>
      <c r="M463" s="13" t="s">
        <v>1477</v>
      </c>
      <c r="N463" s="13" t="s">
        <v>1478</v>
      </c>
    </row>
    <row r="464" spans="1:14" ht="146.25">
      <c r="A464" s="46" t="s">
        <v>1486</v>
      </c>
      <c r="B464" s="13" t="s">
        <v>1470</v>
      </c>
      <c r="C464" s="13" t="s">
        <v>1471</v>
      </c>
      <c r="D464" s="13" t="s">
        <v>1487</v>
      </c>
      <c r="E464" s="10" t="s">
        <v>1473</v>
      </c>
      <c r="F464" s="10" t="s">
        <v>1488</v>
      </c>
      <c r="G464" s="21" t="s">
        <v>1489</v>
      </c>
      <c r="H464" s="21" t="s">
        <v>1490</v>
      </c>
      <c r="I464" s="20">
        <v>721.1</v>
      </c>
      <c r="J464" s="10" t="s">
        <v>1476</v>
      </c>
      <c r="K464" s="11">
        <f>I464/5/4.125*1.2</f>
        <v>41.954909090909091</v>
      </c>
      <c r="L464" s="12">
        <v>0.75</v>
      </c>
      <c r="M464" s="13" t="s">
        <v>1477</v>
      </c>
      <c r="N464" s="13" t="s">
        <v>1478</v>
      </c>
    </row>
    <row r="465" spans="1:14" ht="146.25">
      <c r="A465" s="46" t="s">
        <v>1491</v>
      </c>
      <c r="B465" s="13" t="s">
        <v>1470</v>
      </c>
      <c r="C465" s="13" t="s">
        <v>1471</v>
      </c>
      <c r="D465" s="13" t="s">
        <v>1487</v>
      </c>
      <c r="E465" s="10" t="s">
        <v>1473</v>
      </c>
      <c r="F465" s="10" t="s">
        <v>1492</v>
      </c>
      <c r="G465" s="21" t="s">
        <v>1489</v>
      </c>
      <c r="H465" s="21" t="s">
        <v>1490</v>
      </c>
      <c r="I465" s="20">
        <v>1442</v>
      </c>
      <c r="J465" s="10" t="s">
        <v>1476</v>
      </c>
      <c r="K465" s="11">
        <f>I465/5/8.25*1.2</f>
        <v>41.949090909090906</v>
      </c>
      <c r="L465" s="12">
        <v>0.75</v>
      </c>
      <c r="M465" s="13" t="s">
        <v>1477</v>
      </c>
      <c r="N465" s="13" t="s">
        <v>1478</v>
      </c>
    </row>
    <row r="466" spans="1:14" ht="146.25">
      <c r="A466" s="46" t="s">
        <v>1493</v>
      </c>
      <c r="B466" s="13" t="s">
        <v>1470</v>
      </c>
      <c r="C466" s="13" t="s">
        <v>1471</v>
      </c>
      <c r="D466" s="13" t="s">
        <v>1487</v>
      </c>
      <c r="E466" s="10" t="s">
        <v>1473</v>
      </c>
      <c r="F466" s="10" t="s">
        <v>1494</v>
      </c>
      <c r="G466" s="21" t="s">
        <v>1489</v>
      </c>
      <c r="H466" s="21" t="s">
        <v>1490</v>
      </c>
      <c r="I466" s="20">
        <v>2379.6999999999998</v>
      </c>
      <c r="J466" s="10" t="s">
        <v>1476</v>
      </c>
      <c r="K466" s="11">
        <f>I466/5/12.375*1.2</f>
        <v>46.151757575757571</v>
      </c>
      <c r="L466" s="12">
        <v>0.75</v>
      </c>
      <c r="M466" s="13" t="s">
        <v>1477</v>
      </c>
      <c r="N466" s="13" t="s">
        <v>1495</v>
      </c>
    </row>
    <row r="467" spans="1:14" ht="146.25">
      <c r="A467" s="13" t="s">
        <v>1496</v>
      </c>
      <c r="B467" s="13" t="s">
        <v>1470</v>
      </c>
      <c r="C467" s="13" t="s">
        <v>1471</v>
      </c>
      <c r="D467" s="13" t="s">
        <v>1487</v>
      </c>
      <c r="E467" s="10" t="s">
        <v>1473</v>
      </c>
      <c r="F467" s="10" t="s">
        <v>1497</v>
      </c>
      <c r="G467" s="21" t="s">
        <v>1489</v>
      </c>
      <c r="H467" s="21" t="s">
        <v>1490</v>
      </c>
      <c r="I467" s="20">
        <v>2416.5</v>
      </c>
      <c r="J467" s="10" t="s">
        <v>1476</v>
      </c>
      <c r="K467" s="11">
        <f>I467/5/16.5*1.2</f>
        <v>35.149090909090908</v>
      </c>
      <c r="L467" s="12">
        <v>0.75</v>
      </c>
      <c r="M467" s="13" t="s">
        <v>1477</v>
      </c>
      <c r="N467" s="13" t="s">
        <v>1498</v>
      </c>
    </row>
    <row r="468" spans="1:14" ht="56.25">
      <c r="A468" s="13">
        <v>9182000</v>
      </c>
      <c r="B468" s="13" t="s">
        <v>1499</v>
      </c>
      <c r="C468" s="13" t="s">
        <v>1500</v>
      </c>
      <c r="D468" s="13" t="s">
        <v>1501</v>
      </c>
      <c r="E468" s="10" t="s">
        <v>1473</v>
      </c>
      <c r="F468" s="10" t="s">
        <v>1502</v>
      </c>
      <c r="G468" s="10" t="s">
        <v>1503</v>
      </c>
      <c r="H468" s="10" t="s">
        <v>82</v>
      </c>
      <c r="I468" s="11">
        <v>1076.8</v>
      </c>
      <c r="J468" s="57" t="s">
        <v>1476</v>
      </c>
      <c r="K468" s="41">
        <f>+I468/4/20*1.2</f>
        <v>16.151999999999997</v>
      </c>
      <c r="L468" s="12">
        <v>0.85</v>
      </c>
      <c r="M468" s="16" t="s">
        <v>1504</v>
      </c>
      <c r="N468" s="16" t="s">
        <v>1466</v>
      </c>
    </row>
    <row r="469" spans="1:14" ht="45">
      <c r="A469" s="13">
        <v>9182002</v>
      </c>
      <c r="B469" s="13" t="s">
        <v>1499</v>
      </c>
      <c r="C469" s="13" t="s">
        <v>1500</v>
      </c>
      <c r="D469" s="13" t="s">
        <v>1501</v>
      </c>
      <c r="E469" s="10" t="s">
        <v>1473</v>
      </c>
      <c r="F469" s="10" t="s">
        <v>1505</v>
      </c>
      <c r="G469" s="10" t="s">
        <v>1503</v>
      </c>
      <c r="H469" s="10" t="s">
        <v>82</v>
      </c>
      <c r="I469" s="11">
        <v>1615.1</v>
      </c>
      <c r="J469" s="57" t="s">
        <v>1476</v>
      </c>
      <c r="K469" s="41">
        <f>+I469/4/40*1.2</f>
        <v>12.113249999999999</v>
      </c>
      <c r="L469" s="12">
        <v>0.85</v>
      </c>
      <c r="M469" s="16" t="s">
        <v>1506</v>
      </c>
      <c r="N469" s="16" t="s">
        <v>1466</v>
      </c>
    </row>
    <row r="470" spans="1:14" ht="45">
      <c r="A470" s="13">
        <v>9182001</v>
      </c>
      <c r="B470" s="13" t="s">
        <v>1499</v>
      </c>
      <c r="C470" s="13" t="s">
        <v>1500</v>
      </c>
      <c r="D470" s="13" t="s">
        <v>1501</v>
      </c>
      <c r="E470" s="10" t="s">
        <v>1473</v>
      </c>
      <c r="F470" s="10" t="s">
        <v>1507</v>
      </c>
      <c r="G470" s="10" t="s">
        <v>1503</v>
      </c>
      <c r="H470" s="10" t="s">
        <v>82</v>
      </c>
      <c r="I470" s="11">
        <v>2435.6999999999998</v>
      </c>
      <c r="J470" s="57" t="s">
        <v>1476</v>
      </c>
      <c r="K470" s="41">
        <f>+I470/4/40*1.2</f>
        <v>18.267749999999999</v>
      </c>
      <c r="L470" s="12">
        <v>0.85</v>
      </c>
      <c r="M470" s="16" t="s">
        <v>1506</v>
      </c>
      <c r="N470" s="16" t="s">
        <v>1508</v>
      </c>
    </row>
    <row r="471" spans="1:14" ht="45">
      <c r="A471" s="58" t="s">
        <v>1509</v>
      </c>
      <c r="B471" s="51" t="s">
        <v>1510</v>
      </c>
      <c r="C471" s="51" t="s">
        <v>1511</v>
      </c>
      <c r="D471" s="51" t="s">
        <v>1512</v>
      </c>
      <c r="E471" s="30" t="s">
        <v>118</v>
      </c>
      <c r="F471" s="30" t="s">
        <v>197</v>
      </c>
      <c r="G471" s="30" t="s">
        <v>1503</v>
      </c>
      <c r="H471" s="30" t="s">
        <v>82</v>
      </c>
      <c r="I471" s="11">
        <v>1498.1000000000001</v>
      </c>
      <c r="J471" s="10" t="s">
        <v>1261</v>
      </c>
      <c r="K471" s="41">
        <f>I471/30/50*400</f>
        <v>399.4933333333334</v>
      </c>
      <c r="L471" s="52">
        <v>0.75</v>
      </c>
      <c r="M471" s="51" t="s">
        <v>1513</v>
      </c>
      <c r="N471" s="51" t="s">
        <v>1466</v>
      </c>
    </row>
    <row r="472" spans="1:14" ht="45">
      <c r="A472" s="58" t="s">
        <v>1514</v>
      </c>
      <c r="B472" s="51" t="s">
        <v>1510</v>
      </c>
      <c r="C472" s="51" t="s">
        <v>1511</v>
      </c>
      <c r="D472" s="51" t="s">
        <v>1512</v>
      </c>
      <c r="E472" s="30" t="s">
        <v>118</v>
      </c>
      <c r="F472" s="30" t="s">
        <v>199</v>
      </c>
      <c r="G472" s="30" t="s">
        <v>1503</v>
      </c>
      <c r="H472" s="30" t="s">
        <v>82</v>
      </c>
      <c r="I472" s="11">
        <v>2603.5</v>
      </c>
      <c r="J472" s="10" t="s">
        <v>1261</v>
      </c>
      <c r="K472" s="41">
        <f>I472/30/100*400</f>
        <v>347.13333333333333</v>
      </c>
      <c r="L472" s="52">
        <v>0.75</v>
      </c>
      <c r="M472" s="51" t="s">
        <v>1513</v>
      </c>
      <c r="N472" s="51" t="s">
        <v>1466</v>
      </c>
    </row>
    <row r="473" spans="1:14" ht="45">
      <c r="A473" s="58" t="s">
        <v>1515</v>
      </c>
      <c r="B473" s="51" t="s">
        <v>1510</v>
      </c>
      <c r="C473" s="51" t="s">
        <v>1511</v>
      </c>
      <c r="D473" s="51" t="s">
        <v>1512</v>
      </c>
      <c r="E473" s="30" t="s">
        <v>118</v>
      </c>
      <c r="F473" s="30" t="s">
        <v>763</v>
      </c>
      <c r="G473" s="30" t="s">
        <v>1503</v>
      </c>
      <c r="H473" s="30" t="s">
        <v>82</v>
      </c>
      <c r="I473" s="11">
        <v>3801.5</v>
      </c>
      <c r="J473" s="10" t="s">
        <v>1261</v>
      </c>
      <c r="K473" s="41">
        <f>I473/30/150*400</f>
        <v>337.9111111111111</v>
      </c>
      <c r="L473" s="52">
        <v>0.75</v>
      </c>
      <c r="M473" s="51" t="s">
        <v>1513</v>
      </c>
      <c r="N473" s="51" t="s">
        <v>1466</v>
      </c>
    </row>
    <row r="474" spans="1:14" ht="45">
      <c r="A474" s="46" t="s">
        <v>1516</v>
      </c>
      <c r="B474" s="13" t="s">
        <v>1510</v>
      </c>
      <c r="C474" s="13" t="s">
        <v>1511</v>
      </c>
      <c r="D474" s="13" t="s">
        <v>1517</v>
      </c>
      <c r="E474" s="10" t="s">
        <v>133</v>
      </c>
      <c r="F474" s="10" t="s">
        <v>197</v>
      </c>
      <c r="G474" s="10" t="s">
        <v>1503</v>
      </c>
      <c r="H474" s="10" t="s">
        <v>82</v>
      </c>
      <c r="I474" s="11">
        <v>1688.6000000000001</v>
      </c>
      <c r="J474" s="10" t="s">
        <v>1261</v>
      </c>
      <c r="K474" s="41">
        <f>I474/30/50*400</f>
        <v>450.29333333333341</v>
      </c>
      <c r="L474" s="12">
        <v>0.75</v>
      </c>
      <c r="M474" s="51" t="s">
        <v>1518</v>
      </c>
      <c r="N474" s="51" t="s">
        <v>1466</v>
      </c>
    </row>
    <row r="475" spans="1:14" ht="22.5">
      <c r="A475" s="13" t="s">
        <v>1519</v>
      </c>
      <c r="B475" s="13" t="s">
        <v>1520</v>
      </c>
      <c r="C475" s="13" t="s">
        <v>1521</v>
      </c>
      <c r="D475" s="13" t="s">
        <v>1522</v>
      </c>
      <c r="E475" s="10" t="s">
        <v>174</v>
      </c>
      <c r="F475" s="10" t="s">
        <v>1523</v>
      </c>
      <c r="G475" s="10" t="s">
        <v>284</v>
      </c>
      <c r="H475" s="10" t="s">
        <v>21</v>
      </c>
      <c r="I475" s="11">
        <v>222.5</v>
      </c>
      <c r="J475" s="10" t="s">
        <v>400</v>
      </c>
      <c r="K475" s="11">
        <f>I475/2/50*50</f>
        <v>111.25</v>
      </c>
      <c r="L475" s="12">
        <v>0.5</v>
      </c>
      <c r="M475" s="13" t="s">
        <v>1524</v>
      </c>
      <c r="N475" s="13" t="s">
        <v>1525</v>
      </c>
    </row>
    <row r="476" spans="1:14" ht="33.75">
      <c r="A476" s="48">
        <v>1086724</v>
      </c>
      <c r="B476" s="16" t="s">
        <v>1526</v>
      </c>
      <c r="C476" s="13" t="s">
        <v>1527</v>
      </c>
      <c r="D476" s="13" t="s">
        <v>1528</v>
      </c>
      <c r="E476" s="10" t="s">
        <v>532</v>
      </c>
      <c r="F476" s="10" t="s">
        <v>2424</v>
      </c>
      <c r="G476" s="10" t="s">
        <v>256</v>
      </c>
      <c r="H476" s="10" t="s">
        <v>21</v>
      </c>
      <c r="I476" s="20">
        <v>354.5</v>
      </c>
      <c r="J476" s="10" t="s">
        <v>306</v>
      </c>
      <c r="K476" s="11">
        <f>+(I476/3)/2.5*2.5</f>
        <v>118.16666666666666</v>
      </c>
      <c r="L476" s="12">
        <v>0.55000000000000004</v>
      </c>
      <c r="M476" s="16" t="s">
        <v>1529</v>
      </c>
      <c r="N476" s="16" t="s">
        <v>1525</v>
      </c>
    </row>
    <row r="477" spans="1:14" ht="78.75">
      <c r="A477" s="13" t="s">
        <v>1530</v>
      </c>
      <c r="B477" s="13" t="s">
        <v>1531</v>
      </c>
      <c r="C477" s="13" t="s">
        <v>1532</v>
      </c>
      <c r="D477" s="13" t="s">
        <v>1533</v>
      </c>
      <c r="E477" s="10" t="s">
        <v>133</v>
      </c>
      <c r="F477" s="10" t="s">
        <v>1534</v>
      </c>
      <c r="G477" s="10" t="s">
        <v>1535</v>
      </c>
      <c r="H477" s="10" t="s">
        <v>1536</v>
      </c>
      <c r="I477" s="20">
        <v>390.2</v>
      </c>
      <c r="J477" s="10" t="s">
        <v>306</v>
      </c>
      <c r="K477" s="11">
        <f>+I477/2/2.5*2.5</f>
        <v>195.09999999999997</v>
      </c>
      <c r="L477" s="12">
        <v>0.85</v>
      </c>
      <c r="M477" s="13" t="s">
        <v>1537</v>
      </c>
      <c r="N477" s="13" t="s">
        <v>1538</v>
      </c>
    </row>
    <row r="478" spans="1:14" ht="45">
      <c r="A478" s="13" t="s">
        <v>1539</v>
      </c>
      <c r="B478" s="13" t="s">
        <v>1540</v>
      </c>
      <c r="C478" s="13" t="s">
        <v>1541</v>
      </c>
      <c r="D478" s="13" t="s">
        <v>1542</v>
      </c>
      <c r="E478" s="10" t="s">
        <v>274</v>
      </c>
      <c r="F478" s="10" t="s">
        <v>1543</v>
      </c>
      <c r="G478" s="21" t="s">
        <v>681</v>
      </c>
      <c r="H478" s="10" t="s">
        <v>366</v>
      </c>
      <c r="I478" s="20">
        <v>595.20000000000005</v>
      </c>
      <c r="J478" s="10" t="s">
        <v>1544</v>
      </c>
      <c r="K478" s="11">
        <f>I478/50/300*1800</f>
        <v>71.424000000000007</v>
      </c>
      <c r="L478" s="12">
        <v>0.85</v>
      </c>
      <c r="M478" s="62" t="s">
        <v>1545</v>
      </c>
      <c r="N478" s="62" t="s">
        <v>1546</v>
      </c>
    </row>
    <row r="479" spans="1:14" ht="45">
      <c r="A479" s="46" t="s">
        <v>1547</v>
      </c>
      <c r="B479" s="13" t="s">
        <v>1540</v>
      </c>
      <c r="C479" s="13" t="s">
        <v>1541</v>
      </c>
      <c r="D479" s="13" t="s">
        <v>1548</v>
      </c>
      <c r="E479" s="10" t="s">
        <v>274</v>
      </c>
      <c r="F479" s="10" t="s">
        <v>1543</v>
      </c>
      <c r="G479" s="10" t="s">
        <v>1549</v>
      </c>
      <c r="H479" s="10" t="s">
        <v>82</v>
      </c>
      <c r="I479" s="20">
        <v>595.20000000000005</v>
      </c>
      <c r="J479" s="10" t="s">
        <v>1544</v>
      </c>
      <c r="K479" s="11">
        <f>I479/50/300*1800</f>
        <v>71.424000000000007</v>
      </c>
      <c r="L479" s="12">
        <v>0.85</v>
      </c>
      <c r="M479" s="62" t="s">
        <v>1545</v>
      </c>
      <c r="N479" s="62" t="s">
        <v>1546</v>
      </c>
    </row>
    <row r="480" spans="1:14" ht="168.75">
      <c r="A480" s="17" t="s">
        <v>1550</v>
      </c>
      <c r="B480" s="17" t="s">
        <v>1551</v>
      </c>
      <c r="C480" s="17" t="s">
        <v>1552</v>
      </c>
      <c r="D480" s="17" t="s">
        <v>1553</v>
      </c>
      <c r="E480" s="25" t="s">
        <v>133</v>
      </c>
      <c r="F480" s="25" t="s">
        <v>1554</v>
      </c>
      <c r="G480" s="25" t="s">
        <v>1555</v>
      </c>
      <c r="H480" s="25" t="s">
        <v>1003</v>
      </c>
      <c r="I480" s="11">
        <v>876.8</v>
      </c>
      <c r="J480" s="25" t="s">
        <v>93</v>
      </c>
      <c r="K480" s="35">
        <f>I480/60/250*1500</f>
        <v>87.68</v>
      </c>
      <c r="L480" s="12">
        <v>0.3</v>
      </c>
      <c r="M480" s="89" t="s">
        <v>1556</v>
      </c>
      <c r="N480" s="13" t="s">
        <v>1557</v>
      </c>
    </row>
    <row r="481" spans="1:14" ht="168.75">
      <c r="A481" s="17" t="s">
        <v>1558</v>
      </c>
      <c r="B481" s="17" t="s">
        <v>1551</v>
      </c>
      <c r="C481" s="17" t="s">
        <v>1552</v>
      </c>
      <c r="D481" s="17" t="s">
        <v>1553</v>
      </c>
      <c r="E481" s="25" t="s">
        <v>133</v>
      </c>
      <c r="F481" s="25" t="s">
        <v>134</v>
      </c>
      <c r="G481" s="25" t="s">
        <v>1555</v>
      </c>
      <c r="H481" s="25" t="s">
        <v>1003</v>
      </c>
      <c r="I481" s="11">
        <v>1604.8</v>
      </c>
      <c r="J481" s="25" t="s">
        <v>93</v>
      </c>
      <c r="K481" s="35">
        <f>I481/60/500*1500</f>
        <v>80.239999999999995</v>
      </c>
      <c r="L481" s="12">
        <v>0.3</v>
      </c>
      <c r="M481" s="89" t="s">
        <v>1556</v>
      </c>
      <c r="N481" s="13" t="s">
        <v>1557</v>
      </c>
    </row>
    <row r="482" spans="1:14" ht="168.75">
      <c r="A482" s="17" t="s">
        <v>1559</v>
      </c>
      <c r="B482" s="17" t="s">
        <v>1551</v>
      </c>
      <c r="C482" s="17" t="s">
        <v>1552</v>
      </c>
      <c r="D482" s="17" t="s">
        <v>1553</v>
      </c>
      <c r="E482" s="25" t="s">
        <v>133</v>
      </c>
      <c r="F482" s="25" t="s">
        <v>1560</v>
      </c>
      <c r="G482" s="25" t="s">
        <v>1555</v>
      </c>
      <c r="H482" s="25" t="s">
        <v>1003</v>
      </c>
      <c r="I482" s="11">
        <v>2617.5</v>
      </c>
      <c r="J482" s="25" t="s">
        <v>93</v>
      </c>
      <c r="K482" s="35">
        <f>I482/60/1000*1500</f>
        <v>65.4375</v>
      </c>
      <c r="L482" s="12">
        <v>0.25</v>
      </c>
      <c r="M482" s="89" t="s">
        <v>1556</v>
      </c>
      <c r="N482" s="13" t="s">
        <v>1557</v>
      </c>
    </row>
    <row r="483" spans="1:14" ht="112.5">
      <c r="A483" s="13" t="s">
        <v>1561</v>
      </c>
      <c r="B483" s="13" t="s">
        <v>2439</v>
      </c>
      <c r="C483" s="13" t="s">
        <v>1563</v>
      </c>
      <c r="D483" s="13" t="s">
        <v>1564</v>
      </c>
      <c r="E483" s="10" t="s">
        <v>1565</v>
      </c>
      <c r="F483" s="10" t="s">
        <v>1566</v>
      </c>
      <c r="G483" s="10" t="s">
        <v>2560</v>
      </c>
      <c r="H483" s="10" t="s">
        <v>2561</v>
      </c>
      <c r="I483" s="20">
        <v>275.3</v>
      </c>
      <c r="J483" s="25" t="s">
        <v>1280</v>
      </c>
      <c r="K483" s="35">
        <f>+I483/56/25*300</f>
        <v>58.992857142857147</v>
      </c>
      <c r="L483" s="12">
        <v>0.85</v>
      </c>
      <c r="M483" s="62" t="s">
        <v>1567</v>
      </c>
      <c r="N483" s="62" t="s">
        <v>1568</v>
      </c>
    </row>
    <row r="484" spans="1:14" ht="112.5">
      <c r="A484" s="13" t="s">
        <v>1569</v>
      </c>
      <c r="B484" s="13" t="s">
        <v>2439</v>
      </c>
      <c r="C484" s="13" t="s">
        <v>1563</v>
      </c>
      <c r="D484" s="13" t="s">
        <v>1564</v>
      </c>
      <c r="E484" s="10" t="s">
        <v>274</v>
      </c>
      <c r="F484" s="10" t="s">
        <v>1570</v>
      </c>
      <c r="G484" s="10" t="s">
        <v>2560</v>
      </c>
      <c r="H484" s="10" t="s">
        <v>2561</v>
      </c>
      <c r="I484" s="11">
        <v>670.1</v>
      </c>
      <c r="J484" s="10" t="s">
        <v>1280</v>
      </c>
      <c r="K484" s="11">
        <f>I484/56/75*300</f>
        <v>47.864285714285714</v>
      </c>
      <c r="L484" s="12">
        <v>0.85</v>
      </c>
      <c r="M484" s="62" t="s">
        <v>1567</v>
      </c>
      <c r="N484" s="62" t="s">
        <v>1568</v>
      </c>
    </row>
    <row r="485" spans="1:14" ht="112.5">
      <c r="A485" s="13" t="s">
        <v>1571</v>
      </c>
      <c r="B485" s="13" t="s">
        <v>2439</v>
      </c>
      <c r="C485" s="13" t="s">
        <v>1563</v>
      </c>
      <c r="D485" s="13" t="s">
        <v>1564</v>
      </c>
      <c r="E485" s="10" t="s">
        <v>274</v>
      </c>
      <c r="F485" s="10" t="s">
        <v>1572</v>
      </c>
      <c r="G485" s="10" t="s">
        <v>2560</v>
      </c>
      <c r="H485" s="10" t="s">
        <v>2561</v>
      </c>
      <c r="I485" s="11">
        <v>1149.5</v>
      </c>
      <c r="J485" s="10" t="s">
        <v>1280</v>
      </c>
      <c r="K485" s="11">
        <f>I485/56/150*300</f>
        <v>41.053571428571431</v>
      </c>
      <c r="L485" s="12">
        <v>0.85</v>
      </c>
      <c r="M485" s="62" t="s">
        <v>1567</v>
      </c>
      <c r="N485" s="62" t="s">
        <v>1568</v>
      </c>
    </row>
    <row r="486" spans="1:14" ht="112.5">
      <c r="A486" s="13" t="s">
        <v>1573</v>
      </c>
      <c r="B486" s="13" t="s">
        <v>2439</v>
      </c>
      <c r="C486" s="13" t="s">
        <v>1563</v>
      </c>
      <c r="D486" s="13" t="s">
        <v>1564</v>
      </c>
      <c r="E486" s="10" t="s">
        <v>274</v>
      </c>
      <c r="F486" s="10" t="s">
        <v>1574</v>
      </c>
      <c r="G486" s="10" t="s">
        <v>2560</v>
      </c>
      <c r="H486" s="10" t="s">
        <v>2561</v>
      </c>
      <c r="I486" s="11">
        <v>2209.6</v>
      </c>
      <c r="J486" s="10" t="s">
        <v>1280</v>
      </c>
      <c r="K486" s="11">
        <f>I486/56/300*300</f>
        <v>39.457142857142856</v>
      </c>
      <c r="L486" s="12">
        <v>0.85</v>
      </c>
      <c r="M486" s="62" t="s">
        <v>1567</v>
      </c>
      <c r="N486" s="62" t="s">
        <v>1568</v>
      </c>
    </row>
    <row r="487" spans="1:14" ht="33.75">
      <c r="A487" s="13" t="s">
        <v>1575</v>
      </c>
      <c r="B487" s="13" t="s">
        <v>2439</v>
      </c>
      <c r="C487" s="13" t="s">
        <v>1563</v>
      </c>
      <c r="D487" s="13" t="s">
        <v>1576</v>
      </c>
      <c r="E487" s="10" t="s">
        <v>274</v>
      </c>
      <c r="F487" s="10" t="s">
        <v>2425</v>
      </c>
      <c r="G487" s="10" t="s">
        <v>2502</v>
      </c>
      <c r="H487" s="10" t="s">
        <v>385</v>
      </c>
      <c r="I487" s="20">
        <v>717.9</v>
      </c>
      <c r="J487" s="10" t="s">
        <v>1280</v>
      </c>
      <c r="K487" s="11">
        <f>I487/60/75*300</f>
        <v>47.86</v>
      </c>
      <c r="L487" s="12">
        <v>0.85</v>
      </c>
      <c r="M487" s="90" t="s">
        <v>1577</v>
      </c>
      <c r="N487" s="62" t="s">
        <v>1568</v>
      </c>
    </row>
    <row r="488" spans="1:14" ht="33.75">
      <c r="A488" s="13" t="s">
        <v>1578</v>
      </c>
      <c r="B488" s="13" t="s">
        <v>2439</v>
      </c>
      <c r="C488" s="13" t="s">
        <v>1563</v>
      </c>
      <c r="D488" s="13" t="s">
        <v>1576</v>
      </c>
      <c r="E488" s="10" t="s">
        <v>274</v>
      </c>
      <c r="F488" s="10" t="s">
        <v>1748</v>
      </c>
      <c r="G488" s="10" t="s">
        <v>2502</v>
      </c>
      <c r="H488" s="10" t="s">
        <v>385</v>
      </c>
      <c r="I488" s="20">
        <v>1231.5999999999999</v>
      </c>
      <c r="J488" s="10" t="s">
        <v>1280</v>
      </c>
      <c r="K488" s="11">
        <f>I488/60/150*300</f>
        <v>41.053333333333327</v>
      </c>
      <c r="L488" s="12">
        <v>0.85</v>
      </c>
      <c r="M488" s="90" t="s">
        <v>1577</v>
      </c>
      <c r="N488" s="62" t="s">
        <v>1568</v>
      </c>
    </row>
    <row r="489" spans="1:14" ht="33.75">
      <c r="A489" s="13" t="s">
        <v>1579</v>
      </c>
      <c r="B489" s="13" t="s">
        <v>2439</v>
      </c>
      <c r="C489" s="13" t="s">
        <v>1563</v>
      </c>
      <c r="D489" s="13" t="s">
        <v>1576</v>
      </c>
      <c r="E489" s="10" t="s">
        <v>274</v>
      </c>
      <c r="F489" s="10" t="s">
        <v>1608</v>
      </c>
      <c r="G489" s="10" t="s">
        <v>2502</v>
      </c>
      <c r="H489" s="10" t="s">
        <v>385</v>
      </c>
      <c r="I489" s="114">
        <v>1760.8</v>
      </c>
      <c r="J489" s="10" t="s">
        <v>1280</v>
      </c>
      <c r="K489" s="32">
        <f>I489/90/50*300</f>
        <v>117.38666666666666</v>
      </c>
      <c r="L489" s="12">
        <v>0.85</v>
      </c>
      <c r="M489" s="90" t="s">
        <v>1577</v>
      </c>
      <c r="N489" s="62" t="s">
        <v>1568</v>
      </c>
    </row>
    <row r="490" spans="1:14" ht="33.75">
      <c r="A490" s="13" t="s">
        <v>1580</v>
      </c>
      <c r="B490" s="13" t="s">
        <v>2439</v>
      </c>
      <c r="C490" s="13" t="s">
        <v>1563</v>
      </c>
      <c r="D490" s="13" t="s">
        <v>1581</v>
      </c>
      <c r="E490" s="10" t="s">
        <v>1565</v>
      </c>
      <c r="F490" s="10" t="s">
        <v>1594</v>
      </c>
      <c r="G490" s="10" t="s">
        <v>2503</v>
      </c>
      <c r="H490" s="10" t="s">
        <v>1582</v>
      </c>
      <c r="I490" s="11">
        <v>1095.5999999999999</v>
      </c>
      <c r="J490" s="10" t="s">
        <v>1280</v>
      </c>
      <c r="K490" s="11">
        <f>I490/56/50*300</f>
        <v>117.38571428571427</v>
      </c>
      <c r="L490" s="12">
        <v>0.85</v>
      </c>
      <c r="M490" s="90" t="s">
        <v>1577</v>
      </c>
      <c r="N490" s="62" t="s">
        <v>1568</v>
      </c>
    </row>
    <row r="491" spans="1:14" ht="33.75">
      <c r="A491" s="13" t="s">
        <v>1583</v>
      </c>
      <c r="B491" s="13" t="s">
        <v>2439</v>
      </c>
      <c r="C491" s="13" t="s">
        <v>1563</v>
      </c>
      <c r="D491" s="13" t="s">
        <v>1581</v>
      </c>
      <c r="E491" s="10" t="s">
        <v>1565</v>
      </c>
      <c r="F491" s="10" t="s">
        <v>1596</v>
      </c>
      <c r="G491" s="10" t="s">
        <v>2503</v>
      </c>
      <c r="H491" s="10" t="s">
        <v>1582</v>
      </c>
      <c r="I491" s="11">
        <v>670.1</v>
      </c>
      <c r="J491" s="10" t="s">
        <v>1280</v>
      </c>
      <c r="K491" s="11">
        <f>I491/56/75*300</f>
        <v>47.864285714285714</v>
      </c>
      <c r="L491" s="12">
        <v>0.85</v>
      </c>
      <c r="M491" s="90" t="s">
        <v>1577</v>
      </c>
      <c r="N491" s="62" t="s">
        <v>1568</v>
      </c>
    </row>
    <row r="492" spans="1:14" ht="33.75">
      <c r="A492" s="13" t="s">
        <v>1584</v>
      </c>
      <c r="B492" s="13" t="s">
        <v>2439</v>
      </c>
      <c r="C492" s="13" t="s">
        <v>1563</v>
      </c>
      <c r="D492" s="13" t="s">
        <v>1581</v>
      </c>
      <c r="E492" s="10" t="s">
        <v>1565</v>
      </c>
      <c r="F492" s="10" t="s">
        <v>1585</v>
      </c>
      <c r="G492" s="10" t="s">
        <v>2503</v>
      </c>
      <c r="H492" s="10" t="s">
        <v>1582</v>
      </c>
      <c r="I492" s="11">
        <v>1149.5</v>
      </c>
      <c r="J492" s="10" t="s">
        <v>1280</v>
      </c>
      <c r="K492" s="11">
        <f>I492/56/150*300</f>
        <v>41.053571428571431</v>
      </c>
      <c r="L492" s="12">
        <v>0.85</v>
      </c>
      <c r="M492" s="90" t="s">
        <v>1577</v>
      </c>
      <c r="N492" s="62" t="s">
        <v>1568</v>
      </c>
    </row>
    <row r="493" spans="1:14" ht="33.75">
      <c r="A493" s="13" t="s">
        <v>1586</v>
      </c>
      <c r="B493" s="13" t="s">
        <v>2439</v>
      </c>
      <c r="C493" s="13" t="s">
        <v>1563</v>
      </c>
      <c r="D493" s="13" t="s">
        <v>1581</v>
      </c>
      <c r="E493" s="10" t="s">
        <v>1565</v>
      </c>
      <c r="F493" s="10" t="s">
        <v>1599</v>
      </c>
      <c r="G493" s="10" t="s">
        <v>2503</v>
      </c>
      <c r="H493" s="10" t="s">
        <v>1582</v>
      </c>
      <c r="I493" s="11">
        <v>2080</v>
      </c>
      <c r="J493" s="10" t="s">
        <v>1280</v>
      </c>
      <c r="K493" s="11">
        <f>I493/56/300*300</f>
        <v>37.142857142857146</v>
      </c>
      <c r="L493" s="12">
        <v>0.85</v>
      </c>
      <c r="M493" s="90" t="s">
        <v>1577</v>
      </c>
      <c r="N493" s="62" t="s">
        <v>1568</v>
      </c>
    </row>
    <row r="494" spans="1:14" ht="67.5">
      <c r="A494" s="46" t="s">
        <v>1587</v>
      </c>
      <c r="B494" s="13" t="s">
        <v>2439</v>
      </c>
      <c r="C494" s="13" t="s">
        <v>1563</v>
      </c>
      <c r="D494" s="13" t="s">
        <v>2562</v>
      </c>
      <c r="E494" s="10" t="s">
        <v>274</v>
      </c>
      <c r="F494" s="10" t="s">
        <v>1588</v>
      </c>
      <c r="G494" s="10" t="s">
        <v>2563</v>
      </c>
      <c r="H494" s="10" t="s">
        <v>2564</v>
      </c>
      <c r="I494" s="11">
        <v>670.1</v>
      </c>
      <c r="J494" s="10" t="s">
        <v>1589</v>
      </c>
      <c r="K494" s="11">
        <f>+(I494/56)/75*300</f>
        <v>47.864285714285714</v>
      </c>
      <c r="L494" s="12">
        <v>0.85</v>
      </c>
      <c r="M494" s="90" t="s">
        <v>1577</v>
      </c>
      <c r="N494" s="62" t="s">
        <v>1568</v>
      </c>
    </row>
    <row r="495" spans="1:14" ht="67.5">
      <c r="A495" s="46" t="s">
        <v>1590</v>
      </c>
      <c r="B495" s="13" t="s">
        <v>2439</v>
      </c>
      <c r="C495" s="13" t="s">
        <v>1563</v>
      </c>
      <c r="D495" s="13" t="s">
        <v>2562</v>
      </c>
      <c r="E495" s="10" t="s">
        <v>274</v>
      </c>
      <c r="F495" s="10" t="s">
        <v>1591</v>
      </c>
      <c r="G495" s="10" t="s">
        <v>2563</v>
      </c>
      <c r="H495" s="10" t="s">
        <v>2564</v>
      </c>
      <c r="I495" s="11">
        <v>1149.5</v>
      </c>
      <c r="J495" s="10" t="s">
        <v>1589</v>
      </c>
      <c r="K495" s="11">
        <f>+(I495/56)/150*300</f>
        <v>41.053571428571431</v>
      </c>
      <c r="L495" s="12">
        <v>0.85</v>
      </c>
      <c r="M495" s="90" t="s">
        <v>1577</v>
      </c>
      <c r="N495" s="62" t="s">
        <v>1568</v>
      </c>
    </row>
    <row r="496" spans="1:14" ht="33.75">
      <c r="A496" s="46" t="s">
        <v>1592</v>
      </c>
      <c r="B496" s="13" t="s">
        <v>1562</v>
      </c>
      <c r="C496" s="13" t="s">
        <v>1563</v>
      </c>
      <c r="D496" s="13" t="s">
        <v>1593</v>
      </c>
      <c r="E496" s="10" t="s">
        <v>274</v>
      </c>
      <c r="F496" s="10" t="s">
        <v>1594</v>
      </c>
      <c r="G496" s="10" t="s">
        <v>256</v>
      </c>
      <c r="H496" s="10" t="s">
        <v>21</v>
      </c>
      <c r="I496" s="11">
        <v>1095.5999999999999</v>
      </c>
      <c r="J496" s="21" t="s">
        <v>1280</v>
      </c>
      <c r="K496" s="11">
        <f>I496/56/50*300</f>
        <v>117.38571428571427</v>
      </c>
      <c r="L496" s="12">
        <v>0.85</v>
      </c>
      <c r="M496" s="91" t="s">
        <v>1577</v>
      </c>
      <c r="N496" s="62" t="s">
        <v>1568</v>
      </c>
    </row>
    <row r="497" spans="1:14" ht="33.75">
      <c r="A497" s="46" t="s">
        <v>1595</v>
      </c>
      <c r="B497" s="13" t="s">
        <v>1562</v>
      </c>
      <c r="C497" s="13" t="s">
        <v>1563</v>
      </c>
      <c r="D497" s="13" t="s">
        <v>1593</v>
      </c>
      <c r="E497" s="10" t="s">
        <v>274</v>
      </c>
      <c r="F497" s="10" t="s">
        <v>1596</v>
      </c>
      <c r="G497" s="10" t="s">
        <v>256</v>
      </c>
      <c r="H497" s="10" t="s">
        <v>21</v>
      </c>
      <c r="I497" s="11">
        <v>670.1</v>
      </c>
      <c r="J497" s="21" t="s">
        <v>1280</v>
      </c>
      <c r="K497" s="11">
        <f>+(I497/56)/75*300</f>
        <v>47.864285714285714</v>
      </c>
      <c r="L497" s="12">
        <v>0.85</v>
      </c>
      <c r="M497" s="91" t="s">
        <v>1577</v>
      </c>
      <c r="N497" s="62" t="s">
        <v>1568</v>
      </c>
    </row>
    <row r="498" spans="1:14" ht="33.75">
      <c r="A498" s="46" t="s">
        <v>1597</v>
      </c>
      <c r="B498" s="13" t="s">
        <v>1562</v>
      </c>
      <c r="C498" s="13" t="s">
        <v>1563</v>
      </c>
      <c r="D498" s="13" t="s">
        <v>1593</v>
      </c>
      <c r="E498" s="10" t="s">
        <v>274</v>
      </c>
      <c r="F498" s="10" t="s">
        <v>1585</v>
      </c>
      <c r="G498" s="10" t="s">
        <v>256</v>
      </c>
      <c r="H498" s="10" t="s">
        <v>21</v>
      </c>
      <c r="I498" s="11">
        <v>1149.5</v>
      </c>
      <c r="J498" s="21" t="s">
        <v>1280</v>
      </c>
      <c r="K498" s="11">
        <f>+(I498/56)/150*300</f>
        <v>41.053571428571431</v>
      </c>
      <c r="L498" s="12">
        <v>0.85</v>
      </c>
      <c r="M498" s="91" t="s">
        <v>1577</v>
      </c>
      <c r="N498" s="62" t="s">
        <v>1568</v>
      </c>
    </row>
    <row r="499" spans="1:14" ht="33.75">
      <c r="A499" s="46" t="s">
        <v>1598</v>
      </c>
      <c r="B499" s="13" t="s">
        <v>1562</v>
      </c>
      <c r="C499" s="13" t="s">
        <v>1563</v>
      </c>
      <c r="D499" s="13" t="s">
        <v>1593</v>
      </c>
      <c r="E499" s="10" t="s">
        <v>274</v>
      </c>
      <c r="F499" s="10" t="s">
        <v>1599</v>
      </c>
      <c r="G499" s="10" t="s">
        <v>256</v>
      </c>
      <c r="H499" s="10" t="s">
        <v>21</v>
      </c>
      <c r="I499" s="11">
        <v>2080</v>
      </c>
      <c r="J499" s="21" t="s">
        <v>1280</v>
      </c>
      <c r="K499" s="11">
        <f>I499/56/300*300</f>
        <v>37.142857142857146</v>
      </c>
      <c r="L499" s="12">
        <v>0.85</v>
      </c>
      <c r="M499" s="91" t="s">
        <v>1577</v>
      </c>
      <c r="N499" s="62" t="s">
        <v>1568</v>
      </c>
    </row>
    <row r="500" spans="1:14" ht="33.75">
      <c r="A500" s="120" t="s">
        <v>1600</v>
      </c>
      <c r="B500" s="15" t="s">
        <v>1562</v>
      </c>
      <c r="C500" s="15" t="s">
        <v>1563</v>
      </c>
      <c r="D500" s="15" t="s">
        <v>1601</v>
      </c>
      <c r="E500" s="29" t="s">
        <v>274</v>
      </c>
      <c r="F500" s="29" t="s">
        <v>1594</v>
      </c>
      <c r="G500" s="29" t="s">
        <v>1602</v>
      </c>
      <c r="H500" s="29" t="s">
        <v>1603</v>
      </c>
      <c r="I500" s="11">
        <v>1095.5999999999999</v>
      </c>
      <c r="J500" s="21" t="s">
        <v>1280</v>
      </c>
      <c r="K500" s="11">
        <f>I500/56/50*300</f>
        <v>117.38571428571427</v>
      </c>
      <c r="L500" s="12">
        <v>0.85</v>
      </c>
      <c r="M500" s="91" t="s">
        <v>1577</v>
      </c>
      <c r="N500" s="62" t="s">
        <v>1568</v>
      </c>
    </row>
    <row r="501" spans="1:14" ht="33.75">
      <c r="A501" s="120" t="s">
        <v>1604</v>
      </c>
      <c r="B501" s="15" t="s">
        <v>1562</v>
      </c>
      <c r="C501" s="15" t="s">
        <v>1563</v>
      </c>
      <c r="D501" s="15" t="s">
        <v>1601</v>
      </c>
      <c r="E501" s="29" t="s">
        <v>274</v>
      </c>
      <c r="F501" s="29" t="s">
        <v>1596</v>
      </c>
      <c r="G501" s="29" t="s">
        <v>1602</v>
      </c>
      <c r="H501" s="29" t="s">
        <v>1603</v>
      </c>
      <c r="I501" s="11">
        <v>670.1</v>
      </c>
      <c r="J501" s="21" t="s">
        <v>1280</v>
      </c>
      <c r="K501" s="11">
        <f>+(I501/56)/75*300</f>
        <v>47.864285714285714</v>
      </c>
      <c r="L501" s="12">
        <v>0.85</v>
      </c>
      <c r="M501" s="91" t="s">
        <v>1577</v>
      </c>
      <c r="N501" s="62" t="s">
        <v>1568</v>
      </c>
    </row>
    <row r="502" spans="1:14" ht="33.75">
      <c r="A502" s="120" t="s">
        <v>1605</v>
      </c>
      <c r="B502" s="15" t="s">
        <v>1562</v>
      </c>
      <c r="C502" s="15" t="s">
        <v>1563</v>
      </c>
      <c r="D502" s="15" t="s">
        <v>1601</v>
      </c>
      <c r="E502" s="29" t="s">
        <v>274</v>
      </c>
      <c r="F502" s="29" t="s">
        <v>1585</v>
      </c>
      <c r="G502" s="29" t="s">
        <v>1602</v>
      </c>
      <c r="H502" s="29" t="s">
        <v>1603</v>
      </c>
      <c r="I502" s="11">
        <v>1149.5</v>
      </c>
      <c r="J502" s="21" t="s">
        <v>1280</v>
      </c>
      <c r="K502" s="11">
        <f>+(I502/56)/150*300</f>
        <v>41.053571428571431</v>
      </c>
      <c r="L502" s="12">
        <v>0.85</v>
      </c>
      <c r="M502" s="91" t="s">
        <v>1577</v>
      </c>
      <c r="N502" s="62" t="s">
        <v>1568</v>
      </c>
    </row>
    <row r="503" spans="1:14" ht="33.75">
      <c r="A503" s="46" t="s">
        <v>1606</v>
      </c>
      <c r="B503" s="13" t="s">
        <v>1562</v>
      </c>
      <c r="C503" s="13" t="s">
        <v>1563</v>
      </c>
      <c r="D503" s="13" t="s">
        <v>1607</v>
      </c>
      <c r="E503" s="10" t="s">
        <v>274</v>
      </c>
      <c r="F503" s="10" t="s">
        <v>1608</v>
      </c>
      <c r="G503" s="10" t="s">
        <v>1609</v>
      </c>
      <c r="H503" s="10" t="s">
        <v>62</v>
      </c>
      <c r="I503" s="114">
        <v>1760.8</v>
      </c>
      <c r="J503" s="10" t="s">
        <v>1280</v>
      </c>
      <c r="K503" s="32">
        <f>I503/90/50*300</f>
        <v>117.38666666666666</v>
      </c>
      <c r="L503" s="12">
        <v>0.85</v>
      </c>
      <c r="M503" s="91" t="s">
        <v>1577</v>
      </c>
      <c r="N503" s="62" t="s">
        <v>1568</v>
      </c>
    </row>
    <row r="504" spans="1:14" ht="33.75">
      <c r="A504" s="46" t="s">
        <v>1610</v>
      </c>
      <c r="B504" s="13" t="s">
        <v>1562</v>
      </c>
      <c r="C504" s="13" t="s">
        <v>1563</v>
      </c>
      <c r="D504" s="13" t="s">
        <v>1607</v>
      </c>
      <c r="E504" s="10" t="s">
        <v>274</v>
      </c>
      <c r="F504" s="10" t="s">
        <v>1596</v>
      </c>
      <c r="G504" s="10" t="s">
        <v>1609</v>
      </c>
      <c r="H504" s="10" t="s">
        <v>62</v>
      </c>
      <c r="I504" s="11">
        <v>670.1</v>
      </c>
      <c r="J504" s="21" t="s">
        <v>1280</v>
      </c>
      <c r="K504" s="11">
        <f>+(I504/56)/75*300</f>
        <v>47.864285714285714</v>
      </c>
      <c r="L504" s="12">
        <v>0.85</v>
      </c>
      <c r="M504" s="91" t="s">
        <v>1577</v>
      </c>
      <c r="N504" s="62" t="s">
        <v>1568</v>
      </c>
    </row>
    <row r="505" spans="1:14" ht="33.75">
      <c r="A505" s="46" t="s">
        <v>1611</v>
      </c>
      <c r="B505" s="13" t="s">
        <v>1562</v>
      </c>
      <c r="C505" s="13" t="s">
        <v>1563</v>
      </c>
      <c r="D505" s="13" t="s">
        <v>1607</v>
      </c>
      <c r="E505" s="10" t="s">
        <v>274</v>
      </c>
      <c r="F505" s="10" t="s">
        <v>1585</v>
      </c>
      <c r="G505" s="10" t="s">
        <v>1609</v>
      </c>
      <c r="H505" s="10" t="s">
        <v>62</v>
      </c>
      <c r="I505" s="11">
        <v>1149.5</v>
      </c>
      <c r="J505" s="21" t="s">
        <v>1280</v>
      </c>
      <c r="K505" s="11">
        <f>+(I505/56)/150*300</f>
        <v>41.053571428571431</v>
      </c>
      <c r="L505" s="12">
        <v>0.85</v>
      </c>
      <c r="M505" s="91" t="s">
        <v>1577</v>
      </c>
      <c r="N505" s="62" t="s">
        <v>1568</v>
      </c>
    </row>
    <row r="506" spans="1:14" ht="33.75">
      <c r="A506" s="13" t="s">
        <v>1612</v>
      </c>
      <c r="B506" s="13" t="s">
        <v>1613</v>
      </c>
      <c r="C506" s="13" t="s">
        <v>1614</v>
      </c>
      <c r="D506" s="13" t="s">
        <v>1615</v>
      </c>
      <c r="E506" s="10" t="s">
        <v>133</v>
      </c>
      <c r="F506" s="10" t="s">
        <v>1616</v>
      </c>
      <c r="G506" s="10" t="s">
        <v>1617</v>
      </c>
      <c r="H506" s="10" t="s">
        <v>1618</v>
      </c>
      <c r="I506" s="20">
        <v>4636</v>
      </c>
      <c r="J506" s="10" t="s">
        <v>1619</v>
      </c>
      <c r="K506" s="11">
        <f>I506/100/100*450</f>
        <v>208.62</v>
      </c>
      <c r="L506" s="12">
        <v>0.6</v>
      </c>
      <c r="M506" s="62" t="s">
        <v>1620</v>
      </c>
      <c r="N506" s="62" t="s">
        <v>1621</v>
      </c>
    </row>
    <row r="507" spans="1:14" ht="33.75">
      <c r="A507" s="13" t="s">
        <v>1622</v>
      </c>
      <c r="B507" s="13" t="s">
        <v>1613</v>
      </c>
      <c r="C507" s="13" t="s">
        <v>1614</v>
      </c>
      <c r="D507" s="13" t="s">
        <v>1615</v>
      </c>
      <c r="E507" s="10" t="s">
        <v>133</v>
      </c>
      <c r="F507" s="10" t="s">
        <v>1623</v>
      </c>
      <c r="G507" s="10" t="s">
        <v>1617</v>
      </c>
      <c r="H507" s="10" t="s">
        <v>1618</v>
      </c>
      <c r="I507" s="20">
        <v>4636</v>
      </c>
      <c r="J507" s="10" t="s">
        <v>1619</v>
      </c>
      <c r="K507" s="11">
        <f>I507/100/150*450</f>
        <v>139.07999999999998</v>
      </c>
      <c r="L507" s="12">
        <v>0.6</v>
      </c>
      <c r="M507" s="62" t="s">
        <v>1620</v>
      </c>
      <c r="N507" s="62" t="s">
        <v>1621</v>
      </c>
    </row>
    <row r="508" spans="1:14" ht="33.75">
      <c r="A508" s="13" t="s">
        <v>1624</v>
      </c>
      <c r="B508" s="13" t="s">
        <v>1613</v>
      </c>
      <c r="C508" s="13" t="s">
        <v>1614</v>
      </c>
      <c r="D508" s="13" t="s">
        <v>1625</v>
      </c>
      <c r="E508" s="10" t="s">
        <v>174</v>
      </c>
      <c r="F508" s="10" t="s">
        <v>2426</v>
      </c>
      <c r="G508" s="10" t="s">
        <v>1626</v>
      </c>
      <c r="H508" s="10" t="s">
        <v>21</v>
      </c>
      <c r="I508" s="20">
        <v>3622.2</v>
      </c>
      <c r="J508" s="10" t="s">
        <v>1619</v>
      </c>
      <c r="K508" s="11">
        <f>I508/100/100*450</f>
        <v>162.999</v>
      </c>
      <c r="L508" s="12">
        <v>0.5</v>
      </c>
      <c r="M508" s="62" t="s">
        <v>1620</v>
      </c>
      <c r="N508" s="62" t="s">
        <v>1621</v>
      </c>
    </row>
    <row r="509" spans="1:14" ht="33.75">
      <c r="A509" s="13" t="s">
        <v>1627</v>
      </c>
      <c r="B509" s="13" t="s">
        <v>1613</v>
      </c>
      <c r="C509" s="13" t="s">
        <v>1614</v>
      </c>
      <c r="D509" s="13" t="s">
        <v>1625</v>
      </c>
      <c r="E509" s="10" t="s">
        <v>174</v>
      </c>
      <c r="F509" s="10" t="s">
        <v>2427</v>
      </c>
      <c r="G509" s="10" t="s">
        <v>1626</v>
      </c>
      <c r="H509" s="10" t="s">
        <v>21</v>
      </c>
      <c r="I509" s="20">
        <v>3767.9</v>
      </c>
      <c r="J509" s="10" t="s">
        <v>1619</v>
      </c>
      <c r="K509" s="11">
        <f>I509/100/150*450</f>
        <v>113.03699999999999</v>
      </c>
      <c r="L509" s="12">
        <v>0.5</v>
      </c>
      <c r="M509" s="62" t="s">
        <v>1620</v>
      </c>
      <c r="N509" s="62" t="s">
        <v>1621</v>
      </c>
    </row>
    <row r="510" spans="1:14" ht="33.75">
      <c r="A510" s="13" t="s">
        <v>1628</v>
      </c>
      <c r="B510" s="13" t="s">
        <v>1613</v>
      </c>
      <c r="C510" s="13" t="s">
        <v>1614</v>
      </c>
      <c r="D510" s="13" t="s">
        <v>1625</v>
      </c>
      <c r="E510" s="10" t="s">
        <v>174</v>
      </c>
      <c r="F510" s="10" t="s">
        <v>2428</v>
      </c>
      <c r="G510" s="10" t="s">
        <v>1626</v>
      </c>
      <c r="H510" s="10" t="s">
        <v>21</v>
      </c>
      <c r="I510" s="20">
        <v>3694.6</v>
      </c>
      <c r="J510" s="10" t="s">
        <v>1619</v>
      </c>
      <c r="K510" s="11">
        <f>I510/100/200*450</f>
        <v>83.128499999999988</v>
      </c>
      <c r="L510" s="12">
        <v>0.5</v>
      </c>
      <c r="M510" s="62" t="s">
        <v>1620</v>
      </c>
      <c r="N510" s="62" t="s">
        <v>1621</v>
      </c>
    </row>
    <row r="511" spans="1:14" ht="33.75">
      <c r="A511" s="13" t="s">
        <v>1629</v>
      </c>
      <c r="B511" s="13" t="s">
        <v>1630</v>
      </c>
      <c r="C511" s="13" t="s">
        <v>1631</v>
      </c>
      <c r="D511" s="13" t="s">
        <v>1632</v>
      </c>
      <c r="E511" s="10" t="s">
        <v>118</v>
      </c>
      <c r="F511" s="10" t="s">
        <v>1067</v>
      </c>
      <c r="G511" s="10" t="s">
        <v>1633</v>
      </c>
      <c r="H511" s="10" t="s">
        <v>1634</v>
      </c>
      <c r="I511" s="20">
        <v>423.1</v>
      </c>
      <c r="J511" s="10" t="s">
        <v>1635</v>
      </c>
      <c r="K511" s="11">
        <f>I511/28/2*6</f>
        <v>45.332142857142856</v>
      </c>
      <c r="L511" s="12">
        <v>0.2</v>
      </c>
      <c r="M511" s="13" t="s">
        <v>1636</v>
      </c>
      <c r="N511" s="13" t="s">
        <v>1637</v>
      </c>
    </row>
    <row r="512" spans="1:14" ht="33.75">
      <c r="A512" s="13" t="s">
        <v>1638</v>
      </c>
      <c r="B512" s="13" t="s">
        <v>1630</v>
      </c>
      <c r="C512" s="13" t="s">
        <v>1631</v>
      </c>
      <c r="D512" s="13" t="s">
        <v>1632</v>
      </c>
      <c r="E512" s="10" t="s">
        <v>118</v>
      </c>
      <c r="F512" s="10" t="s">
        <v>1639</v>
      </c>
      <c r="G512" s="10" t="s">
        <v>1640</v>
      </c>
      <c r="H512" s="10" t="s">
        <v>66</v>
      </c>
      <c r="I512" s="20">
        <v>824</v>
      </c>
      <c r="J512" s="10" t="s">
        <v>1635</v>
      </c>
      <c r="K512" s="11">
        <f>I512/28/4*6</f>
        <v>44.142857142857139</v>
      </c>
      <c r="L512" s="12">
        <v>0.2</v>
      </c>
      <c r="M512" s="13" t="s">
        <v>1636</v>
      </c>
      <c r="N512" s="13" t="s">
        <v>1525</v>
      </c>
    </row>
    <row r="513" spans="1:14" ht="33.75">
      <c r="A513" s="13" t="s">
        <v>1641</v>
      </c>
      <c r="B513" s="13" t="s">
        <v>1630</v>
      </c>
      <c r="C513" s="13" t="s">
        <v>1631</v>
      </c>
      <c r="D513" s="13" t="s">
        <v>1632</v>
      </c>
      <c r="E513" s="10" t="s">
        <v>118</v>
      </c>
      <c r="F513" s="10" t="s">
        <v>1642</v>
      </c>
      <c r="G513" s="10" t="s">
        <v>1640</v>
      </c>
      <c r="H513" s="10" t="s">
        <v>66</v>
      </c>
      <c r="I513" s="20">
        <v>1434.2</v>
      </c>
      <c r="J513" s="10" t="s">
        <v>1635</v>
      </c>
      <c r="K513" s="11">
        <f>I513/28/8*6</f>
        <v>38.416071428571428</v>
      </c>
      <c r="L513" s="12">
        <v>0.2</v>
      </c>
      <c r="M513" s="13" t="s">
        <v>1636</v>
      </c>
      <c r="N513" s="13" t="s">
        <v>1525</v>
      </c>
    </row>
    <row r="514" spans="1:14" ht="33.75">
      <c r="A514" s="75" t="s">
        <v>1643</v>
      </c>
      <c r="B514" s="64" t="s">
        <v>1630</v>
      </c>
      <c r="C514" s="64" t="s">
        <v>1631</v>
      </c>
      <c r="D514" s="64" t="s">
        <v>1644</v>
      </c>
      <c r="E514" s="23" t="s">
        <v>118</v>
      </c>
      <c r="F514" s="23" t="s">
        <v>1067</v>
      </c>
      <c r="G514" s="10" t="s">
        <v>565</v>
      </c>
      <c r="H514" s="10" t="s">
        <v>25</v>
      </c>
      <c r="I514" s="20">
        <v>423.1</v>
      </c>
      <c r="J514" s="10" t="s">
        <v>1635</v>
      </c>
      <c r="K514" s="11">
        <f>I514/28/2*6</f>
        <v>45.332142857142856</v>
      </c>
      <c r="L514" s="12">
        <v>0.2</v>
      </c>
      <c r="M514" s="92" t="s">
        <v>1636</v>
      </c>
      <c r="N514" s="92" t="s">
        <v>1525</v>
      </c>
    </row>
    <row r="515" spans="1:14" ht="33.75">
      <c r="A515" s="75" t="s">
        <v>1645</v>
      </c>
      <c r="B515" s="64" t="s">
        <v>1630</v>
      </c>
      <c r="C515" s="64" t="s">
        <v>1631</v>
      </c>
      <c r="D515" s="64" t="s">
        <v>1644</v>
      </c>
      <c r="E515" s="23" t="s">
        <v>118</v>
      </c>
      <c r="F515" s="23" t="s">
        <v>1639</v>
      </c>
      <c r="G515" s="10" t="s">
        <v>565</v>
      </c>
      <c r="H515" s="10" t="s">
        <v>25</v>
      </c>
      <c r="I515" s="20">
        <v>824</v>
      </c>
      <c r="J515" s="10" t="s">
        <v>1635</v>
      </c>
      <c r="K515" s="11">
        <f>I515/28/4*6</f>
        <v>44.142857142857139</v>
      </c>
      <c r="L515" s="12">
        <v>0.2</v>
      </c>
      <c r="M515" s="92" t="s">
        <v>1636</v>
      </c>
      <c r="N515" s="92" t="s">
        <v>1525</v>
      </c>
    </row>
    <row r="516" spans="1:14" ht="33.75">
      <c r="A516" s="75" t="s">
        <v>1646</v>
      </c>
      <c r="B516" s="64" t="s">
        <v>1630</v>
      </c>
      <c r="C516" s="64" t="s">
        <v>1631</v>
      </c>
      <c r="D516" s="64" t="s">
        <v>1644</v>
      </c>
      <c r="E516" s="23" t="s">
        <v>118</v>
      </c>
      <c r="F516" s="23" t="s">
        <v>1642</v>
      </c>
      <c r="G516" s="10" t="s">
        <v>565</v>
      </c>
      <c r="H516" s="10" t="s">
        <v>25</v>
      </c>
      <c r="I516" s="20">
        <v>1434.2</v>
      </c>
      <c r="J516" s="10" t="s">
        <v>1635</v>
      </c>
      <c r="K516" s="11">
        <f>I516/28/8*6</f>
        <v>38.416071428571428</v>
      </c>
      <c r="L516" s="12">
        <v>0.2</v>
      </c>
      <c r="M516" s="92" t="s">
        <v>1636</v>
      </c>
      <c r="N516" s="92" t="s">
        <v>1525</v>
      </c>
    </row>
    <row r="517" spans="1:14" ht="33.75">
      <c r="A517" s="46" t="s">
        <v>1647</v>
      </c>
      <c r="B517" s="16" t="s">
        <v>1630</v>
      </c>
      <c r="C517" s="51" t="s">
        <v>1631</v>
      </c>
      <c r="D517" s="13" t="s">
        <v>1648</v>
      </c>
      <c r="E517" s="30" t="s">
        <v>118</v>
      </c>
      <c r="F517" s="30" t="s">
        <v>1067</v>
      </c>
      <c r="G517" s="30" t="s">
        <v>1649</v>
      </c>
      <c r="H517" s="30" t="s">
        <v>62</v>
      </c>
      <c r="I517" s="11">
        <v>423.1</v>
      </c>
      <c r="J517" s="11" t="s">
        <v>1635</v>
      </c>
      <c r="K517" s="11">
        <f>+(I517/28)/2*6</f>
        <v>45.332142857142856</v>
      </c>
      <c r="L517" s="12">
        <v>0.2</v>
      </c>
      <c r="M517" s="92" t="s">
        <v>1636</v>
      </c>
      <c r="N517" s="92" t="s">
        <v>1525</v>
      </c>
    </row>
    <row r="518" spans="1:14" ht="33.75">
      <c r="A518" s="46" t="s">
        <v>1650</v>
      </c>
      <c r="B518" s="16" t="s">
        <v>1630</v>
      </c>
      <c r="C518" s="51" t="s">
        <v>1631</v>
      </c>
      <c r="D518" s="13" t="s">
        <v>1648</v>
      </c>
      <c r="E518" s="30" t="s">
        <v>118</v>
      </c>
      <c r="F518" s="30" t="s">
        <v>1639</v>
      </c>
      <c r="G518" s="30" t="s">
        <v>1649</v>
      </c>
      <c r="H518" s="30" t="s">
        <v>62</v>
      </c>
      <c r="I518" s="11">
        <v>824</v>
      </c>
      <c r="J518" s="11" t="s">
        <v>1635</v>
      </c>
      <c r="K518" s="11">
        <f>+(I518/28)/4*6</f>
        <v>44.142857142857139</v>
      </c>
      <c r="L518" s="12">
        <v>0.2</v>
      </c>
      <c r="M518" s="92" t="s">
        <v>1636</v>
      </c>
      <c r="N518" s="92" t="s">
        <v>1525</v>
      </c>
    </row>
    <row r="519" spans="1:14" ht="33.75">
      <c r="A519" s="46" t="s">
        <v>1651</v>
      </c>
      <c r="B519" s="16" t="s">
        <v>1630</v>
      </c>
      <c r="C519" s="51" t="s">
        <v>1631</v>
      </c>
      <c r="D519" s="13" t="s">
        <v>1648</v>
      </c>
      <c r="E519" s="30" t="s">
        <v>118</v>
      </c>
      <c r="F519" s="30" t="s">
        <v>1642</v>
      </c>
      <c r="G519" s="30" t="s">
        <v>1649</v>
      </c>
      <c r="H519" s="30" t="s">
        <v>62</v>
      </c>
      <c r="I519" s="11">
        <v>1434.2</v>
      </c>
      <c r="J519" s="11" t="s">
        <v>1635</v>
      </c>
      <c r="K519" s="11">
        <f>+(I519/28)/8*6</f>
        <v>38.416071428571428</v>
      </c>
      <c r="L519" s="12">
        <v>0.2</v>
      </c>
      <c r="M519" s="92" t="s">
        <v>1636</v>
      </c>
      <c r="N519" s="92" t="s">
        <v>1525</v>
      </c>
    </row>
    <row r="520" spans="1:14" ht="33.75">
      <c r="A520" s="13" t="s">
        <v>1652</v>
      </c>
      <c r="B520" s="13" t="s">
        <v>1653</v>
      </c>
      <c r="C520" s="13" t="s">
        <v>1654</v>
      </c>
      <c r="D520" s="13" t="s">
        <v>1655</v>
      </c>
      <c r="E520" s="10" t="s">
        <v>174</v>
      </c>
      <c r="F520" s="10" t="s">
        <v>1656</v>
      </c>
      <c r="G520" s="10" t="s">
        <v>1657</v>
      </c>
      <c r="H520" s="10" t="s">
        <v>82</v>
      </c>
      <c r="I520" s="20">
        <v>387.1</v>
      </c>
      <c r="J520" s="10" t="s">
        <v>306</v>
      </c>
      <c r="K520" s="11">
        <f>I520/30/0.25*2.5</f>
        <v>129.03333333333333</v>
      </c>
      <c r="L520" s="12">
        <v>0.3</v>
      </c>
      <c r="M520" s="13" t="s">
        <v>1636</v>
      </c>
      <c r="N520" s="13" t="s">
        <v>1525</v>
      </c>
    </row>
    <row r="521" spans="1:14" ht="33.75">
      <c r="A521" s="13" t="s">
        <v>1658</v>
      </c>
      <c r="B521" s="13" t="s">
        <v>1653</v>
      </c>
      <c r="C521" s="13" t="s">
        <v>1654</v>
      </c>
      <c r="D521" s="13" t="s">
        <v>1655</v>
      </c>
      <c r="E521" s="10" t="s">
        <v>174</v>
      </c>
      <c r="F521" s="10" t="s">
        <v>1659</v>
      </c>
      <c r="G521" s="10" t="s">
        <v>1657</v>
      </c>
      <c r="H521" s="10" t="s">
        <v>82</v>
      </c>
      <c r="I521" s="20">
        <v>732.3</v>
      </c>
      <c r="J521" s="10" t="s">
        <v>306</v>
      </c>
      <c r="K521" s="11">
        <f>I521/30/1*2.5</f>
        <v>61.024999999999999</v>
      </c>
      <c r="L521" s="12">
        <v>0.3</v>
      </c>
      <c r="M521" s="13" t="s">
        <v>1636</v>
      </c>
      <c r="N521" s="13" t="s">
        <v>1525</v>
      </c>
    </row>
    <row r="522" spans="1:14" ht="33.75">
      <c r="A522" s="46" t="s">
        <v>1660</v>
      </c>
      <c r="B522" s="13" t="s">
        <v>1653</v>
      </c>
      <c r="C522" s="13" t="s">
        <v>1654</v>
      </c>
      <c r="D522" s="13" t="s">
        <v>1655</v>
      </c>
      <c r="E522" s="10" t="s">
        <v>118</v>
      </c>
      <c r="F522" s="10" t="s">
        <v>1661</v>
      </c>
      <c r="G522" s="10" t="s">
        <v>1662</v>
      </c>
      <c r="H522" s="10" t="s">
        <v>82</v>
      </c>
      <c r="I522" s="20">
        <v>141.4</v>
      </c>
      <c r="J522" s="10" t="s">
        <v>306</v>
      </c>
      <c r="K522" s="11">
        <f>I522/10/0.375*2.5</f>
        <v>94.26666666666668</v>
      </c>
      <c r="L522" s="12">
        <v>0.3</v>
      </c>
      <c r="M522" s="13" t="s">
        <v>1636</v>
      </c>
      <c r="N522" s="13" t="s">
        <v>1525</v>
      </c>
    </row>
    <row r="523" spans="1:14" ht="33.75">
      <c r="A523" s="46" t="s">
        <v>1663</v>
      </c>
      <c r="B523" s="13" t="s">
        <v>1653</v>
      </c>
      <c r="C523" s="13" t="s">
        <v>1654</v>
      </c>
      <c r="D523" s="13" t="s">
        <v>1655</v>
      </c>
      <c r="E523" s="10" t="s">
        <v>118</v>
      </c>
      <c r="F523" s="10" t="s">
        <v>1664</v>
      </c>
      <c r="G523" s="10" t="s">
        <v>1662</v>
      </c>
      <c r="H523" s="10" t="s">
        <v>82</v>
      </c>
      <c r="I523" s="20">
        <v>788.5</v>
      </c>
      <c r="J523" s="10" t="s">
        <v>306</v>
      </c>
      <c r="K523" s="11">
        <f>I523/30/0.75*2.5</f>
        <v>87.611111111111114</v>
      </c>
      <c r="L523" s="12">
        <v>0.3</v>
      </c>
      <c r="M523" s="13" t="s">
        <v>1665</v>
      </c>
      <c r="N523" s="13" t="s">
        <v>1525</v>
      </c>
    </row>
    <row r="524" spans="1:14" ht="33.75">
      <c r="A524" s="46" t="s">
        <v>1666</v>
      </c>
      <c r="B524" s="13" t="s">
        <v>1653</v>
      </c>
      <c r="C524" s="13" t="s">
        <v>1654</v>
      </c>
      <c r="D524" s="13" t="s">
        <v>1655</v>
      </c>
      <c r="E524" s="10" t="s">
        <v>118</v>
      </c>
      <c r="F524" s="10" t="s">
        <v>1667</v>
      </c>
      <c r="G524" s="10" t="s">
        <v>1657</v>
      </c>
      <c r="H524" s="10" t="s">
        <v>82</v>
      </c>
      <c r="I524" s="20">
        <v>1517.3</v>
      </c>
      <c r="J524" s="10" t="s">
        <v>306</v>
      </c>
      <c r="K524" s="11">
        <f>I524/30/1.5*2.5</f>
        <v>84.294444444444437</v>
      </c>
      <c r="L524" s="12">
        <v>0.3</v>
      </c>
      <c r="M524" s="13" t="s">
        <v>1636</v>
      </c>
      <c r="N524" s="13" t="s">
        <v>1525</v>
      </c>
    </row>
    <row r="525" spans="1:14" ht="33.75">
      <c r="A525" s="46" t="s">
        <v>1668</v>
      </c>
      <c r="B525" s="13" t="s">
        <v>1653</v>
      </c>
      <c r="C525" s="13" t="s">
        <v>1654</v>
      </c>
      <c r="D525" s="13" t="s">
        <v>1655</v>
      </c>
      <c r="E525" s="10" t="s">
        <v>118</v>
      </c>
      <c r="F525" s="10" t="s">
        <v>1669</v>
      </c>
      <c r="G525" s="10" t="s">
        <v>1657</v>
      </c>
      <c r="H525" s="10" t="s">
        <v>82</v>
      </c>
      <c r="I525" s="20">
        <v>2433.6</v>
      </c>
      <c r="J525" s="10" t="s">
        <v>306</v>
      </c>
      <c r="K525" s="11">
        <f>I525/30/3*2.5</f>
        <v>67.599999999999994</v>
      </c>
      <c r="L525" s="12">
        <v>0.3</v>
      </c>
      <c r="M525" s="13" t="s">
        <v>1636</v>
      </c>
      <c r="N525" s="13" t="s">
        <v>1525</v>
      </c>
    </row>
    <row r="526" spans="1:14" ht="33.75">
      <c r="A526" s="46" t="s">
        <v>1670</v>
      </c>
      <c r="B526" s="13" t="s">
        <v>1653</v>
      </c>
      <c r="C526" s="13" t="s">
        <v>1654</v>
      </c>
      <c r="D526" s="13" t="s">
        <v>1671</v>
      </c>
      <c r="E526" s="10" t="s">
        <v>118</v>
      </c>
      <c r="F526" s="10" t="s">
        <v>1672</v>
      </c>
      <c r="G526" s="10" t="s">
        <v>1156</v>
      </c>
      <c r="H526" s="10" t="s">
        <v>25</v>
      </c>
      <c r="I526" s="20">
        <v>424.2</v>
      </c>
      <c r="J526" s="10" t="s">
        <v>306</v>
      </c>
      <c r="K526" s="11">
        <f>I526/30/0.375*2.5</f>
        <v>94.266666666666652</v>
      </c>
      <c r="L526" s="12">
        <v>0.3</v>
      </c>
      <c r="M526" s="13" t="s">
        <v>1636</v>
      </c>
      <c r="N526" s="13" t="s">
        <v>1525</v>
      </c>
    </row>
    <row r="527" spans="1:14" ht="33.75">
      <c r="A527" s="46" t="s">
        <v>1673</v>
      </c>
      <c r="B527" s="13" t="s">
        <v>1653</v>
      </c>
      <c r="C527" s="13" t="s">
        <v>1654</v>
      </c>
      <c r="D527" s="13" t="s">
        <v>1671</v>
      </c>
      <c r="E527" s="10" t="s">
        <v>118</v>
      </c>
      <c r="F527" s="10" t="s">
        <v>1664</v>
      </c>
      <c r="G527" s="10" t="s">
        <v>1156</v>
      </c>
      <c r="H527" s="10" t="s">
        <v>25</v>
      </c>
      <c r="I527" s="20">
        <v>788.5</v>
      </c>
      <c r="J527" s="10" t="s">
        <v>306</v>
      </c>
      <c r="K527" s="11">
        <f>I527/30/0.75*2.5</f>
        <v>87.611111111111114</v>
      </c>
      <c r="L527" s="12">
        <v>0.3</v>
      </c>
      <c r="M527" s="13" t="s">
        <v>1636</v>
      </c>
      <c r="N527" s="13" t="s">
        <v>1525</v>
      </c>
    </row>
    <row r="528" spans="1:14" ht="33.75">
      <c r="A528" s="46" t="s">
        <v>1674</v>
      </c>
      <c r="B528" s="13" t="s">
        <v>1653</v>
      </c>
      <c r="C528" s="13" t="s">
        <v>1654</v>
      </c>
      <c r="D528" s="13" t="s">
        <v>1671</v>
      </c>
      <c r="E528" s="10" t="s">
        <v>118</v>
      </c>
      <c r="F528" s="10" t="s">
        <v>1667</v>
      </c>
      <c r="G528" s="10" t="s">
        <v>1156</v>
      </c>
      <c r="H528" s="10" t="s">
        <v>25</v>
      </c>
      <c r="I528" s="20">
        <v>1517.3</v>
      </c>
      <c r="J528" s="10" t="s">
        <v>306</v>
      </c>
      <c r="K528" s="11">
        <f>I528/30/1.5*2.5</f>
        <v>84.294444444444437</v>
      </c>
      <c r="L528" s="12">
        <v>0.3</v>
      </c>
      <c r="M528" s="13" t="s">
        <v>1636</v>
      </c>
      <c r="N528" s="13" t="s">
        <v>1525</v>
      </c>
    </row>
    <row r="529" spans="1:14" ht="33.75">
      <c r="A529" s="46" t="s">
        <v>1675</v>
      </c>
      <c r="B529" s="13" t="s">
        <v>1653</v>
      </c>
      <c r="C529" s="13" t="s">
        <v>1654</v>
      </c>
      <c r="D529" s="13" t="s">
        <v>1671</v>
      </c>
      <c r="E529" s="10" t="s">
        <v>118</v>
      </c>
      <c r="F529" s="10" t="s">
        <v>1676</v>
      </c>
      <c r="G529" s="10" t="s">
        <v>1156</v>
      </c>
      <c r="H529" s="10" t="s">
        <v>25</v>
      </c>
      <c r="I529" s="20">
        <v>2326.8000000000002</v>
      </c>
      <c r="J529" s="10" t="s">
        <v>306</v>
      </c>
      <c r="K529" s="11">
        <f>I529/30/2.25*2.5</f>
        <v>86.177777777777777</v>
      </c>
      <c r="L529" s="12">
        <v>0.3</v>
      </c>
      <c r="M529" s="13" t="s">
        <v>1636</v>
      </c>
      <c r="N529" s="13" t="s">
        <v>1525</v>
      </c>
    </row>
    <row r="530" spans="1:14" ht="33.75">
      <c r="A530" s="46" t="s">
        <v>1677</v>
      </c>
      <c r="B530" s="13" t="s">
        <v>1653</v>
      </c>
      <c r="C530" s="13" t="s">
        <v>1654</v>
      </c>
      <c r="D530" s="13" t="s">
        <v>1671</v>
      </c>
      <c r="E530" s="10" t="s">
        <v>118</v>
      </c>
      <c r="F530" s="10" t="s">
        <v>1669</v>
      </c>
      <c r="G530" s="10" t="s">
        <v>1156</v>
      </c>
      <c r="H530" s="10" t="s">
        <v>25</v>
      </c>
      <c r="I530" s="20">
        <v>2433.6</v>
      </c>
      <c r="J530" s="10" t="s">
        <v>306</v>
      </c>
      <c r="K530" s="11">
        <f>I530/30/3*2.5</f>
        <v>67.599999999999994</v>
      </c>
      <c r="L530" s="12">
        <v>0.3</v>
      </c>
      <c r="M530" s="13" t="s">
        <v>1636</v>
      </c>
      <c r="N530" s="13" t="s">
        <v>1525</v>
      </c>
    </row>
    <row r="531" spans="1:14" ht="78.75">
      <c r="A531" s="14" t="s">
        <v>1678</v>
      </c>
      <c r="B531" s="14" t="s">
        <v>1679</v>
      </c>
      <c r="C531" s="14" t="s">
        <v>1680</v>
      </c>
      <c r="D531" s="14" t="s">
        <v>1681</v>
      </c>
      <c r="E531" s="93" t="s">
        <v>174</v>
      </c>
      <c r="F531" s="93" t="s">
        <v>1415</v>
      </c>
      <c r="G531" s="10" t="s">
        <v>1682</v>
      </c>
      <c r="H531" s="10" t="s">
        <v>1683</v>
      </c>
      <c r="I531" s="11">
        <v>2224.3000000000002</v>
      </c>
      <c r="J531" s="93" t="s">
        <v>359</v>
      </c>
      <c r="K531" s="115">
        <f>I531/28/1*1</f>
        <v>79.439285714285717</v>
      </c>
      <c r="L531" s="28">
        <v>0.85</v>
      </c>
      <c r="M531" s="94" t="s">
        <v>1684</v>
      </c>
      <c r="N531" s="94" t="s">
        <v>1685</v>
      </c>
    </row>
    <row r="532" spans="1:14" ht="45">
      <c r="A532" s="13">
        <v>1085085</v>
      </c>
      <c r="B532" s="13" t="s">
        <v>1679</v>
      </c>
      <c r="C532" s="13" t="s">
        <v>1680</v>
      </c>
      <c r="D532" s="13" t="s">
        <v>1686</v>
      </c>
      <c r="E532" s="10" t="s">
        <v>174</v>
      </c>
      <c r="F532" s="10" t="s">
        <v>1415</v>
      </c>
      <c r="G532" s="10" t="s">
        <v>1687</v>
      </c>
      <c r="H532" s="10" t="s">
        <v>1688</v>
      </c>
      <c r="I532" s="20">
        <v>1711</v>
      </c>
      <c r="J532" s="10" t="s">
        <v>359</v>
      </c>
      <c r="K532" s="115">
        <f>I532/28/1*1</f>
        <v>61.107142857142854</v>
      </c>
      <c r="L532" s="28">
        <v>0.75</v>
      </c>
      <c r="M532" s="94" t="s">
        <v>1689</v>
      </c>
      <c r="N532" s="94" t="s">
        <v>1685</v>
      </c>
    </row>
    <row r="533" spans="1:14" ht="45">
      <c r="A533" s="13" t="s">
        <v>1690</v>
      </c>
      <c r="B533" s="13" t="s">
        <v>1691</v>
      </c>
      <c r="C533" s="13" t="s">
        <v>1692</v>
      </c>
      <c r="D533" s="13" t="s">
        <v>1693</v>
      </c>
      <c r="E533" s="10" t="s">
        <v>1202</v>
      </c>
      <c r="F533" s="10" t="s">
        <v>1694</v>
      </c>
      <c r="G533" s="10" t="s">
        <v>1695</v>
      </c>
      <c r="H533" s="10" t="s">
        <v>1696</v>
      </c>
      <c r="I533" s="20">
        <v>2326.1999999999998</v>
      </c>
      <c r="J533" s="10" t="s">
        <v>1204</v>
      </c>
      <c r="K533" s="115">
        <f>I533/30/200*1000</f>
        <v>387.69999999999993</v>
      </c>
      <c r="L533" s="12">
        <v>0.6</v>
      </c>
      <c r="M533" s="13" t="s">
        <v>1636</v>
      </c>
      <c r="N533" s="13" t="s">
        <v>1525</v>
      </c>
    </row>
    <row r="534" spans="1:14" ht="67.5">
      <c r="A534" s="13" t="s">
        <v>1697</v>
      </c>
      <c r="B534" s="13" t="s">
        <v>1698</v>
      </c>
      <c r="C534" s="13" t="s">
        <v>1699</v>
      </c>
      <c r="D534" s="13" t="s">
        <v>1700</v>
      </c>
      <c r="E534" s="10" t="s">
        <v>174</v>
      </c>
      <c r="F534" s="10" t="s">
        <v>1701</v>
      </c>
      <c r="G534" s="10" t="s">
        <v>1702</v>
      </c>
      <c r="H534" s="10" t="s">
        <v>1703</v>
      </c>
      <c r="I534" s="11">
        <v>968.3</v>
      </c>
      <c r="J534" s="10" t="s">
        <v>1280</v>
      </c>
      <c r="K534" s="11">
        <f>I534/50/100*300</f>
        <v>58.097999999999999</v>
      </c>
      <c r="L534" s="12">
        <v>0.2</v>
      </c>
      <c r="M534" s="13" t="s">
        <v>1704</v>
      </c>
      <c r="N534" s="13" t="s">
        <v>1705</v>
      </c>
    </row>
    <row r="535" spans="1:14" ht="67.5">
      <c r="A535" s="46" t="s">
        <v>1706</v>
      </c>
      <c r="B535" s="13" t="s">
        <v>1698</v>
      </c>
      <c r="C535" s="13" t="s">
        <v>1699</v>
      </c>
      <c r="D535" s="13" t="s">
        <v>1700</v>
      </c>
      <c r="E535" s="10" t="s">
        <v>174</v>
      </c>
      <c r="F535" s="10" t="s">
        <v>1707</v>
      </c>
      <c r="G535" s="10" t="s">
        <v>1702</v>
      </c>
      <c r="H535" s="10" t="s">
        <v>1703</v>
      </c>
      <c r="I535" s="11">
        <v>280.60000000000002</v>
      </c>
      <c r="J535" s="10" t="s">
        <v>1280</v>
      </c>
      <c r="K535" s="11">
        <f>I535/50/25*300</f>
        <v>67.344000000000008</v>
      </c>
      <c r="L535" s="12">
        <v>0.25</v>
      </c>
      <c r="M535" s="13" t="s">
        <v>1704</v>
      </c>
      <c r="N535" s="13" t="s">
        <v>1705</v>
      </c>
    </row>
    <row r="536" spans="1:14" ht="67.5">
      <c r="A536" s="46" t="s">
        <v>1708</v>
      </c>
      <c r="B536" s="13" t="s">
        <v>1698</v>
      </c>
      <c r="C536" s="13" t="s">
        <v>1699</v>
      </c>
      <c r="D536" s="13" t="s">
        <v>1709</v>
      </c>
      <c r="E536" s="10" t="s">
        <v>174</v>
      </c>
      <c r="F536" s="10" t="s">
        <v>1710</v>
      </c>
      <c r="G536" s="10" t="s">
        <v>423</v>
      </c>
      <c r="H536" s="10" t="s">
        <v>82</v>
      </c>
      <c r="I536" s="11">
        <v>968.3</v>
      </c>
      <c r="J536" s="10" t="s">
        <v>1280</v>
      </c>
      <c r="K536" s="11">
        <f>I536/50/100*300</f>
        <v>58.097999999999999</v>
      </c>
      <c r="L536" s="12">
        <v>0.2</v>
      </c>
      <c r="M536" s="13" t="s">
        <v>1704</v>
      </c>
      <c r="N536" s="13" t="s">
        <v>1705</v>
      </c>
    </row>
    <row r="537" spans="1:14" ht="67.5">
      <c r="A537" s="46" t="s">
        <v>1711</v>
      </c>
      <c r="B537" s="13" t="s">
        <v>1698</v>
      </c>
      <c r="C537" s="13" t="s">
        <v>1699</v>
      </c>
      <c r="D537" s="13" t="s">
        <v>1709</v>
      </c>
      <c r="E537" s="10" t="s">
        <v>174</v>
      </c>
      <c r="F537" s="10" t="s">
        <v>1707</v>
      </c>
      <c r="G537" s="10" t="s">
        <v>423</v>
      </c>
      <c r="H537" s="10" t="s">
        <v>82</v>
      </c>
      <c r="I537" s="11">
        <v>280.60000000000002</v>
      </c>
      <c r="J537" s="10" t="s">
        <v>1280</v>
      </c>
      <c r="K537" s="11">
        <f>I537/50/25*300</f>
        <v>67.344000000000008</v>
      </c>
      <c r="L537" s="12">
        <v>0.25</v>
      </c>
      <c r="M537" s="13" t="s">
        <v>1704</v>
      </c>
      <c r="N537" s="13" t="s">
        <v>1705</v>
      </c>
    </row>
    <row r="538" spans="1:14" ht="90">
      <c r="A538" s="13" t="s">
        <v>1712</v>
      </c>
      <c r="B538" s="13" t="s">
        <v>1698</v>
      </c>
      <c r="C538" s="13" t="s">
        <v>1699</v>
      </c>
      <c r="D538" s="13" t="s">
        <v>1713</v>
      </c>
      <c r="E538" s="10" t="s">
        <v>174</v>
      </c>
      <c r="F538" s="10" t="s">
        <v>1714</v>
      </c>
      <c r="G538" s="10" t="s">
        <v>2538</v>
      </c>
      <c r="H538" s="10" t="s">
        <v>2539</v>
      </c>
      <c r="I538" s="20">
        <v>1079.7</v>
      </c>
      <c r="J538" s="10" t="s">
        <v>1280</v>
      </c>
      <c r="K538" s="11">
        <f>I538/50/100*300</f>
        <v>64.782000000000011</v>
      </c>
      <c r="L538" s="12">
        <v>0.3</v>
      </c>
      <c r="M538" s="13" t="s">
        <v>1704</v>
      </c>
      <c r="N538" s="13" t="s">
        <v>1705</v>
      </c>
    </row>
    <row r="539" spans="1:14" ht="90">
      <c r="A539" s="13" t="s">
        <v>1715</v>
      </c>
      <c r="B539" s="13" t="s">
        <v>1698</v>
      </c>
      <c r="C539" s="13" t="s">
        <v>1699</v>
      </c>
      <c r="D539" s="13" t="s">
        <v>1713</v>
      </c>
      <c r="E539" s="10" t="s">
        <v>174</v>
      </c>
      <c r="F539" s="10" t="s">
        <v>1716</v>
      </c>
      <c r="G539" s="10" t="s">
        <v>2538</v>
      </c>
      <c r="H539" s="10" t="s">
        <v>2539</v>
      </c>
      <c r="I539" s="20">
        <v>312.89999999999998</v>
      </c>
      <c r="J539" s="10" t="s">
        <v>1280</v>
      </c>
      <c r="K539" s="11">
        <f>I539/50/25*300</f>
        <v>75.095999999999989</v>
      </c>
      <c r="L539" s="12">
        <v>0.35</v>
      </c>
      <c r="M539" s="13" t="s">
        <v>1704</v>
      </c>
      <c r="N539" s="13" t="s">
        <v>1705</v>
      </c>
    </row>
    <row r="540" spans="1:14" ht="67.5">
      <c r="A540" s="46" t="s">
        <v>1717</v>
      </c>
      <c r="B540" s="13" t="s">
        <v>1698</v>
      </c>
      <c r="C540" s="16" t="s">
        <v>1699</v>
      </c>
      <c r="D540" s="16" t="s">
        <v>1718</v>
      </c>
      <c r="E540" s="21" t="s">
        <v>532</v>
      </c>
      <c r="F540" s="21" t="s">
        <v>1719</v>
      </c>
      <c r="G540" s="10" t="s">
        <v>1720</v>
      </c>
      <c r="H540" s="10" t="s">
        <v>1721</v>
      </c>
      <c r="I540" s="11">
        <v>280.60000000000002</v>
      </c>
      <c r="J540" s="10" t="s">
        <v>1280</v>
      </c>
      <c r="K540" s="11">
        <f>(I540/50)/25*300</f>
        <v>67.344000000000008</v>
      </c>
      <c r="L540" s="12">
        <v>0.25</v>
      </c>
      <c r="M540" s="13" t="s">
        <v>1704</v>
      </c>
      <c r="N540" s="13" t="s">
        <v>1705</v>
      </c>
    </row>
    <row r="541" spans="1:14" ht="67.5">
      <c r="A541" s="46" t="s">
        <v>1722</v>
      </c>
      <c r="B541" s="13" t="s">
        <v>1698</v>
      </c>
      <c r="C541" s="16" t="s">
        <v>1699</v>
      </c>
      <c r="D541" s="16" t="s">
        <v>1718</v>
      </c>
      <c r="E541" s="21" t="s">
        <v>532</v>
      </c>
      <c r="F541" s="21" t="s">
        <v>1723</v>
      </c>
      <c r="G541" s="10" t="s">
        <v>1720</v>
      </c>
      <c r="H541" s="10" t="s">
        <v>1721</v>
      </c>
      <c r="I541" s="11">
        <v>968.3</v>
      </c>
      <c r="J541" s="10" t="s">
        <v>1280</v>
      </c>
      <c r="K541" s="11">
        <f>(I541/50)/100*300</f>
        <v>58.097999999999999</v>
      </c>
      <c r="L541" s="12">
        <v>0.2</v>
      </c>
      <c r="M541" s="13" t="s">
        <v>1704</v>
      </c>
      <c r="N541" s="13" t="s">
        <v>1705</v>
      </c>
    </row>
    <row r="542" spans="1:14" ht="67.5">
      <c r="A542" s="46" t="s">
        <v>1724</v>
      </c>
      <c r="B542" s="13" t="s">
        <v>1698</v>
      </c>
      <c r="C542" s="16" t="s">
        <v>1699</v>
      </c>
      <c r="D542" s="16" t="s">
        <v>1718</v>
      </c>
      <c r="E542" s="21" t="s">
        <v>532</v>
      </c>
      <c r="F542" s="21" t="s">
        <v>1725</v>
      </c>
      <c r="G542" s="10" t="s">
        <v>1720</v>
      </c>
      <c r="H542" s="10" t="s">
        <v>1721</v>
      </c>
      <c r="I542" s="11">
        <v>1936.6</v>
      </c>
      <c r="J542" s="10" t="s">
        <v>1280</v>
      </c>
      <c r="K542" s="11">
        <f>(I542/50)/200*300</f>
        <v>58.097999999999999</v>
      </c>
      <c r="L542" s="12">
        <v>0.2</v>
      </c>
      <c r="M542" s="13" t="s">
        <v>1704</v>
      </c>
      <c r="N542" s="13" t="s">
        <v>1705</v>
      </c>
    </row>
    <row r="543" spans="1:14" ht="33.75">
      <c r="A543" s="46" t="s">
        <v>1726</v>
      </c>
      <c r="B543" s="13" t="s">
        <v>1727</v>
      </c>
      <c r="C543" s="13" t="s">
        <v>1728</v>
      </c>
      <c r="D543" s="13" t="s">
        <v>1729</v>
      </c>
      <c r="E543" s="10" t="s">
        <v>133</v>
      </c>
      <c r="F543" s="10" t="s">
        <v>1730</v>
      </c>
      <c r="G543" s="10" t="s">
        <v>565</v>
      </c>
      <c r="H543" s="10" t="s">
        <v>25</v>
      </c>
      <c r="I543" s="20">
        <v>515.70000000000005</v>
      </c>
      <c r="J543" s="10" t="s">
        <v>1261</v>
      </c>
      <c r="K543" s="11">
        <f>I543/60/25*400</f>
        <v>137.52000000000001</v>
      </c>
      <c r="L543" s="12">
        <v>0.55000000000000004</v>
      </c>
      <c r="M543" s="13" t="s">
        <v>1731</v>
      </c>
      <c r="N543" s="13" t="s">
        <v>1732</v>
      </c>
    </row>
    <row r="544" spans="1:14" ht="33.75">
      <c r="A544" s="46" t="s">
        <v>1733</v>
      </c>
      <c r="B544" s="13" t="s">
        <v>1727</v>
      </c>
      <c r="C544" s="13" t="s">
        <v>1728</v>
      </c>
      <c r="D544" s="13" t="s">
        <v>1729</v>
      </c>
      <c r="E544" s="10" t="s">
        <v>133</v>
      </c>
      <c r="F544" s="10" t="s">
        <v>296</v>
      </c>
      <c r="G544" s="10" t="s">
        <v>565</v>
      </c>
      <c r="H544" s="10" t="s">
        <v>25</v>
      </c>
      <c r="I544" s="20">
        <v>898.7</v>
      </c>
      <c r="J544" s="10" t="s">
        <v>1261</v>
      </c>
      <c r="K544" s="11">
        <f>I544/60/100*400</f>
        <v>59.913333333333327</v>
      </c>
      <c r="L544" s="12">
        <v>0.55000000000000004</v>
      </c>
      <c r="M544" s="13" t="s">
        <v>1731</v>
      </c>
      <c r="N544" s="13" t="s">
        <v>1732</v>
      </c>
    </row>
    <row r="545" spans="1:14" ht="33.75">
      <c r="A545" s="46" t="s">
        <v>1734</v>
      </c>
      <c r="B545" s="13" t="s">
        <v>1727</v>
      </c>
      <c r="C545" s="13" t="s">
        <v>1728</v>
      </c>
      <c r="D545" s="13" t="s">
        <v>1729</v>
      </c>
      <c r="E545" s="10" t="s">
        <v>133</v>
      </c>
      <c r="F545" s="10" t="s">
        <v>298</v>
      </c>
      <c r="G545" s="10" t="s">
        <v>565</v>
      </c>
      <c r="H545" s="10" t="s">
        <v>25</v>
      </c>
      <c r="I545" s="20">
        <v>2004.8</v>
      </c>
      <c r="J545" s="10" t="s">
        <v>1261</v>
      </c>
      <c r="K545" s="11">
        <f>I545/60/200*400</f>
        <v>66.826666666666668</v>
      </c>
      <c r="L545" s="12">
        <v>0.55000000000000004</v>
      </c>
      <c r="M545" s="13" t="s">
        <v>1731</v>
      </c>
      <c r="N545" s="13" t="s">
        <v>1732</v>
      </c>
    </row>
    <row r="546" spans="1:14" ht="33.75">
      <c r="A546" s="46" t="s">
        <v>1735</v>
      </c>
      <c r="B546" s="13" t="s">
        <v>1727</v>
      </c>
      <c r="C546" s="13" t="s">
        <v>1728</v>
      </c>
      <c r="D546" s="13" t="s">
        <v>1736</v>
      </c>
      <c r="E546" s="10" t="s">
        <v>133</v>
      </c>
      <c r="F546" s="10" t="s">
        <v>1730</v>
      </c>
      <c r="G546" s="47" t="s">
        <v>248</v>
      </c>
      <c r="H546" s="47" t="s">
        <v>249</v>
      </c>
      <c r="I546" s="20">
        <v>574.1</v>
      </c>
      <c r="J546" s="10" t="s">
        <v>1261</v>
      </c>
      <c r="K546" s="11">
        <f>I546/60/25*400</f>
        <v>153.09333333333333</v>
      </c>
      <c r="L546" s="12">
        <v>0.65</v>
      </c>
      <c r="M546" s="92" t="s">
        <v>1737</v>
      </c>
      <c r="N546" s="92" t="s">
        <v>1738</v>
      </c>
    </row>
    <row r="547" spans="1:14" ht="33.75">
      <c r="A547" s="46" t="s">
        <v>1739</v>
      </c>
      <c r="B547" s="13" t="s">
        <v>1727</v>
      </c>
      <c r="C547" s="13" t="s">
        <v>1728</v>
      </c>
      <c r="D547" s="13" t="s">
        <v>1736</v>
      </c>
      <c r="E547" s="10" t="s">
        <v>133</v>
      </c>
      <c r="F547" s="10" t="s">
        <v>296</v>
      </c>
      <c r="G547" s="47" t="s">
        <v>248</v>
      </c>
      <c r="H547" s="47" t="s">
        <v>249</v>
      </c>
      <c r="I547" s="20">
        <v>1010</v>
      </c>
      <c r="J547" s="10" t="s">
        <v>1261</v>
      </c>
      <c r="K547" s="11">
        <f>I547/60/100*400</f>
        <v>67.333333333333329</v>
      </c>
      <c r="L547" s="12">
        <v>0.6</v>
      </c>
      <c r="M547" s="92" t="s">
        <v>1737</v>
      </c>
      <c r="N547" s="92" t="s">
        <v>1738</v>
      </c>
    </row>
    <row r="548" spans="1:14" ht="33.75">
      <c r="A548" s="46" t="s">
        <v>1740</v>
      </c>
      <c r="B548" s="13" t="s">
        <v>1727</v>
      </c>
      <c r="C548" s="13" t="s">
        <v>1728</v>
      </c>
      <c r="D548" s="13" t="s">
        <v>1736</v>
      </c>
      <c r="E548" s="10" t="s">
        <v>133</v>
      </c>
      <c r="F548" s="10" t="s">
        <v>298</v>
      </c>
      <c r="G548" s="47" t="s">
        <v>248</v>
      </c>
      <c r="H548" s="47" t="s">
        <v>249</v>
      </c>
      <c r="I548" s="20">
        <v>2004.8</v>
      </c>
      <c r="J548" s="10" t="s">
        <v>1261</v>
      </c>
      <c r="K548" s="11">
        <f>I548/60/200*400</f>
        <v>66.826666666666668</v>
      </c>
      <c r="L548" s="12">
        <v>0.55000000000000004</v>
      </c>
      <c r="M548" s="92" t="s">
        <v>1737</v>
      </c>
      <c r="N548" s="92" t="s">
        <v>1738</v>
      </c>
    </row>
    <row r="549" spans="1:14" ht="33.75">
      <c r="A549" s="46" t="s">
        <v>1741</v>
      </c>
      <c r="B549" s="13" t="s">
        <v>1727</v>
      </c>
      <c r="C549" s="13" t="s">
        <v>1728</v>
      </c>
      <c r="D549" s="13" t="s">
        <v>1742</v>
      </c>
      <c r="E549" s="10" t="s">
        <v>133</v>
      </c>
      <c r="F549" s="10" t="s">
        <v>296</v>
      </c>
      <c r="G549" s="21" t="s">
        <v>681</v>
      </c>
      <c r="H549" s="10" t="s">
        <v>366</v>
      </c>
      <c r="I549" s="20">
        <v>898.7</v>
      </c>
      <c r="J549" s="10" t="s">
        <v>1261</v>
      </c>
      <c r="K549" s="11">
        <f>I549/60/100*400</f>
        <v>59.913333333333327</v>
      </c>
      <c r="L549" s="12">
        <v>0.55000000000000004</v>
      </c>
      <c r="M549" s="92" t="s">
        <v>1737</v>
      </c>
      <c r="N549" s="92" t="s">
        <v>1738</v>
      </c>
    </row>
    <row r="550" spans="1:14" ht="45">
      <c r="A550" s="46" t="s">
        <v>1743</v>
      </c>
      <c r="B550" s="13" t="s">
        <v>1727</v>
      </c>
      <c r="C550" s="13" t="s">
        <v>1728</v>
      </c>
      <c r="D550" s="13" t="s">
        <v>1744</v>
      </c>
      <c r="E550" s="10" t="s">
        <v>118</v>
      </c>
      <c r="F550" s="10" t="s">
        <v>291</v>
      </c>
      <c r="G550" s="10" t="s">
        <v>1745</v>
      </c>
      <c r="H550" s="10" t="s">
        <v>1746</v>
      </c>
      <c r="I550" s="32">
        <v>743.5</v>
      </c>
      <c r="J550" s="10" t="s">
        <v>1261</v>
      </c>
      <c r="K550" s="32">
        <f>I550/60/50*400</f>
        <v>99.13333333333334</v>
      </c>
      <c r="L550" s="12">
        <v>0.7</v>
      </c>
      <c r="M550" s="92" t="s">
        <v>1737</v>
      </c>
      <c r="N550" s="92" t="s">
        <v>1738</v>
      </c>
    </row>
    <row r="551" spans="1:14" ht="45">
      <c r="A551" s="46" t="s">
        <v>1747</v>
      </c>
      <c r="B551" s="13" t="s">
        <v>1727</v>
      </c>
      <c r="C551" s="13" t="s">
        <v>1728</v>
      </c>
      <c r="D551" s="13" t="s">
        <v>1744</v>
      </c>
      <c r="E551" s="10" t="s">
        <v>118</v>
      </c>
      <c r="F551" s="10" t="s">
        <v>1748</v>
      </c>
      <c r="G551" s="10" t="s">
        <v>1745</v>
      </c>
      <c r="H551" s="10" t="s">
        <v>1746</v>
      </c>
      <c r="I551" s="20">
        <v>1184.5999999999999</v>
      </c>
      <c r="J551" s="10" t="s">
        <v>1261</v>
      </c>
      <c r="K551" s="32">
        <f>I551/60/150*400</f>
        <v>52.648888888888891</v>
      </c>
      <c r="L551" s="12">
        <v>0.4</v>
      </c>
      <c r="M551" s="92" t="s">
        <v>1737</v>
      </c>
      <c r="N551" s="92" t="s">
        <v>1738</v>
      </c>
    </row>
    <row r="552" spans="1:14" ht="45">
      <c r="A552" s="46" t="s">
        <v>1749</v>
      </c>
      <c r="B552" s="13" t="s">
        <v>1727</v>
      </c>
      <c r="C552" s="13" t="s">
        <v>1728</v>
      </c>
      <c r="D552" s="13" t="s">
        <v>1744</v>
      </c>
      <c r="E552" s="10" t="s">
        <v>118</v>
      </c>
      <c r="F552" s="10" t="s">
        <v>298</v>
      </c>
      <c r="G552" s="10" t="s">
        <v>1745</v>
      </c>
      <c r="H552" s="10" t="s">
        <v>1746</v>
      </c>
      <c r="I552" s="20">
        <v>1577.2</v>
      </c>
      <c r="J552" s="10" t="s">
        <v>1261</v>
      </c>
      <c r="K552" s="11">
        <f>I552/60/200*400</f>
        <v>52.573333333333338</v>
      </c>
      <c r="L552" s="12">
        <v>0.55000000000000004</v>
      </c>
      <c r="M552" s="92" t="s">
        <v>1737</v>
      </c>
      <c r="N552" s="92" t="s">
        <v>1738</v>
      </c>
    </row>
    <row r="553" spans="1:14" ht="45">
      <c r="A553" s="46" t="s">
        <v>1750</v>
      </c>
      <c r="B553" s="13" t="s">
        <v>1727</v>
      </c>
      <c r="C553" s="13" t="s">
        <v>1728</v>
      </c>
      <c r="D553" s="13" t="s">
        <v>1744</v>
      </c>
      <c r="E553" s="10" t="s">
        <v>118</v>
      </c>
      <c r="F553" s="10" t="s">
        <v>1751</v>
      </c>
      <c r="G553" s="10" t="s">
        <v>1745</v>
      </c>
      <c r="H553" s="10" t="s">
        <v>1746</v>
      </c>
      <c r="I553" s="20">
        <v>2019.4</v>
      </c>
      <c r="J553" s="10" t="s">
        <v>1261</v>
      </c>
      <c r="K553" s="11">
        <f>I553/60/300*400</f>
        <v>44.875555555555557</v>
      </c>
      <c r="L553" s="12">
        <v>0.65</v>
      </c>
      <c r="M553" s="92" t="s">
        <v>1737</v>
      </c>
      <c r="N553" s="92" t="s">
        <v>1738</v>
      </c>
    </row>
    <row r="554" spans="1:14" ht="33.75">
      <c r="A554" s="46" t="s">
        <v>1752</v>
      </c>
      <c r="B554" s="13" t="s">
        <v>1727</v>
      </c>
      <c r="C554" s="16" t="s">
        <v>1728</v>
      </c>
      <c r="D554" s="16" t="s">
        <v>1753</v>
      </c>
      <c r="E554" s="21" t="s">
        <v>118</v>
      </c>
      <c r="F554" s="21" t="s">
        <v>291</v>
      </c>
      <c r="G554" s="21" t="s">
        <v>1754</v>
      </c>
      <c r="H554" s="21" t="s">
        <v>82</v>
      </c>
      <c r="I554" s="20">
        <v>743.5</v>
      </c>
      <c r="J554" s="11" t="s">
        <v>1261</v>
      </c>
      <c r="K554" s="32">
        <f>I554/60/50*400</f>
        <v>99.13333333333334</v>
      </c>
      <c r="L554" s="12">
        <v>0.7</v>
      </c>
      <c r="M554" s="92" t="s">
        <v>1737</v>
      </c>
      <c r="N554" s="92" t="s">
        <v>1738</v>
      </c>
    </row>
    <row r="555" spans="1:14" ht="33.75">
      <c r="A555" s="46" t="s">
        <v>1755</v>
      </c>
      <c r="B555" s="13" t="s">
        <v>1727</v>
      </c>
      <c r="C555" s="16" t="s">
        <v>1728</v>
      </c>
      <c r="D555" s="16" t="s">
        <v>1753</v>
      </c>
      <c r="E555" s="21" t="s">
        <v>118</v>
      </c>
      <c r="F555" s="21" t="s">
        <v>298</v>
      </c>
      <c r="G555" s="21" t="s">
        <v>1754</v>
      </c>
      <c r="H555" s="21" t="s">
        <v>82</v>
      </c>
      <c r="I555" s="20">
        <v>1577.2</v>
      </c>
      <c r="J555" s="11" t="s">
        <v>1261</v>
      </c>
      <c r="K555" s="11">
        <f>I555/60/200*400</f>
        <v>52.573333333333338</v>
      </c>
      <c r="L555" s="12">
        <v>0.55000000000000004</v>
      </c>
      <c r="M555" s="92" t="s">
        <v>1737</v>
      </c>
      <c r="N555" s="92" t="s">
        <v>1738</v>
      </c>
    </row>
    <row r="556" spans="1:14" ht="33.75">
      <c r="A556" s="46" t="s">
        <v>1756</v>
      </c>
      <c r="B556" s="13" t="s">
        <v>1727</v>
      </c>
      <c r="C556" s="16" t="s">
        <v>1728</v>
      </c>
      <c r="D556" s="16" t="s">
        <v>1753</v>
      </c>
      <c r="E556" s="21" t="s">
        <v>118</v>
      </c>
      <c r="F556" s="21" t="s">
        <v>1751</v>
      </c>
      <c r="G556" s="21" t="s">
        <v>1754</v>
      </c>
      <c r="H556" s="21" t="s">
        <v>82</v>
      </c>
      <c r="I556" s="20">
        <v>2019.4</v>
      </c>
      <c r="J556" s="11" t="s">
        <v>1261</v>
      </c>
      <c r="K556" s="11">
        <f>(I556/60)/300*400</f>
        <v>44.875555555555557</v>
      </c>
      <c r="L556" s="12">
        <v>0.65</v>
      </c>
      <c r="M556" s="92" t="s">
        <v>1737</v>
      </c>
      <c r="N556" s="92" t="s">
        <v>1738</v>
      </c>
    </row>
    <row r="557" spans="1:14" ht="33.75">
      <c r="A557" s="46" t="s">
        <v>1757</v>
      </c>
      <c r="B557" s="13" t="s">
        <v>1727</v>
      </c>
      <c r="C557" s="16" t="s">
        <v>1728</v>
      </c>
      <c r="D557" s="16" t="s">
        <v>1753</v>
      </c>
      <c r="E557" s="21" t="s">
        <v>118</v>
      </c>
      <c r="F557" s="21" t="s">
        <v>1758</v>
      </c>
      <c r="G557" s="21" t="s">
        <v>1754</v>
      </c>
      <c r="H557" s="21" t="s">
        <v>82</v>
      </c>
      <c r="I557" s="20">
        <v>2692.5</v>
      </c>
      <c r="J557" s="11" t="s">
        <v>1261</v>
      </c>
      <c r="K557" s="37">
        <f>(I557/60)/400*400</f>
        <v>44.875</v>
      </c>
      <c r="L557" s="12">
        <v>0.65</v>
      </c>
      <c r="M557" s="92" t="s">
        <v>1737</v>
      </c>
      <c r="N557" s="92" t="s">
        <v>1738</v>
      </c>
    </row>
    <row r="558" spans="1:14" ht="33.75">
      <c r="A558" s="46" t="s">
        <v>1759</v>
      </c>
      <c r="B558" s="13" t="s">
        <v>1727</v>
      </c>
      <c r="C558" s="8" t="s">
        <v>1728</v>
      </c>
      <c r="D558" s="13" t="s">
        <v>1760</v>
      </c>
      <c r="E558" s="10" t="s">
        <v>133</v>
      </c>
      <c r="F558" s="10" t="s">
        <v>1730</v>
      </c>
      <c r="G558" s="10" t="s">
        <v>1761</v>
      </c>
      <c r="H558" s="10" t="s">
        <v>1172</v>
      </c>
      <c r="I558" s="20">
        <v>515.70000000000005</v>
      </c>
      <c r="J558" s="10" t="s">
        <v>1261</v>
      </c>
      <c r="K558" s="11">
        <f>I558/60/25*400</f>
        <v>137.52000000000001</v>
      </c>
      <c r="L558" s="12">
        <v>0.55000000000000004</v>
      </c>
      <c r="M558" s="13" t="s">
        <v>1731</v>
      </c>
      <c r="N558" s="13" t="s">
        <v>1732</v>
      </c>
    </row>
    <row r="559" spans="1:14" ht="33.75">
      <c r="A559" s="46" t="s">
        <v>1762</v>
      </c>
      <c r="B559" s="13" t="s">
        <v>1727</v>
      </c>
      <c r="C559" s="8" t="s">
        <v>1728</v>
      </c>
      <c r="D559" s="13" t="s">
        <v>1760</v>
      </c>
      <c r="E559" s="10" t="s">
        <v>133</v>
      </c>
      <c r="F559" s="10" t="s">
        <v>296</v>
      </c>
      <c r="G559" s="10" t="s">
        <v>1761</v>
      </c>
      <c r="H559" s="10" t="s">
        <v>1172</v>
      </c>
      <c r="I559" s="20">
        <v>898.7</v>
      </c>
      <c r="J559" s="10" t="s">
        <v>1261</v>
      </c>
      <c r="K559" s="11">
        <f>I559/60/100*400</f>
        <v>59.913333333333327</v>
      </c>
      <c r="L559" s="12">
        <v>0.55000000000000004</v>
      </c>
      <c r="M559" s="13" t="s">
        <v>1731</v>
      </c>
      <c r="N559" s="13" t="s">
        <v>1732</v>
      </c>
    </row>
    <row r="560" spans="1:14" ht="33.75">
      <c r="A560" s="46" t="s">
        <v>1763</v>
      </c>
      <c r="B560" s="13" t="s">
        <v>1727</v>
      </c>
      <c r="C560" s="8" t="s">
        <v>1728</v>
      </c>
      <c r="D560" s="13" t="s">
        <v>1760</v>
      </c>
      <c r="E560" s="10" t="s">
        <v>133</v>
      </c>
      <c r="F560" s="10" t="s">
        <v>298</v>
      </c>
      <c r="G560" s="10" t="s">
        <v>1761</v>
      </c>
      <c r="H560" s="10" t="s">
        <v>1172</v>
      </c>
      <c r="I560" s="20">
        <v>2004.8</v>
      </c>
      <c r="J560" s="10" t="s">
        <v>1261</v>
      </c>
      <c r="K560" s="11">
        <f>I560/60/200*400</f>
        <v>66.826666666666668</v>
      </c>
      <c r="L560" s="12">
        <v>0.55000000000000004</v>
      </c>
      <c r="M560" s="13" t="s">
        <v>1731</v>
      </c>
      <c r="N560" s="13" t="s">
        <v>1732</v>
      </c>
    </row>
    <row r="561" spans="1:14" ht="56.25">
      <c r="A561" s="13" t="s">
        <v>1764</v>
      </c>
      <c r="B561" s="13" t="s">
        <v>1765</v>
      </c>
      <c r="C561" s="13" t="s">
        <v>1766</v>
      </c>
      <c r="D561" s="13" t="s">
        <v>1767</v>
      </c>
      <c r="E561" s="10" t="s">
        <v>1768</v>
      </c>
      <c r="F561" s="10" t="s">
        <v>1769</v>
      </c>
      <c r="G561" s="10" t="s">
        <v>1475</v>
      </c>
      <c r="H561" s="10" t="s">
        <v>1003</v>
      </c>
      <c r="I561" s="114">
        <v>1174</v>
      </c>
      <c r="J561" s="95" t="s">
        <v>232</v>
      </c>
      <c r="K561" s="114">
        <f>I561/100*5</f>
        <v>58.7</v>
      </c>
      <c r="L561" s="12">
        <v>0.25</v>
      </c>
      <c r="M561" s="13" t="s">
        <v>1770</v>
      </c>
      <c r="N561" s="13" t="s">
        <v>1771</v>
      </c>
    </row>
    <row r="562" spans="1:14" ht="22.5">
      <c r="A562" s="46" t="s">
        <v>1772</v>
      </c>
      <c r="B562" s="46" t="s">
        <v>1773</v>
      </c>
      <c r="C562" s="46" t="s">
        <v>1774</v>
      </c>
      <c r="D562" s="46" t="s">
        <v>1775</v>
      </c>
      <c r="E562" s="61" t="s">
        <v>274</v>
      </c>
      <c r="F562" s="95" t="s">
        <v>1776</v>
      </c>
      <c r="G562" s="95" t="s">
        <v>612</v>
      </c>
      <c r="H562" s="95" t="s">
        <v>330</v>
      </c>
      <c r="I562" s="114">
        <v>4672.5</v>
      </c>
      <c r="J562" s="95" t="s">
        <v>1777</v>
      </c>
      <c r="K562" s="114">
        <f>I562/28/1.5*3</f>
        <v>333.75</v>
      </c>
      <c r="L562" s="96">
        <v>0.3</v>
      </c>
      <c r="M562" s="97" t="s">
        <v>1778</v>
      </c>
      <c r="N562" s="97" t="s">
        <v>1738</v>
      </c>
    </row>
    <row r="563" spans="1:14" ht="22.5">
      <c r="A563" s="46" t="s">
        <v>1779</v>
      </c>
      <c r="B563" s="46" t="s">
        <v>1773</v>
      </c>
      <c r="C563" s="46" t="s">
        <v>1774</v>
      </c>
      <c r="D563" s="46" t="s">
        <v>1775</v>
      </c>
      <c r="E563" s="61" t="s">
        <v>274</v>
      </c>
      <c r="F563" s="95" t="s">
        <v>1780</v>
      </c>
      <c r="G563" s="95" t="s">
        <v>612</v>
      </c>
      <c r="H563" s="95" t="s">
        <v>330</v>
      </c>
      <c r="I563" s="114">
        <v>4672.5</v>
      </c>
      <c r="J563" s="95" t="s">
        <v>1777</v>
      </c>
      <c r="K563" s="114">
        <f>I563/28/3*3</f>
        <v>166.875</v>
      </c>
      <c r="L563" s="96">
        <v>0.3</v>
      </c>
      <c r="M563" s="97" t="s">
        <v>1778</v>
      </c>
      <c r="N563" s="97" t="s">
        <v>1738</v>
      </c>
    </row>
    <row r="564" spans="1:14" ht="22.5">
      <c r="A564" s="46" t="s">
        <v>1781</v>
      </c>
      <c r="B564" s="46" t="s">
        <v>1773</v>
      </c>
      <c r="C564" s="46" t="s">
        <v>1774</v>
      </c>
      <c r="D564" s="46" t="s">
        <v>1775</v>
      </c>
      <c r="E564" s="61" t="s">
        <v>274</v>
      </c>
      <c r="F564" s="95" t="s">
        <v>1782</v>
      </c>
      <c r="G564" s="95" t="s">
        <v>612</v>
      </c>
      <c r="H564" s="95" t="s">
        <v>330</v>
      </c>
      <c r="I564" s="114">
        <v>4672.5</v>
      </c>
      <c r="J564" s="95" t="s">
        <v>1777</v>
      </c>
      <c r="K564" s="114">
        <f>I564/28/4.5*3</f>
        <v>111.25</v>
      </c>
      <c r="L564" s="96">
        <v>0.3</v>
      </c>
      <c r="M564" s="97" t="s">
        <v>1778</v>
      </c>
      <c r="N564" s="97" t="s">
        <v>1738</v>
      </c>
    </row>
    <row r="565" spans="1:14" ht="22.5">
      <c r="A565" s="46" t="s">
        <v>1783</v>
      </c>
      <c r="B565" s="46" t="s">
        <v>1773</v>
      </c>
      <c r="C565" s="46" t="s">
        <v>1774</v>
      </c>
      <c r="D565" s="46" t="s">
        <v>1775</v>
      </c>
      <c r="E565" s="61" t="s">
        <v>274</v>
      </c>
      <c r="F565" s="95" t="s">
        <v>1784</v>
      </c>
      <c r="G565" s="95" t="s">
        <v>612</v>
      </c>
      <c r="H565" s="95" t="s">
        <v>330</v>
      </c>
      <c r="I565" s="114">
        <v>4672.5</v>
      </c>
      <c r="J565" s="95" t="s">
        <v>1777</v>
      </c>
      <c r="K565" s="114">
        <f>I565/28/6*3</f>
        <v>83.4375</v>
      </c>
      <c r="L565" s="96">
        <v>0.3</v>
      </c>
      <c r="M565" s="97" t="s">
        <v>1778</v>
      </c>
      <c r="N565" s="97" t="s">
        <v>1738</v>
      </c>
    </row>
    <row r="566" spans="1:14" ht="45">
      <c r="A566" s="13" t="s">
        <v>1785</v>
      </c>
      <c r="B566" s="13" t="s">
        <v>1786</v>
      </c>
      <c r="C566" s="13" t="s">
        <v>1787</v>
      </c>
      <c r="D566" s="13" t="s">
        <v>1788</v>
      </c>
      <c r="E566" s="10" t="s">
        <v>174</v>
      </c>
      <c r="F566" s="10" t="s">
        <v>1789</v>
      </c>
      <c r="G566" s="10" t="s">
        <v>256</v>
      </c>
      <c r="H566" s="10" t="s">
        <v>21</v>
      </c>
      <c r="I566" s="20">
        <v>135</v>
      </c>
      <c r="J566" s="10" t="s">
        <v>306</v>
      </c>
      <c r="K566" s="11">
        <f>I566/30/1*2.5</f>
        <v>11.25</v>
      </c>
      <c r="L566" s="1">
        <v>0.9</v>
      </c>
      <c r="M566" s="13"/>
      <c r="N566" s="13" t="s">
        <v>1790</v>
      </c>
    </row>
    <row r="567" spans="1:14" ht="45">
      <c r="A567" s="13" t="s">
        <v>1791</v>
      </c>
      <c r="B567" s="13" t="s">
        <v>1786</v>
      </c>
      <c r="C567" s="13" t="s">
        <v>1787</v>
      </c>
      <c r="D567" s="13" t="s">
        <v>1788</v>
      </c>
      <c r="E567" s="10" t="s">
        <v>174</v>
      </c>
      <c r="F567" s="10" t="s">
        <v>1792</v>
      </c>
      <c r="G567" s="10" t="s">
        <v>256</v>
      </c>
      <c r="H567" s="10" t="s">
        <v>21</v>
      </c>
      <c r="I567" s="20">
        <v>160.69999999999999</v>
      </c>
      <c r="J567" s="10" t="s">
        <v>306</v>
      </c>
      <c r="K567" s="11">
        <f>I567/20/2.5*2.5</f>
        <v>8.0350000000000001</v>
      </c>
      <c r="L567" s="1">
        <v>0.9</v>
      </c>
      <c r="M567" s="13"/>
      <c r="N567" s="13" t="s">
        <v>1790</v>
      </c>
    </row>
    <row r="568" spans="1:14" ht="45">
      <c r="A568" s="46" t="s">
        <v>1793</v>
      </c>
      <c r="B568" s="13" t="s">
        <v>1786</v>
      </c>
      <c r="C568" s="13" t="s">
        <v>1787</v>
      </c>
      <c r="D568" s="16" t="s">
        <v>1794</v>
      </c>
      <c r="E568" s="21" t="s">
        <v>174</v>
      </c>
      <c r="F568" s="21" t="s">
        <v>358</v>
      </c>
      <c r="G568" s="10" t="s">
        <v>681</v>
      </c>
      <c r="H568" s="10" t="s">
        <v>366</v>
      </c>
      <c r="I568" s="11">
        <v>135</v>
      </c>
      <c r="J568" s="10" t="s">
        <v>306</v>
      </c>
      <c r="K568" s="11">
        <f>I568/30/1*2.5</f>
        <v>11.25</v>
      </c>
      <c r="L568" s="3">
        <v>0.9</v>
      </c>
      <c r="M568" s="13"/>
      <c r="N568" s="13" t="s">
        <v>1790</v>
      </c>
    </row>
    <row r="569" spans="1:14" ht="45">
      <c r="A569" s="46" t="s">
        <v>1795</v>
      </c>
      <c r="B569" s="13" t="s">
        <v>1786</v>
      </c>
      <c r="C569" s="13" t="s">
        <v>1787</v>
      </c>
      <c r="D569" s="16" t="s">
        <v>1794</v>
      </c>
      <c r="E569" s="21" t="s">
        <v>174</v>
      </c>
      <c r="F569" s="21" t="s">
        <v>1796</v>
      </c>
      <c r="G569" s="10" t="s">
        <v>681</v>
      </c>
      <c r="H569" s="10" t="s">
        <v>366</v>
      </c>
      <c r="I569" s="11">
        <v>160.69999999999999</v>
      </c>
      <c r="J569" s="10" t="s">
        <v>306</v>
      </c>
      <c r="K569" s="11">
        <f>I569/20/2.5*2.5</f>
        <v>8.0350000000000001</v>
      </c>
      <c r="L569" s="3">
        <v>0.9</v>
      </c>
      <c r="M569" s="13"/>
      <c r="N569" s="13" t="s">
        <v>1790</v>
      </c>
    </row>
    <row r="570" spans="1:14" ht="45">
      <c r="A570" s="13" t="s">
        <v>1797</v>
      </c>
      <c r="B570" s="13" t="s">
        <v>1798</v>
      </c>
      <c r="C570" s="13" t="s">
        <v>1799</v>
      </c>
      <c r="D570" s="13" t="s">
        <v>1800</v>
      </c>
      <c r="E570" s="10" t="s">
        <v>174</v>
      </c>
      <c r="F570" s="10" t="s">
        <v>374</v>
      </c>
      <c r="G570" s="10" t="s">
        <v>256</v>
      </c>
      <c r="H570" s="10" t="s">
        <v>21</v>
      </c>
      <c r="I570" s="20">
        <v>84.7</v>
      </c>
      <c r="J570" s="10" t="s">
        <v>331</v>
      </c>
      <c r="K570" s="11">
        <f>I570/30/1.5*10</f>
        <v>18.822222222222223</v>
      </c>
      <c r="L570" s="1">
        <v>0.9</v>
      </c>
      <c r="M570" s="13"/>
      <c r="N570" s="13" t="s">
        <v>1790</v>
      </c>
    </row>
    <row r="571" spans="1:14" ht="45">
      <c r="A571" s="13" t="s">
        <v>1801</v>
      </c>
      <c r="B571" s="13" t="s">
        <v>1798</v>
      </c>
      <c r="C571" s="13" t="s">
        <v>1799</v>
      </c>
      <c r="D571" s="13" t="s">
        <v>1800</v>
      </c>
      <c r="E571" s="10" t="s">
        <v>174</v>
      </c>
      <c r="F571" s="10" t="s">
        <v>1802</v>
      </c>
      <c r="G571" s="10" t="s">
        <v>256</v>
      </c>
      <c r="H571" s="10" t="s">
        <v>21</v>
      </c>
      <c r="I571" s="20">
        <v>113.4</v>
      </c>
      <c r="J571" s="10" t="s">
        <v>331</v>
      </c>
      <c r="K571" s="11">
        <f>I571/30/3*10</f>
        <v>12.6</v>
      </c>
      <c r="L571" s="1">
        <v>0.9</v>
      </c>
      <c r="M571" s="13"/>
      <c r="N571" s="13" t="s">
        <v>1790</v>
      </c>
    </row>
    <row r="572" spans="1:14" ht="45">
      <c r="A572" s="13" t="s">
        <v>1803</v>
      </c>
      <c r="B572" s="13" t="s">
        <v>1798</v>
      </c>
      <c r="C572" s="13" t="s">
        <v>1799</v>
      </c>
      <c r="D572" s="13" t="s">
        <v>1800</v>
      </c>
      <c r="E572" s="10" t="s">
        <v>174</v>
      </c>
      <c r="F572" s="10" t="s">
        <v>1804</v>
      </c>
      <c r="G572" s="10" t="s">
        <v>256</v>
      </c>
      <c r="H572" s="10" t="s">
        <v>21</v>
      </c>
      <c r="I572" s="20">
        <v>103.8</v>
      </c>
      <c r="J572" s="10" t="s">
        <v>331</v>
      </c>
      <c r="K572" s="11">
        <f>I572/20/6*10</f>
        <v>8.6499999999999986</v>
      </c>
      <c r="L572" s="1">
        <v>0.9</v>
      </c>
      <c r="M572" s="13"/>
      <c r="N572" s="13" t="s">
        <v>1790</v>
      </c>
    </row>
    <row r="573" spans="1:14" ht="45">
      <c r="A573" s="46" t="s">
        <v>1805</v>
      </c>
      <c r="B573" s="13" t="s">
        <v>1798</v>
      </c>
      <c r="C573" s="13" t="s">
        <v>1799</v>
      </c>
      <c r="D573" s="13" t="s">
        <v>1806</v>
      </c>
      <c r="E573" s="10" t="s">
        <v>174</v>
      </c>
      <c r="F573" s="10" t="s">
        <v>374</v>
      </c>
      <c r="G573" s="10" t="s">
        <v>1807</v>
      </c>
      <c r="H573" s="10" t="s">
        <v>277</v>
      </c>
      <c r="I573" s="20">
        <v>84.7</v>
      </c>
      <c r="J573" s="10" t="s">
        <v>331</v>
      </c>
      <c r="K573" s="11">
        <f>I573/30/1.5*10</f>
        <v>18.822222222222223</v>
      </c>
      <c r="L573" s="1">
        <v>0.9</v>
      </c>
      <c r="M573" s="13"/>
      <c r="N573" s="13" t="s">
        <v>1790</v>
      </c>
    </row>
    <row r="574" spans="1:14" ht="45">
      <c r="A574" s="46" t="s">
        <v>1808</v>
      </c>
      <c r="B574" s="13" t="s">
        <v>1798</v>
      </c>
      <c r="C574" s="13" t="s">
        <v>1799</v>
      </c>
      <c r="D574" s="13" t="s">
        <v>1806</v>
      </c>
      <c r="E574" s="10" t="s">
        <v>174</v>
      </c>
      <c r="F574" s="10" t="s">
        <v>1802</v>
      </c>
      <c r="G574" s="10" t="s">
        <v>1807</v>
      </c>
      <c r="H574" s="10" t="s">
        <v>277</v>
      </c>
      <c r="I574" s="20">
        <v>113.4</v>
      </c>
      <c r="J574" s="10" t="s">
        <v>331</v>
      </c>
      <c r="K574" s="11">
        <f>I574/30/3*10</f>
        <v>12.6</v>
      </c>
      <c r="L574" s="1">
        <v>0.9</v>
      </c>
      <c r="M574" s="13"/>
      <c r="N574" s="13" t="s">
        <v>1790</v>
      </c>
    </row>
    <row r="575" spans="1:14" ht="45">
      <c r="A575" s="46" t="s">
        <v>1809</v>
      </c>
      <c r="B575" s="13" t="s">
        <v>1798</v>
      </c>
      <c r="C575" s="13" t="s">
        <v>1799</v>
      </c>
      <c r="D575" s="13" t="s">
        <v>1810</v>
      </c>
      <c r="E575" s="10" t="s">
        <v>174</v>
      </c>
      <c r="F575" s="10" t="s">
        <v>374</v>
      </c>
      <c r="G575" s="10" t="s">
        <v>377</v>
      </c>
      <c r="H575" s="10" t="s">
        <v>25</v>
      </c>
      <c r="I575" s="20">
        <v>70.400000000000006</v>
      </c>
      <c r="J575" s="10" t="s">
        <v>331</v>
      </c>
      <c r="K575" s="11">
        <f>I575/30/1.5*10</f>
        <v>15.644444444444446</v>
      </c>
      <c r="L575" s="1">
        <v>0.9</v>
      </c>
      <c r="M575" s="68"/>
      <c r="N575" s="13" t="s">
        <v>1790</v>
      </c>
    </row>
    <row r="576" spans="1:14" ht="45">
      <c r="A576" s="46" t="s">
        <v>1811</v>
      </c>
      <c r="B576" s="13" t="s">
        <v>1798</v>
      </c>
      <c r="C576" s="13" t="s">
        <v>1799</v>
      </c>
      <c r="D576" s="13" t="s">
        <v>1810</v>
      </c>
      <c r="E576" s="10" t="s">
        <v>174</v>
      </c>
      <c r="F576" s="10" t="s">
        <v>1802</v>
      </c>
      <c r="G576" s="10" t="s">
        <v>377</v>
      </c>
      <c r="H576" s="10" t="s">
        <v>25</v>
      </c>
      <c r="I576" s="20">
        <v>94.2</v>
      </c>
      <c r="J576" s="10" t="s">
        <v>331</v>
      </c>
      <c r="K576" s="11">
        <f>I576/30/3*10</f>
        <v>10.466666666666667</v>
      </c>
      <c r="L576" s="1">
        <v>0.9</v>
      </c>
      <c r="M576" s="68"/>
      <c r="N576" s="13" t="s">
        <v>1790</v>
      </c>
    </row>
    <row r="577" spans="1:14" ht="45">
      <c r="A577" s="46" t="s">
        <v>1812</v>
      </c>
      <c r="B577" s="13" t="s">
        <v>1798</v>
      </c>
      <c r="C577" s="13" t="s">
        <v>1799</v>
      </c>
      <c r="D577" s="13" t="s">
        <v>1810</v>
      </c>
      <c r="E577" s="10" t="s">
        <v>174</v>
      </c>
      <c r="F577" s="10" t="s">
        <v>1813</v>
      </c>
      <c r="G577" s="10" t="s">
        <v>377</v>
      </c>
      <c r="H577" s="10" t="s">
        <v>25</v>
      </c>
      <c r="I577" s="20">
        <v>129.30000000000001</v>
      </c>
      <c r="J577" s="10" t="s">
        <v>331</v>
      </c>
      <c r="K577" s="11">
        <f>I577/30/6*10</f>
        <v>7.1833333333333336</v>
      </c>
      <c r="L577" s="1">
        <v>0.9</v>
      </c>
      <c r="M577" s="68"/>
      <c r="N577" s="13" t="s">
        <v>1790</v>
      </c>
    </row>
    <row r="578" spans="1:14" ht="45">
      <c r="A578" s="13" t="s">
        <v>1814</v>
      </c>
      <c r="B578" s="13" t="s">
        <v>1815</v>
      </c>
      <c r="C578" s="13" t="s">
        <v>1816</v>
      </c>
      <c r="D578" s="13" t="s">
        <v>1817</v>
      </c>
      <c r="E578" s="10" t="s">
        <v>174</v>
      </c>
      <c r="F578" s="10" t="s">
        <v>1818</v>
      </c>
      <c r="G578" s="10" t="s">
        <v>252</v>
      </c>
      <c r="H578" s="10" t="s">
        <v>21</v>
      </c>
      <c r="I578" s="11">
        <v>204.8</v>
      </c>
      <c r="J578" s="10" t="s">
        <v>1819</v>
      </c>
      <c r="K578" s="11">
        <f>I578/30/1*1</f>
        <v>6.8266666666666671</v>
      </c>
      <c r="L578" s="1">
        <v>0.9</v>
      </c>
      <c r="M578" s="13"/>
      <c r="N578" s="13" t="s">
        <v>1790</v>
      </c>
    </row>
    <row r="579" spans="1:14" ht="45">
      <c r="A579" s="46" t="s">
        <v>1820</v>
      </c>
      <c r="B579" s="13" t="s">
        <v>1815</v>
      </c>
      <c r="C579" s="13" t="s">
        <v>1816</v>
      </c>
      <c r="D579" s="13" t="s">
        <v>1821</v>
      </c>
      <c r="E579" s="10" t="s">
        <v>174</v>
      </c>
      <c r="F579" s="10" t="s">
        <v>1822</v>
      </c>
      <c r="G579" s="10" t="s">
        <v>1823</v>
      </c>
      <c r="H579" s="10" t="s">
        <v>1824</v>
      </c>
      <c r="I579" s="20">
        <v>49.6</v>
      </c>
      <c r="J579" s="11" t="s">
        <v>359</v>
      </c>
      <c r="K579" s="11">
        <f>I579/30/0.25*1</f>
        <v>6.6133333333333333</v>
      </c>
      <c r="L579" s="1">
        <v>0.9</v>
      </c>
      <c r="M579" s="13"/>
      <c r="N579" s="13" t="s">
        <v>1790</v>
      </c>
    </row>
    <row r="580" spans="1:14" ht="45">
      <c r="A580" s="46" t="s">
        <v>1825</v>
      </c>
      <c r="B580" s="13" t="s">
        <v>1815</v>
      </c>
      <c r="C580" s="13" t="s">
        <v>1816</v>
      </c>
      <c r="D580" s="13" t="s">
        <v>1821</v>
      </c>
      <c r="E580" s="10" t="s">
        <v>174</v>
      </c>
      <c r="F580" s="10" t="s">
        <v>1163</v>
      </c>
      <c r="G580" s="10" t="s">
        <v>1823</v>
      </c>
      <c r="H580" s="10" t="s">
        <v>1824</v>
      </c>
      <c r="I580" s="20">
        <v>81.099999999999994</v>
      </c>
      <c r="J580" s="11" t="s">
        <v>359</v>
      </c>
      <c r="K580" s="11">
        <f>I580/30/0.5*1</f>
        <v>5.4066666666666663</v>
      </c>
      <c r="L580" s="1">
        <v>0.9</v>
      </c>
      <c r="M580" s="13"/>
      <c r="N580" s="13" t="s">
        <v>1790</v>
      </c>
    </row>
    <row r="581" spans="1:14" ht="45">
      <c r="A581" s="46" t="s">
        <v>1826</v>
      </c>
      <c r="B581" s="13" t="s">
        <v>1815</v>
      </c>
      <c r="C581" s="13" t="s">
        <v>1816</v>
      </c>
      <c r="D581" s="13" t="s">
        <v>1821</v>
      </c>
      <c r="E581" s="10" t="s">
        <v>174</v>
      </c>
      <c r="F581" s="10" t="s">
        <v>358</v>
      </c>
      <c r="G581" s="10" t="s">
        <v>1823</v>
      </c>
      <c r="H581" s="10" t="s">
        <v>1824</v>
      </c>
      <c r="I581" s="20">
        <v>164.6</v>
      </c>
      <c r="J581" s="11" t="s">
        <v>359</v>
      </c>
      <c r="K581" s="11">
        <f>I581/30/1*1</f>
        <v>5.4866666666666664</v>
      </c>
      <c r="L581" s="1">
        <v>0.9</v>
      </c>
      <c r="M581" s="13"/>
      <c r="N581" s="13" t="s">
        <v>1790</v>
      </c>
    </row>
    <row r="582" spans="1:14" ht="45">
      <c r="A582" s="48" t="s">
        <v>1827</v>
      </c>
      <c r="B582" s="13" t="s">
        <v>1815</v>
      </c>
      <c r="C582" s="13" t="s">
        <v>1816</v>
      </c>
      <c r="D582" s="14" t="s">
        <v>1828</v>
      </c>
      <c r="E582" s="10" t="s">
        <v>174</v>
      </c>
      <c r="F582" s="10" t="s">
        <v>358</v>
      </c>
      <c r="G582" s="10" t="s">
        <v>449</v>
      </c>
      <c r="H582" s="10" t="s">
        <v>277</v>
      </c>
      <c r="I582" s="11">
        <v>200.2</v>
      </c>
      <c r="J582" s="11" t="s">
        <v>359</v>
      </c>
      <c r="K582" s="11">
        <f>I582/30/1*1</f>
        <v>6.6733333333333329</v>
      </c>
      <c r="L582" s="2">
        <v>0.9</v>
      </c>
      <c r="M582" s="13"/>
      <c r="N582" s="13" t="s">
        <v>1790</v>
      </c>
    </row>
    <row r="583" spans="1:14" ht="45">
      <c r="A583" s="13" t="s">
        <v>1829</v>
      </c>
      <c r="B583" s="13" t="s">
        <v>1830</v>
      </c>
      <c r="C583" s="13" t="s">
        <v>1831</v>
      </c>
      <c r="D583" s="13" t="s">
        <v>1832</v>
      </c>
      <c r="E583" s="10" t="s">
        <v>174</v>
      </c>
      <c r="F583" s="10" t="s">
        <v>1074</v>
      </c>
      <c r="G583" s="10" t="s">
        <v>588</v>
      </c>
      <c r="H583" s="10" t="s">
        <v>589</v>
      </c>
      <c r="I583" s="20">
        <v>63.4</v>
      </c>
      <c r="J583" s="10" t="s">
        <v>232</v>
      </c>
      <c r="K583" s="11">
        <f>I583/10/5*5</f>
        <v>6.34</v>
      </c>
      <c r="L583" s="1">
        <v>0.9</v>
      </c>
      <c r="M583" s="13"/>
      <c r="N583" s="13" t="s">
        <v>1790</v>
      </c>
    </row>
    <row r="584" spans="1:14" ht="56.25">
      <c r="A584" s="13" t="s">
        <v>1833</v>
      </c>
      <c r="B584" s="13" t="s">
        <v>1834</v>
      </c>
      <c r="C584" s="13" t="s">
        <v>1835</v>
      </c>
      <c r="D584" s="13" t="s">
        <v>1836</v>
      </c>
      <c r="E584" s="10" t="s">
        <v>133</v>
      </c>
      <c r="F584" s="10" t="s">
        <v>1837</v>
      </c>
      <c r="G584" s="10" t="s">
        <v>1838</v>
      </c>
      <c r="H584" s="10" t="s">
        <v>21</v>
      </c>
      <c r="I584" s="20">
        <v>880.9</v>
      </c>
      <c r="J584" s="10" t="s">
        <v>535</v>
      </c>
      <c r="K584" s="11">
        <f>I584/30/15*15</f>
        <v>29.363333333333333</v>
      </c>
      <c r="L584" s="1">
        <v>0.9</v>
      </c>
      <c r="M584" s="13"/>
      <c r="N584" s="13" t="s">
        <v>1839</v>
      </c>
    </row>
    <row r="585" spans="1:14" ht="22.5">
      <c r="A585" s="13" t="s">
        <v>1840</v>
      </c>
      <c r="B585" s="13" t="s">
        <v>1841</v>
      </c>
      <c r="C585" s="13" t="s">
        <v>1842</v>
      </c>
      <c r="D585" s="13" t="s">
        <v>1843</v>
      </c>
      <c r="E585" s="10" t="s">
        <v>133</v>
      </c>
      <c r="F585" s="10" t="s">
        <v>1844</v>
      </c>
      <c r="G585" s="10" t="s">
        <v>52</v>
      </c>
      <c r="H585" s="10" t="s">
        <v>25</v>
      </c>
      <c r="I585" s="20">
        <v>82.4</v>
      </c>
      <c r="J585" s="10" t="s">
        <v>331</v>
      </c>
      <c r="K585" s="11">
        <f>I585/20/5*10</f>
        <v>8.24</v>
      </c>
      <c r="L585" s="1">
        <v>0.9</v>
      </c>
      <c r="M585" s="13"/>
      <c r="N585" s="13" t="s">
        <v>1845</v>
      </c>
    </row>
    <row r="586" spans="1:14" ht="22.5">
      <c r="A586" s="13" t="s">
        <v>1846</v>
      </c>
      <c r="B586" s="13" t="s">
        <v>1841</v>
      </c>
      <c r="C586" s="13" t="s">
        <v>1842</v>
      </c>
      <c r="D586" s="13" t="s">
        <v>1843</v>
      </c>
      <c r="E586" s="10" t="s">
        <v>133</v>
      </c>
      <c r="F586" s="10" t="s">
        <v>534</v>
      </c>
      <c r="G586" s="10" t="s">
        <v>52</v>
      </c>
      <c r="H586" s="10" t="s">
        <v>25</v>
      </c>
      <c r="I586" s="20">
        <v>83.7</v>
      </c>
      <c r="J586" s="10" t="s">
        <v>331</v>
      </c>
      <c r="K586" s="11">
        <f>I586/20/10*10</f>
        <v>4.1850000000000005</v>
      </c>
      <c r="L586" s="1">
        <v>0.9</v>
      </c>
      <c r="M586" s="13"/>
      <c r="N586" s="13" t="s">
        <v>1845</v>
      </c>
    </row>
    <row r="587" spans="1:14" ht="22.5">
      <c r="A587" s="13" t="s">
        <v>1847</v>
      </c>
      <c r="B587" s="13" t="s">
        <v>1841</v>
      </c>
      <c r="C587" s="13" t="s">
        <v>1842</v>
      </c>
      <c r="D587" s="13" t="s">
        <v>1848</v>
      </c>
      <c r="E587" s="10" t="s">
        <v>133</v>
      </c>
      <c r="F587" s="10" t="s">
        <v>534</v>
      </c>
      <c r="G587" s="10" t="s">
        <v>256</v>
      </c>
      <c r="H587" s="10" t="s">
        <v>21</v>
      </c>
      <c r="I587" s="20">
        <v>115</v>
      </c>
      <c r="J587" s="10" t="s">
        <v>331</v>
      </c>
      <c r="K587" s="11">
        <f>I587/20/10*10</f>
        <v>5.75</v>
      </c>
      <c r="L587" s="1">
        <v>0.9</v>
      </c>
      <c r="M587" s="13"/>
      <c r="N587" s="13" t="s">
        <v>1845</v>
      </c>
    </row>
    <row r="588" spans="1:14" ht="56.25">
      <c r="A588" s="46" t="s">
        <v>1849</v>
      </c>
      <c r="B588" s="13" t="s">
        <v>1841</v>
      </c>
      <c r="C588" s="13" t="s">
        <v>1842</v>
      </c>
      <c r="D588" s="13" t="s">
        <v>1850</v>
      </c>
      <c r="E588" s="10" t="s">
        <v>133</v>
      </c>
      <c r="F588" s="10" t="s">
        <v>1844</v>
      </c>
      <c r="G588" s="72" t="s">
        <v>728</v>
      </c>
      <c r="H588" s="21" t="s">
        <v>729</v>
      </c>
      <c r="I588" s="20">
        <v>82.7</v>
      </c>
      <c r="J588" s="10" t="s">
        <v>331</v>
      </c>
      <c r="K588" s="11">
        <f>I588/20/5*10</f>
        <v>8.27</v>
      </c>
      <c r="L588" s="1">
        <v>0.9</v>
      </c>
      <c r="M588" s="13"/>
      <c r="N588" s="13" t="s">
        <v>1845</v>
      </c>
    </row>
    <row r="589" spans="1:14" ht="56.25">
      <c r="A589" s="46" t="s">
        <v>1851</v>
      </c>
      <c r="B589" s="13" t="s">
        <v>1841</v>
      </c>
      <c r="C589" s="13" t="s">
        <v>1842</v>
      </c>
      <c r="D589" s="13" t="s">
        <v>1850</v>
      </c>
      <c r="E589" s="10" t="s">
        <v>133</v>
      </c>
      <c r="F589" s="10" t="s">
        <v>534</v>
      </c>
      <c r="G589" s="72" t="s">
        <v>728</v>
      </c>
      <c r="H589" s="21" t="s">
        <v>729</v>
      </c>
      <c r="I589" s="20">
        <v>115</v>
      </c>
      <c r="J589" s="10" t="s">
        <v>331</v>
      </c>
      <c r="K589" s="11">
        <f>I589/20/10*10</f>
        <v>5.75</v>
      </c>
      <c r="L589" s="1">
        <v>0.9</v>
      </c>
      <c r="M589" s="13"/>
      <c r="N589" s="13" t="s">
        <v>1845</v>
      </c>
    </row>
    <row r="590" spans="1:14" ht="22.5">
      <c r="A590" s="13" t="s">
        <v>1852</v>
      </c>
      <c r="B590" s="13" t="s">
        <v>1853</v>
      </c>
      <c r="C590" s="13" t="s">
        <v>1854</v>
      </c>
      <c r="D590" s="13" t="s">
        <v>1855</v>
      </c>
      <c r="E590" s="10" t="s">
        <v>1043</v>
      </c>
      <c r="F590" s="10" t="s">
        <v>1856</v>
      </c>
      <c r="G590" s="10" t="s">
        <v>1857</v>
      </c>
      <c r="H590" s="10" t="s">
        <v>1858</v>
      </c>
      <c r="I590" s="20">
        <v>239</v>
      </c>
      <c r="J590" s="10" t="s">
        <v>1022</v>
      </c>
      <c r="K590" s="11">
        <f>I590/30/25*100</f>
        <v>31.866666666666667</v>
      </c>
      <c r="L590" s="1">
        <v>0.75</v>
      </c>
      <c r="M590" s="13"/>
      <c r="N590" s="13" t="s">
        <v>1839</v>
      </c>
    </row>
    <row r="591" spans="1:14" ht="78.75">
      <c r="A591" s="13" t="s">
        <v>1859</v>
      </c>
      <c r="B591" s="13" t="s">
        <v>1860</v>
      </c>
      <c r="C591" s="13" t="s">
        <v>1861</v>
      </c>
      <c r="D591" s="13" t="s">
        <v>1862</v>
      </c>
      <c r="E591" s="10" t="s">
        <v>133</v>
      </c>
      <c r="F591" s="10" t="s">
        <v>861</v>
      </c>
      <c r="G591" s="22" t="s">
        <v>2515</v>
      </c>
      <c r="H591" s="22" t="s">
        <v>1172</v>
      </c>
      <c r="I591" s="11">
        <v>250.1</v>
      </c>
      <c r="J591" s="10" t="s">
        <v>22</v>
      </c>
      <c r="K591" s="11">
        <f>I591/30/20*20</f>
        <v>8.336666666666666</v>
      </c>
      <c r="L591" s="1">
        <v>0.35</v>
      </c>
      <c r="M591" s="13" t="s">
        <v>1863</v>
      </c>
      <c r="N591" s="13" t="s">
        <v>1864</v>
      </c>
    </row>
    <row r="592" spans="1:14" ht="90">
      <c r="A592" s="13">
        <v>1072790</v>
      </c>
      <c r="B592" s="13" t="s">
        <v>2545</v>
      </c>
      <c r="C592" s="13" t="s">
        <v>2546</v>
      </c>
      <c r="D592" s="13" t="s">
        <v>2547</v>
      </c>
      <c r="E592" s="10" t="s">
        <v>133</v>
      </c>
      <c r="F592" s="10" t="s">
        <v>187</v>
      </c>
      <c r="G592" s="22" t="s">
        <v>2548</v>
      </c>
      <c r="H592" s="22" t="s">
        <v>2549</v>
      </c>
      <c r="I592" s="11">
        <v>235</v>
      </c>
      <c r="J592" s="10" t="s">
        <v>400</v>
      </c>
      <c r="K592" s="11">
        <f>I592/28/50*50</f>
        <v>8.3928571428571423</v>
      </c>
      <c r="L592" s="1">
        <v>0.25</v>
      </c>
      <c r="M592" s="13" t="s">
        <v>2550</v>
      </c>
      <c r="N592" s="13" t="s">
        <v>2551</v>
      </c>
    </row>
    <row r="593" spans="1:14" ht="90">
      <c r="A593" s="13">
        <v>1072791</v>
      </c>
      <c r="B593" s="13" t="s">
        <v>2545</v>
      </c>
      <c r="C593" s="13" t="s">
        <v>2546</v>
      </c>
      <c r="D593" s="13" t="s">
        <v>2547</v>
      </c>
      <c r="E593" s="10" t="s">
        <v>133</v>
      </c>
      <c r="F593" s="10" t="s">
        <v>191</v>
      </c>
      <c r="G593" s="22" t="s">
        <v>2548</v>
      </c>
      <c r="H593" s="22" t="s">
        <v>2549</v>
      </c>
      <c r="I593" s="11">
        <v>470</v>
      </c>
      <c r="J593" s="10" t="s">
        <v>400</v>
      </c>
      <c r="K593" s="11">
        <f>I593/28/100*50</f>
        <v>8.3928571428571423</v>
      </c>
      <c r="L593" s="1">
        <v>0.25</v>
      </c>
      <c r="M593" s="13" t="s">
        <v>2550</v>
      </c>
      <c r="N593" s="13" t="s">
        <v>2551</v>
      </c>
    </row>
    <row r="594" spans="1:14" ht="33.75">
      <c r="A594" s="46" t="s">
        <v>1865</v>
      </c>
      <c r="B594" s="13" t="s">
        <v>1866</v>
      </c>
      <c r="C594" s="13" t="s">
        <v>1867</v>
      </c>
      <c r="D594" s="13" t="s">
        <v>1868</v>
      </c>
      <c r="E594" s="10" t="s">
        <v>133</v>
      </c>
      <c r="F594" s="10" t="s">
        <v>766</v>
      </c>
      <c r="G594" s="10" t="s">
        <v>1869</v>
      </c>
      <c r="H594" s="10" t="s">
        <v>772</v>
      </c>
      <c r="I594" s="20">
        <v>1479.6</v>
      </c>
      <c r="J594" s="10" t="s">
        <v>1280</v>
      </c>
      <c r="K594" s="11">
        <f>I594/30/300*300</f>
        <v>49.32</v>
      </c>
      <c r="L594" s="12">
        <v>0.65</v>
      </c>
      <c r="M594" s="13"/>
      <c r="N594" s="13" t="s">
        <v>1870</v>
      </c>
    </row>
    <row r="595" spans="1:14" ht="22.5">
      <c r="A595" s="46" t="s">
        <v>1871</v>
      </c>
      <c r="B595" s="13" t="s">
        <v>1872</v>
      </c>
      <c r="C595" s="13" t="s">
        <v>1873</v>
      </c>
      <c r="D595" s="13" t="s">
        <v>1874</v>
      </c>
      <c r="E595" s="10" t="s">
        <v>133</v>
      </c>
      <c r="F595" s="10" t="s">
        <v>183</v>
      </c>
      <c r="G595" s="10" t="s">
        <v>2499</v>
      </c>
      <c r="H595" s="10" t="s">
        <v>85</v>
      </c>
      <c r="I595" s="20">
        <v>592.20000000000005</v>
      </c>
      <c r="J595" s="10" t="s">
        <v>158</v>
      </c>
      <c r="K595" s="11">
        <f>I595/30/30*60</f>
        <v>39.480000000000004</v>
      </c>
      <c r="L595" s="12">
        <v>0.65</v>
      </c>
      <c r="M595" s="13" t="s">
        <v>1875</v>
      </c>
      <c r="N595" s="13" t="s">
        <v>1876</v>
      </c>
    </row>
    <row r="596" spans="1:14" ht="45">
      <c r="A596" s="46" t="s">
        <v>1877</v>
      </c>
      <c r="B596" s="13" t="s">
        <v>1878</v>
      </c>
      <c r="C596" s="13" t="s">
        <v>1879</v>
      </c>
      <c r="D596" s="13" t="s">
        <v>1880</v>
      </c>
      <c r="E596" s="10" t="s">
        <v>118</v>
      </c>
      <c r="F596" s="10" t="s">
        <v>1881</v>
      </c>
      <c r="G596" s="10" t="s">
        <v>1882</v>
      </c>
      <c r="H596" s="10" t="s">
        <v>1294</v>
      </c>
      <c r="I596" s="20">
        <v>507.3</v>
      </c>
      <c r="J596" s="10" t="s">
        <v>1280</v>
      </c>
      <c r="K596" s="11">
        <f>I596/20/150*300</f>
        <v>50.73</v>
      </c>
      <c r="L596" s="12">
        <v>0.75</v>
      </c>
      <c r="M596" s="13" t="s">
        <v>1883</v>
      </c>
      <c r="N596" s="13" t="s">
        <v>1884</v>
      </c>
    </row>
    <row r="597" spans="1:14" ht="22.5">
      <c r="A597" s="13" t="s">
        <v>1885</v>
      </c>
      <c r="B597" s="13" t="s">
        <v>1886</v>
      </c>
      <c r="C597" s="13" t="s">
        <v>1887</v>
      </c>
      <c r="D597" s="13" t="s">
        <v>1888</v>
      </c>
      <c r="E597" s="10" t="s">
        <v>133</v>
      </c>
      <c r="F597" s="10" t="s">
        <v>183</v>
      </c>
      <c r="G597" s="10" t="s">
        <v>995</v>
      </c>
      <c r="H597" s="10" t="s">
        <v>366</v>
      </c>
      <c r="I597" s="20">
        <v>286.39999999999998</v>
      </c>
      <c r="J597" s="10" t="s">
        <v>71</v>
      </c>
      <c r="K597" s="11">
        <f>I597/30/30*30</f>
        <v>9.5466666666666651</v>
      </c>
      <c r="L597" s="12">
        <v>0.5</v>
      </c>
      <c r="M597" s="62" t="s">
        <v>1889</v>
      </c>
      <c r="N597" s="62" t="s">
        <v>1890</v>
      </c>
    </row>
    <row r="598" spans="1:14" ht="22.5">
      <c r="A598" s="13" t="s">
        <v>1891</v>
      </c>
      <c r="B598" s="13" t="s">
        <v>1886</v>
      </c>
      <c r="C598" s="13" t="s">
        <v>1887</v>
      </c>
      <c r="D598" s="13" t="s">
        <v>1892</v>
      </c>
      <c r="E598" s="10" t="s">
        <v>133</v>
      </c>
      <c r="F598" s="10" t="s">
        <v>183</v>
      </c>
      <c r="G598" s="47" t="s">
        <v>2500</v>
      </c>
      <c r="H598" s="47" t="s">
        <v>177</v>
      </c>
      <c r="I598" s="20">
        <v>286.39999999999998</v>
      </c>
      <c r="J598" s="10" t="s">
        <v>71</v>
      </c>
      <c r="K598" s="11">
        <f>I598/30/30*30</f>
        <v>9.5466666666666651</v>
      </c>
      <c r="L598" s="12">
        <v>0.5</v>
      </c>
      <c r="M598" s="62" t="s">
        <v>1889</v>
      </c>
      <c r="N598" s="62" t="s">
        <v>1876</v>
      </c>
    </row>
    <row r="599" spans="1:14" ht="22.5">
      <c r="A599" s="46" t="s">
        <v>1893</v>
      </c>
      <c r="B599" s="13" t="s">
        <v>1886</v>
      </c>
      <c r="C599" s="13" t="s">
        <v>1887</v>
      </c>
      <c r="D599" s="13" t="s">
        <v>1894</v>
      </c>
      <c r="E599" s="10" t="s">
        <v>133</v>
      </c>
      <c r="F599" s="10" t="s">
        <v>183</v>
      </c>
      <c r="G599" s="10" t="s">
        <v>1895</v>
      </c>
      <c r="H599" s="10" t="s">
        <v>25</v>
      </c>
      <c r="I599" s="20">
        <v>286.39999999999998</v>
      </c>
      <c r="J599" s="11" t="s">
        <v>71</v>
      </c>
      <c r="K599" s="11">
        <f>I599/30/30*30</f>
        <v>9.5466666666666651</v>
      </c>
      <c r="L599" s="1">
        <v>0.5</v>
      </c>
      <c r="M599" s="62" t="s">
        <v>1889</v>
      </c>
      <c r="N599" s="62" t="s">
        <v>1876</v>
      </c>
    </row>
    <row r="600" spans="1:14" ht="22.5">
      <c r="A600" s="46" t="s">
        <v>1896</v>
      </c>
      <c r="B600" s="13" t="s">
        <v>1886</v>
      </c>
      <c r="C600" s="13" t="s">
        <v>1887</v>
      </c>
      <c r="D600" s="13" t="s">
        <v>1894</v>
      </c>
      <c r="E600" s="10" t="s">
        <v>133</v>
      </c>
      <c r="F600" s="10" t="s">
        <v>2429</v>
      </c>
      <c r="G600" s="10" t="s">
        <v>1895</v>
      </c>
      <c r="H600" s="10" t="s">
        <v>25</v>
      </c>
      <c r="I600" s="20">
        <v>619.79999999999995</v>
      </c>
      <c r="J600" s="11" t="s">
        <v>71</v>
      </c>
      <c r="K600" s="11">
        <f>I600/30/45*30</f>
        <v>13.773333333333333</v>
      </c>
      <c r="L600" s="1">
        <v>0.5</v>
      </c>
      <c r="M600" s="62" t="s">
        <v>1889</v>
      </c>
      <c r="N600" s="62" t="s">
        <v>1876</v>
      </c>
    </row>
    <row r="601" spans="1:14" ht="33.75">
      <c r="A601" s="13" t="s">
        <v>1897</v>
      </c>
      <c r="B601" s="13" t="s">
        <v>1898</v>
      </c>
      <c r="C601" s="13" t="s">
        <v>1899</v>
      </c>
      <c r="D601" s="13" t="s">
        <v>1900</v>
      </c>
      <c r="E601" s="10" t="s">
        <v>154</v>
      </c>
      <c r="F601" s="10" t="s">
        <v>1901</v>
      </c>
      <c r="G601" s="10" t="s">
        <v>2516</v>
      </c>
      <c r="H601" s="10" t="s">
        <v>66</v>
      </c>
      <c r="I601" s="20">
        <v>978.4</v>
      </c>
      <c r="J601" s="11" t="s">
        <v>1902</v>
      </c>
      <c r="K601" s="11">
        <f>I601/30/150*300</f>
        <v>65.226666666666659</v>
      </c>
      <c r="L601" s="12">
        <v>0.85</v>
      </c>
      <c r="M601" s="62" t="s">
        <v>1903</v>
      </c>
      <c r="N601" s="62" t="s">
        <v>1890</v>
      </c>
    </row>
    <row r="602" spans="1:14" ht="33.75">
      <c r="A602" s="13" t="s">
        <v>1904</v>
      </c>
      <c r="B602" s="13" t="s">
        <v>1898</v>
      </c>
      <c r="C602" s="13" t="s">
        <v>1899</v>
      </c>
      <c r="D602" s="13" t="s">
        <v>1900</v>
      </c>
      <c r="E602" s="10" t="s">
        <v>154</v>
      </c>
      <c r="F602" s="10" t="s">
        <v>1905</v>
      </c>
      <c r="G602" s="10" t="s">
        <v>2516</v>
      </c>
      <c r="H602" s="10" t="s">
        <v>66</v>
      </c>
      <c r="I602" s="20">
        <v>1803.7</v>
      </c>
      <c r="J602" s="10" t="s">
        <v>1902</v>
      </c>
      <c r="K602" s="11">
        <f>I602/30/300*300</f>
        <v>60.123333333333335</v>
      </c>
      <c r="L602" s="12">
        <v>0.85</v>
      </c>
      <c r="M602" s="62" t="s">
        <v>1903</v>
      </c>
      <c r="N602" s="62" t="s">
        <v>1890</v>
      </c>
    </row>
    <row r="603" spans="1:14" ht="67.5">
      <c r="A603" s="13" t="s">
        <v>1906</v>
      </c>
      <c r="B603" s="13" t="s">
        <v>1907</v>
      </c>
      <c r="C603" s="13" t="s">
        <v>1908</v>
      </c>
      <c r="D603" s="13" t="s">
        <v>1909</v>
      </c>
      <c r="E603" s="10" t="s">
        <v>1910</v>
      </c>
      <c r="F603" s="10" t="s">
        <v>244</v>
      </c>
      <c r="G603" s="10" t="s">
        <v>377</v>
      </c>
      <c r="H603" s="10" t="s">
        <v>25</v>
      </c>
      <c r="I603" s="20">
        <v>325.10000000000002</v>
      </c>
      <c r="J603" s="10" t="s">
        <v>1022</v>
      </c>
      <c r="K603" s="11">
        <f>I603/28/75*100</f>
        <v>15.480952380952381</v>
      </c>
      <c r="L603" s="12">
        <v>0.5</v>
      </c>
      <c r="M603" s="13" t="s">
        <v>1911</v>
      </c>
      <c r="N603" s="13" t="s">
        <v>1890</v>
      </c>
    </row>
    <row r="604" spans="1:14" ht="67.5">
      <c r="A604" s="13" t="s">
        <v>1912</v>
      </c>
      <c r="B604" s="13" t="s">
        <v>1907</v>
      </c>
      <c r="C604" s="13" t="s">
        <v>1908</v>
      </c>
      <c r="D604" s="13" t="s">
        <v>1909</v>
      </c>
      <c r="E604" s="10" t="s">
        <v>1910</v>
      </c>
      <c r="F604" s="10" t="s">
        <v>1913</v>
      </c>
      <c r="G604" s="10" t="s">
        <v>377</v>
      </c>
      <c r="H604" s="10" t="s">
        <v>25</v>
      </c>
      <c r="I604" s="20">
        <v>539.29999999999995</v>
      </c>
      <c r="J604" s="10" t="s">
        <v>1022</v>
      </c>
      <c r="K604" s="11">
        <f>I604/28/150*100</f>
        <v>12.840476190476188</v>
      </c>
      <c r="L604" s="12">
        <v>0.5</v>
      </c>
      <c r="M604" s="13" t="s">
        <v>1911</v>
      </c>
      <c r="N604" s="13" t="s">
        <v>1890</v>
      </c>
    </row>
    <row r="605" spans="1:14" ht="67.5">
      <c r="A605" s="46" t="s">
        <v>1914</v>
      </c>
      <c r="B605" s="13" t="s">
        <v>1907</v>
      </c>
      <c r="C605" s="13" t="s">
        <v>1908</v>
      </c>
      <c r="D605" s="13" t="s">
        <v>1915</v>
      </c>
      <c r="E605" s="10" t="s">
        <v>290</v>
      </c>
      <c r="F605" s="10" t="s">
        <v>1916</v>
      </c>
      <c r="G605" s="10" t="s">
        <v>252</v>
      </c>
      <c r="H605" s="10" t="s">
        <v>21</v>
      </c>
      <c r="I605" s="20">
        <v>260.39999999999998</v>
      </c>
      <c r="J605" s="10" t="s">
        <v>1022</v>
      </c>
      <c r="K605" s="11">
        <f>I605/30/37.5*100</f>
        <v>23.146666666666665</v>
      </c>
      <c r="L605" s="12">
        <v>0.5</v>
      </c>
      <c r="M605" s="13" t="s">
        <v>1911</v>
      </c>
      <c r="N605" s="13" t="s">
        <v>1890</v>
      </c>
    </row>
    <row r="606" spans="1:14" ht="67.5">
      <c r="A606" s="46" t="s">
        <v>1917</v>
      </c>
      <c r="B606" s="13" t="s">
        <v>1907</v>
      </c>
      <c r="C606" s="13" t="s">
        <v>1908</v>
      </c>
      <c r="D606" s="13" t="s">
        <v>1915</v>
      </c>
      <c r="E606" s="10" t="s">
        <v>290</v>
      </c>
      <c r="F606" s="10" t="s">
        <v>1918</v>
      </c>
      <c r="G606" s="10" t="s">
        <v>252</v>
      </c>
      <c r="H606" s="10" t="s">
        <v>21</v>
      </c>
      <c r="I606" s="20">
        <v>348.3</v>
      </c>
      <c r="J606" s="10" t="s">
        <v>1022</v>
      </c>
      <c r="K606" s="11">
        <f>I606/30/75*100</f>
        <v>15.480000000000002</v>
      </c>
      <c r="L606" s="12">
        <v>0.5</v>
      </c>
      <c r="M606" s="13" t="s">
        <v>1911</v>
      </c>
      <c r="N606" s="13" t="s">
        <v>1890</v>
      </c>
    </row>
    <row r="607" spans="1:14" ht="67.5">
      <c r="A607" s="75" t="s">
        <v>1919</v>
      </c>
      <c r="B607" s="64" t="s">
        <v>1907</v>
      </c>
      <c r="C607" s="64" t="s">
        <v>1908</v>
      </c>
      <c r="D607" s="64" t="s">
        <v>1920</v>
      </c>
      <c r="E607" s="23" t="s">
        <v>174</v>
      </c>
      <c r="F607" s="23" t="s">
        <v>1921</v>
      </c>
      <c r="G607" s="23" t="s">
        <v>391</v>
      </c>
      <c r="H607" s="23" t="s">
        <v>366</v>
      </c>
      <c r="I607" s="20">
        <v>216.1</v>
      </c>
      <c r="J607" s="10" t="s">
        <v>1022</v>
      </c>
      <c r="K607" s="11">
        <f>I607/28/37.5*100</f>
        <v>20.580952380952379</v>
      </c>
      <c r="L607" s="12">
        <v>0.5</v>
      </c>
      <c r="M607" s="92" t="s">
        <v>1922</v>
      </c>
      <c r="N607" s="92" t="s">
        <v>1845</v>
      </c>
    </row>
    <row r="608" spans="1:14" ht="67.5">
      <c r="A608" s="75" t="s">
        <v>1923</v>
      </c>
      <c r="B608" s="64" t="s">
        <v>1907</v>
      </c>
      <c r="C608" s="64" t="s">
        <v>1908</v>
      </c>
      <c r="D608" s="64" t="s">
        <v>1920</v>
      </c>
      <c r="E608" s="23" t="s">
        <v>174</v>
      </c>
      <c r="F608" s="23" t="s">
        <v>244</v>
      </c>
      <c r="G608" s="23" t="s">
        <v>391</v>
      </c>
      <c r="H608" s="23" t="s">
        <v>366</v>
      </c>
      <c r="I608" s="20">
        <v>325.10000000000002</v>
      </c>
      <c r="J608" s="10" t="s">
        <v>1022</v>
      </c>
      <c r="K608" s="11">
        <f>I608/28/75*100</f>
        <v>15.480952380952381</v>
      </c>
      <c r="L608" s="12">
        <v>0.5</v>
      </c>
      <c r="M608" s="92" t="s">
        <v>1922</v>
      </c>
      <c r="N608" s="92" t="s">
        <v>1845</v>
      </c>
    </row>
    <row r="609" spans="1:14" ht="45">
      <c r="A609" s="46" t="s">
        <v>1924</v>
      </c>
      <c r="B609" s="68" t="s">
        <v>1925</v>
      </c>
      <c r="C609" s="68" t="s">
        <v>1926</v>
      </c>
      <c r="D609" s="68" t="s">
        <v>1927</v>
      </c>
      <c r="E609" s="11" t="s">
        <v>18</v>
      </c>
      <c r="F609" s="11" t="s">
        <v>554</v>
      </c>
      <c r="G609" s="11" t="s">
        <v>407</v>
      </c>
      <c r="H609" s="11" t="s">
        <v>21</v>
      </c>
      <c r="I609" s="20">
        <v>402.4</v>
      </c>
      <c r="J609" s="11" t="s">
        <v>158</v>
      </c>
      <c r="K609" s="11">
        <f>I609/28/30*60</f>
        <v>28.74285714285714</v>
      </c>
      <c r="L609" s="12">
        <v>0.75</v>
      </c>
      <c r="M609" s="13" t="s">
        <v>1928</v>
      </c>
      <c r="N609" s="13" t="s">
        <v>1929</v>
      </c>
    </row>
    <row r="610" spans="1:14" ht="45">
      <c r="A610" s="68" t="s">
        <v>1930</v>
      </c>
      <c r="B610" s="68" t="s">
        <v>1925</v>
      </c>
      <c r="C610" s="68" t="s">
        <v>1926</v>
      </c>
      <c r="D610" s="68" t="s">
        <v>1927</v>
      </c>
      <c r="E610" s="11" t="s">
        <v>18</v>
      </c>
      <c r="F610" s="11" t="s">
        <v>1933</v>
      </c>
      <c r="G610" s="11" t="s">
        <v>407</v>
      </c>
      <c r="H610" s="11" t="s">
        <v>21</v>
      </c>
      <c r="I610" s="20">
        <v>662.7</v>
      </c>
      <c r="J610" s="11" t="s">
        <v>158</v>
      </c>
      <c r="K610" s="11">
        <f>I610/28/60*60</f>
        <v>23.667857142857144</v>
      </c>
      <c r="L610" s="12">
        <v>0.75</v>
      </c>
      <c r="M610" s="13" t="s">
        <v>1928</v>
      </c>
      <c r="N610" s="13" t="s">
        <v>1929</v>
      </c>
    </row>
    <row r="611" spans="1:14" ht="45">
      <c r="A611" s="13">
        <v>1072010</v>
      </c>
      <c r="B611" s="13" t="s">
        <v>1925</v>
      </c>
      <c r="C611" s="13" t="s">
        <v>1926</v>
      </c>
      <c r="D611" s="13" t="s">
        <v>1931</v>
      </c>
      <c r="E611" s="10" t="s">
        <v>18</v>
      </c>
      <c r="F611" s="21" t="s">
        <v>554</v>
      </c>
      <c r="G611" s="10" t="s">
        <v>188</v>
      </c>
      <c r="H611" s="10" t="s">
        <v>25</v>
      </c>
      <c r="I611" s="20">
        <v>402.4</v>
      </c>
      <c r="J611" s="11" t="s">
        <v>158</v>
      </c>
      <c r="K611" s="11">
        <f>I611/28/30*60</f>
        <v>28.74285714285714</v>
      </c>
      <c r="L611" s="12">
        <v>0.75</v>
      </c>
      <c r="M611" s="13" t="s">
        <v>1928</v>
      </c>
      <c r="N611" s="13" t="s">
        <v>1932</v>
      </c>
    </row>
    <row r="612" spans="1:14" ht="45">
      <c r="A612" s="13">
        <v>1072011</v>
      </c>
      <c r="B612" s="13" t="s">
        <v>1925</v>
      </c>
      <c r="C612" s="13" t="s">
        <v>1926</v>
      </c>
      <c r="D612" s="13" t="s">
        <v>1931</v>
      </c>
      <c r="E612" s="10" t="s">
        <v>18</v>
      </c>
      <c r="F612" s="21" t="s">
        <v>1933</v>
      </c>
      <c r="G612" s="10" t="s">
        <v>188</v>
      </c>
      <c r="H612" s="10" t="s">
        <v>25</v>
      </c>
      <c r="I612" s="11">
        <v>662.7</v>
      </c>
      <c r="J612" s="11" t="s">
        <v>158</v>
      </c>
      <c r="K612" s="11">
        <f>I612/28/60*60</f>
        <v>23.667857142857144</v>
      </c>
      <c r="L612" s="12">
        <v>0.75</v>
      </c>
      <c r="M612" s="13" t="s">
        <v>1928</v>
      </c>
      <c r="N612" s="13" t="s">
        <v>1932</v>
      </c>
    </row>
    <row r="613" spans="1:14" ht="45">
      <c r="A613" s="13">
        <v>1072012</v>
      </c>
      <c r="B613" s="13" t="s">
        <v>1925</v>
      </c>
      <c r="C613" s="13" t="s">
        <v>1926</v>
      </c>
      <c r="D613" s="13" t="s">
        <v>1931</v>
      </c>
      <c r="E613" s="10" t="s">
        <v>18</v>
      </c>
      <c r="F613" s="21" t="s">
        <v>1934</v>
      </c>
      <c r="G613" s="10" t="s">
        <v>188</v>
      </c>
      <c r="H613" s="10" t="s">
        <v>25</v>
      </c>
      <c r="I613" s="11">
        <v>1173.5</v>
      </c>
      <c r="J613" s="11" t="s">
        <v>158</v>
      </c>
      <c r="K613" s="11">
        <f>I613/28/90*60</f>
        <v>27.94047619047619</v>
      </c>
      <c r="L613" s="12">
        <v>0.75</v>
      </c>
      <c r="M613" s="13" t="s">
        <v>1928</v>
      </c>
      <c r="N613" s="13" t="s">
        <v>1932</v>
      </c>
    </row>
    <row r="614" spans="1:14" ht="45">
      <c r="A614" s="46" t="s">
        <v>1935</v>
      </c>
      <c r="B614" s="13" t="s">
        <v>1925</v>
      </c>
      <c r="C614" s="8" t="s">
        <v>1926</v>
      </c>
      <c r="D614" s="13" t="s">
        <v>1936</v>
      </c>
      <c r="E614" s="10" t="s">
        <v>18</v>
      </c>
      <c r="F614" s="10" t="s">
        <v>554</v>
      </c>
      <c r="G614" s="10" t="s">
        <v>1354</v>
      </c>
      <c r="H614" s="10" t="s">
        <v>1247</v>
      </c>
      <c r="I614" s="20">
        <v>402.4</v>
      </c>
      <c r="J614" s="116" t="s">
        <v>158</v>
      </c>
      <c r="K614" s="11">
        <f>I614/28/30*60</f>
        <v>28.74285714285714</v>
      </c>
      <c r="L614" s="12">
        <v>0.75</v>
      </c>
      <c r="M614" s="13" t="s">
        <v>1928</v>
      </c>
      <c r="N614" s="13" t="s">
        <v>1932</v>
      </c>
    </row>
    <row r="615" spans="1:14" ht="45">
      <c r="A615" s="46" t="s">
        <v>1937</v>
      </c>
      <c r="B615" s="13" t="s">
        <v>1925</v>
      </c>
      <c r="C615" s="8" t="s">
        <v>1926</v>
      </c>
      <c r="D615" s="13" t="s">
        <v>1936</v>
      </c>
      <c r="E615" s="10" t="s">
        <v>18</v>
      </c>
      <c r="F615" s="10" t="s">
        <v>1933</v>
      </c>
      <c r="G615" s="10" t="s">
        <v>1354</v>
      </c>
      <c r="H615" s="10" t="s">
        <v>1247</v>
      </c>
      <c r="I615" s="11">
        <v>662.7</v>
      </c>
      <c r="J615" s="116" t="s">
        <v>158</v>
      </c>
      <c r="K615" s="11">
        <f>I615/28/60*60</f>
        <v>23.667857142857144</v>
      </c>
      <c r="L615" s="12">
        <v>0.75</v>
      </c>
      <c r="M615" s="13" t="s">
        <v>1928</v>
      </c>
      <c r="N615" s="13" t="s">
        <v>1932</v>
      </c>
    </row>
    <row r="616" spans="1:14" ht="45">
      <c r="A616" s="46" t="s">
        <v>2461</v>
      </c>
      <c r="B616" s="46" t="s">
        <v>1925</v>
      </c>
      <c r="C616" s="70" t="s">
        <v>1926</v>
      </c>
      <c r="D616" s="70" t="s">
        <v>2462</v>
      </c>
      <c r="E616" s="71" t="s">
        <v>18</v>
      </c>
      <c r="F616" s="21" t="s">
        <v>554</v>
      </c>
      <c r="G616" s="71" t="s">
        <v>2463</v>
      </c>
      <c r="H616" s="71" t="s">
        <v>62</v>
      </c>
      <c r="I616" s="11">
        <v>402.4</v>
      </c>
      <c r="J616" s="54" t="s">
        <v>158</v>
      </c>
      <c r="K616" s="108">
        <f>I616/(28*30)*60</f>
        <v>28.74285714285714</v>
      </c>
      <c r="L616" s="12">
        <v>0.75</v>
      </c>
      <c r="M616" s="13" t="s">
        <v>1928</v>
      </c>
      <c r="N616" s="13" t="s">
        <v>1932</v>
      </c>
    </row>
    <row r="617" spans="1:14" ht="45">
      <c r="A617" s="46" t="s">
        <v>2464</v>
      </c>
      <c r="B617" s="46" t="s">
        <v>1925</v>
      </c>
      <c r="C617" s="70" t="s">
        <v>1926</v>
      </c>
      <c r="D617" s="70" t="s">
        <v>2462</v>
      </c>
      <c r="E617" s="71" t="s">
        <v>18</v>
      </c>
      <c r="F617" s="21" t="s">
        <v>1933</v>
      </c>
      <c r="G617" s="71" t="s">
        <v>2463</v>
      </c>
      <c r="H617" s="71" t="s">
        <v>62</v>
      </c>
      <c r="I617" s="11">
        <v>662.7</v>
      </c>
      <c r="J617" s="54" t="s">
        <v>158</v>
      </c>
      <c r="K617" s="108">
        <f>I617/(28*60)*60</f>
        <v>23.667857142857144</v>
      </c>
      <c r="L617" s="12">
        <v>0.75</v>
      </c>
      <c r="M617" s="13" t="s">
        <v>1928</v>
      </c>
      <c r="N617" s="13" t="s">
        <v>1932</v>
      </c>
    </row>
    <row r="618" spans="1:14" ht="22.5">
      <c r="A618" s="46">
        <v>1072871</v>
      </c>
      <c r="B618" s="13" t="s">
        <v>1938</v>
      </c>
      <c r="C618" s="8" t="s">
        <v>1939</v>
      </c>
      <c r="D618" s="13" t="s">
        <v>1944</v>
      </c>
      <c r="E618" s="10" t="s">
        <v>133</v>
      </c>
      <c r="F618" s="10" t="s">
        <v>1940</v>
      </c>
      <c r="G618" s="10" t="s">
        <v>650</v>
      </c>
      <c r="H618" s="10" t="s">
        <v>21</v>
      </c>
      <c r="I618" s="11">
        <v>1417.1</v>
      </c>
      <c r="J618" s="116" t="s">
        <v>1941</v>
      </c>
      <c r="K618" s="11">
        <f>+I618/28/25*25</f>
        <v>50.610714285714273</v>
      </c>
      <c r="L618" s="12">
        <v>0.9</v>
      </c>
      <c r="M618" s="13" t="s">
        <v>1942</v>
      </c>
      <c r="N618" s="13" t="s">
        <v>1943</v>
      </c>
    </row>
    <row r="619" spans="1:14" ht="33.75">
      <c r="A619" s="46" t="s">
        <v>1946</v>
      </c>
      <c r="B619" s="13" t="s">
        <v>1938</v>
      </c>
      <c r="C619" s="13" t="s">
        <v>1939</v>
      </c>
      <c r="D619" s="13" t="s">
        <v>1947</v>
      </c>
      <c r="E619" s="10" t="s">
        <v>133</v>
      </c>
      <c r="F619" s="10" t="s">
        <v>1940</v>
      </c>
      <c r="G619" s="30" t="s">
        <v>1948</v>
      </c>
      <c r="H619" s="30" t="s">
        <v>1949</v>
      </c>
      <c r="I619" s="11">
        <v>1417.1</v>
      </c>
      <c r="J619" s="116" t="s">
        <v>1941</v>
      </c>
      <c r="K619" s="11">
        <f>+I619/28/25*25</f>
        <v>50.610714285714273</v>
      </c>
      <c r="L619" s="12">
        <v>0.9</v>
      </c>
      <c r="M619" s="13" t="s">
        <v>1942</v>
      </c>
      <c r="N619" s="13" t="s">
        <v>1943</v>
      </c>
    </row>
    <row r="620" spans="1:14" ht="33.75">
      <c r="A620" s="48" t="s">
        <v>1950</v>
      </c>
      <c r="B620" s="16" t="s">
        <v>1951</v>
      </c>
      <c r="C620" s="13" t="s">
        <v>1952</v>
      </c>
      <c r="D620" s="13" t="s">
        <v>1953</v>
      </c>
      <c r="E620" s="10" t="s">
        <v>118</v>
      </c>
      <c r="F620" s="10" t="s">
        <v>197</v>
      </c>
      <c r="G620" s="10" t="s">
        <v>751</v>
      </c>
      <c r="H620" s="10" t="s">
        <v>752</v>
      </c>
      <c r="I620" s="20">
        <v>1159.3</v>
      </c>
      <c r="J620" s="10" t="s">
        <v>400</v>
      </c>
      <c r="K620" s="11">
        <f>+I620/30</f>
        <v>38.643333333333331</v>
      </c>
      <c r="L620" s="12">
        <v>0.85</v>
      </c>
      <c r="M620" s="16" t="s">
        <v>1954</v>
      </c>
      <c r="N620" s="16" t="s">
        <v>1955</v>
      </c>
    </row>
    <row r="621" spans="1:14" ht="22.5">
      <c r="A621" s="46" t="s">
        <v>1956</v>
      </c>
      <c r="B621" s="13" t="s">
        <v>1957</v>
      </c>
      <c r="C621" s="13" t="s">
        <v>1958</v>
      </c>
      <c r="D621" s="13" t="s">
        <v>1959</v>
      </c>
      <c r="E621" s="10" t="s">
        <v>133</v>
      </c>
      <c r="F621" s="10" t="s">
        <v>441</v>
      </c>
      <c r="G621" s="10" t="s">
        <v>49</v>
      </c>
      <c r="H621" s="10" t="s">
        <v>25</v>
      </c>
      <c r="I621" s="20">
        <v>762.8</v>
      </c>
      <c r="J621" s="10" t="s">
        <v>1960</v>
      </c>
      <c r="K621" s="11">
        <f>I621/28/5*7.5</f>
        <v>40.864285714285714</v>
      </c>
      <c r="L621" s="12">
        <v>0.6</v>
      </c>
      <c r="M621" s="13" t="s">
        <v>1961</v>
      </c>
      <c r="N621" s="13" t="s">
        <v>1890</v>
      </c>
    </row>
    <row r="622" spans="1:14" ht="22.5">
      <c r="A622" s="46" t="s">
        <v>1962</v>
      </c>
      <c r="B622" s="13" t="s">
        <v>1957</v>
      </c>
      <c r="C622" s="13" t="s">
        <v>1958</v>
      </c>
      <c r="D622" s="13" t="s">
        <v>1959</v>
      </c>
      <c r="E622" s="10" t="s">
        <v>133</v>
      </c>
      <c r="F622" s="10" t="s">
        <v>501</v>
      </c>
      <c r="G622" s="10" t="s">
        <v>46</v>
      </c>
      <c r="H622" s="10" t="s">
        <v>25</v>
      </c>
      <c r="I622" s="20">
        <v>1159.9000000000001</v>
      </c>
      <c r="J622" s="10" t="s">
        <v>1960</v>
      </c>
      <c r="K622" s="11">
        <f>I622/28/10*7.5</f>
        <v>31.068750000000001</v>
      </c>
      <c r="L622" s="12">
        <v>0.6</v>
      </c>
      <c r="M622" s="13" t="s">
        <v>1961</v>
      </c>
      <c r="N622" s="13" t="s">
        <v>1876</v>
      </c>
    </row>
    <row r="623" spans="1:14" ht="22.5">
      <c r="A623" s="46" t="s">
        <v>1963</v>
      </c>
      <c r="B623" s="13" t="s">
        <v>1957</v>
      </c>
      <c r="C623" s="13" t="s">
        <v>1958</v>
      </c>
      <c r="D623" s="13" t="s">
        <v>1964</v>
      </c>
      <c r="E623" s="10" t="s">
        <v>133</v>
      </c>
      <c r="F623" s="10" t="s">
        <v>441</v>
      </c>
      <c r="G623" s="10" t="s">
        <v>256</v>
      </c>
      <c r="H623" s="10" t="s">
        <v>21</v>
      </c>
      <c r="I623" s="20">
        <v>762.8</v>
      </c>
      <c r="J623" s="10" t="s">
        <v>1960</v>
      </c>
      <c r="K623" s="11">
        <f>I623/28/5*7.5</f>
        <v>40.864285714285714</v>
      </c>
      <c r="L623" s="12">
        <v>0.6</v>
      </c>
      <c r="M623" s="13" t="s">
        <v>1965</v>
      </c>
      <c r="N623" s="13" t="s">
        <v>1890</v>
      </c>
    </row>
    <row r="624" spans="1:14" ht="22.5">
      <c r="A624" s="46" t="s">
        <v>1966</v>
      </c>
      <c r="B624" s="13" t="s">
        <v>1957</v>
      </c>
      <c r="C624" s="13" t="s">
        <v>1958</v>
      </c>
      <c r="D624" s="13" t="s">
        <v>1964</v>
      </c>
      <c r="E624" s="10" t="s">
        <v>133</v>
      </c>
      <c r="F624" s="10" t="s">
        <v>501</v>
      </c>
      <c r="G624" s="10" t="s">
        <v>256</v>
      </c>
      <c r="H624" s="10" t="s">
        <v>21</v>
      </c>
      <c r="I624" s="20">
        <v>1159.9000000000001</v>
      </c>
      <c r="J624" s="10" t="s">
        <v>1960</v>
      </c>
      <c r="K624" s="11">
        <f>I624/28/10*7.5</f>
        <v>31.068750000000001</v>
      </c>
      <c r="L624" s="12">
        <v>0.6</v>
      </c>
      <c r="M624" s="13" t="s">
        <v>1965</v>
      </c>
      <c r="N624" s="13" t="s">
        <v>1890</v>
      </c>
    </row>
    <row r="625" spans="1:14" ht="22.5">
      <c r="A625" s="46" t="s">
        <v>1967</v>
      </c>
      <c r="B625" s="13" t="s">
        <v>1957</v>
      </c>
      <c r="C625" s="13" t="s">
        <v>1958</v>
      </c>
      <c r="D625" s="13" t="s">
        <v>1968</v>
      </c>
      <c r="E625" s="10" t="s">
        <v>133</v>
      </c>
      <c r="F625" s="10" t="s">
        <v>441</v>
      </c>
      <c r="G625" s="10" t="s">
        <v>1969</v>
      </c>
      <c r="H625" s="10" t="s">
        <v>260</v>
      </c>
      <c r="I625" s="20">
        <v>762.8</v>
      </c>
      <c r="J625" s="11" t="s">
        <v>1960</v>
      </c>
      <c r="K625" s="11">
        <f>I625/28/5*7.5</f>
        <v>40.864285714285714</v>
      </c>
      <c r="L625" s="1">
        <v>0.6</v>
      </c>
      <c r="M625" s="13" t="s">
        <v>1965</v>
      </c>
      <c r="N625" s="13" t="s">
        <v>1876</v>
      </c>
    </row>
    <row r="626" spans="1:14" ht="22.5">
      <c r="A626" s="46" t="s">
        <v>1970</v>
      </c>
      <c r="B626" s="13" t="s">
        <v>1957</v>
      </c>
      <c r="C626" s="13" t="s">
        <v>1958</v>
      </c>
      <c r="D626" s="13" t="s">
        <v>1968</v>
      </c>
      <c r="E626" s="10" t="s">
        <v>133</v>
      </c>
      <c r="F626" s="10" t="s">
        <v>501</v>
      </c>
      <c r="G626" s="10" t="s">
        <v>1969</v>
      </c>
      <c r="H626" s="10" t="s">
        <v>260</v>
      </c>
      <c r="I626" s="20">
        <v>1159.9000000000001</v>
      </c>
      <c r="J626" s="11" t="s">
        <v>1960</v>
      </c>
      <c r="K626" s="11">
        <f>I626/28/10*7.5</f>
        <v>31.068750000000001</v>
      </c>
      <c r="L626" s="1">
        <v>0.6</v>
      </c>
      <c r="M626" s="13" t="s">
        <v>1965</v>
      </c>
      <c r="N626" s="13" t="s">
        <v>1876</v>
      </c>
    </row>
    <row r="627" spans="1:14" ht="33.75">
      <c r="A627" s="46" t="s">
        <v>1971</v>
      </c>
      <c r="B627" s="13" t="s">
        <v>1972</v>
      </c>
      <c r="C627" s="13" t="s">
        <v>1973</v>
      </c>
      <c r="D627" s="13" t="s">
        <v>1974</v>
      </c>
      <c r="E627" s="10" t="s">
        <v>274</v>
      </c>
      <c r="F627" s="10" t="s">
        <v>1776</v>
      </c>
      <c r="G627" s="10" t="s">
        <v>1975</v>
      </c>
      <c r="H627" s="10" t="s">
        <v>66</v>
      </c>
      <c r="I627" s="20">
        <v>642.1</v>
      </c>
      <c r="J627" s="10" t="s">
        <v>1976</v>
      </c>
      <c r="K627" s="11">
        <f>I627/28/1.5*9</f>
        <v>137.59285714285716</v>
      </c>
      <c r="L627" s="12">
        <v>0.75</v>
      </c>
      <c r="M627" s="13" t="s">
        <v>1977</v>
      </c>
      <c r="N627" s="13" t="s">
        <v>1890</v>
      </c>
    </row>
    <row r="628" spans="1:14" ht="33.75">
      <c r="A628" s="46" t="s">
        <v>1978</v>
      </c>
      <c r="B628" s="13" t="s">
        <v>1972</v>
      </c>
      <c r="C628" s="13" t="s">
        <v>1973</v>
      </c>
      <c r="D628" s="13" t="s">
        <v>1974</v>
      </c>
      <c r="E628" s="10" t="s">
        <v>274</v>
      </c>
      <c r="F628" s="10" t="s">
        <v>1780</v>
      </c>
      <c r="G628" s="10" t="s">
        <v>1975</v>
      </c>
      <c r="H628" s="10" t="s">
        <v>66</v>
      </c>
      <c r="I628" s="20">
        <v>923.3</v>
      </c>
      <c r="J628" s="10" t="s">
        <v>1976</v>
      </c>
      <c r="K628" s="11">
        <f>I628/28/3*9</f>
        <v>98.925000000000011</v>
      </c>
      <c r="L628" s="12">
        <v>0.75</v>
      </c>
      <c r="M628" s="13" t="s">
        <v>1977</v>
      </c>
      <c r="N628" s="13" t="s">
        <v>1890</v>
      </c>
    </row>
    <row r="629" spans="1:14" ht="33.75">
      <c r="A629" s="46" t="s">
        <v>1979</v>
      </c>
      <c r="B629" s="13" t="s">
        <v>1972</v>
      </c>
      <c r="C629" s="13" t="s">
        <v>1973</v>
      </c>
      <c r="D629" s="13" t="s">
        <v>1974</v>
      </c>
      <c r="E629" s="10" t="s">
        <v>274</v>
      </c>
      <c r="F629" s="10" t="s">
        <v>1782</v>
      </c>
      <c r="G629" s="10" t="s">
        <v>1975</v>
      </c>
      <c r="H629" s="10" t="s">
        <v>66</v>
      </c>
      <c r="I629" s="20">
        <v>987.7</v>
      </c>
      <c r="J629" s="10" t="s">
        <v>1976</v>
      </c>
      <c r="K629" s="11">
        <f>I629/28/4.5*9</f>
        <v>70.55</v>
      </c>
      <c r="L629" s="12">
        <v>0.75</v>
      </c>
      <c r="M629" s="13" t="s">
        <v>1977</v>
      </c>
      <c r="N629" s="13" t="s">
        <v>1890</v>
      </c>
    </row>
    <row r="630" spans="1:14" ht="33.75">
      <c r="A630" s="46" t="s">
        <v>1980</v>
      </c>
      <c r="B630" s="13" t="s">
        <v>1972</v>
      </c>
      <c r="C630" s="13" t="s">
        <v>1973</v>
      </c>
      <c r="D630" s="13" t="s">
        <v>1974</v>
      </c>
      <c r="E630" s="10" t="s">
        <v>274</v>
      </c>
      <c r="F630" s="10" t="s">
        <v>1784</v>
      </c>
      <c r="G630" s="10" t="s">
        <v>1975</v>
      </c>
      <c r="H630" s="10" t="s">
        <v>66</v>
      </c>
      <c r="I630" s="20">
        <v>987.7</v>
      </c>
      <c r="J630" s="10" t="s">
        <v>1976</v>
      </c>
      <c r="K630" s="11">
        <f>I630/28/6*9</f>
        <v>52.912499999999994</v>
      </c>
      <c r="L630" s="12">
        <v>0.75</v>
      </c>
      <c r="M630" s="13" t="s">
        <v>1977</v>
      </c>
      <c r="N630" s="13" t="s">
        <v>1890</v>
      </c>
    </row>
    <row r="631" spans="1:14" ht="22.5">
      <c r="A631" s="46" t="s">
        <v>1981</v>
      </c>
      <c r="B631" s="13" t="s">
        <v>1972</v>
      </c>
      <c r="C631" s="13" t="s">
        <v>1973</v>
      </c>
      <c r="D631" s="13" t="s">
        <v>1982</v>
      </c>
      <c r="E631" s="10" t="s">
        <v>1983</v>
      </c>
      <c r="F631" s="10" t="s">
        <v>1776</v>
      </c>
      <c r="G631" s="10" t="s">
        <v>565</v>
      </c>
      <c r="H631" s="10" t="s">
        <v>25</v>
      </c>
      <c r="I631" s="20">
        <v>642.1</v>
      </c>
      <c r="J631" s="10" t="s">
        <v>1976</v>
      </c>
      <c r="K631" s="11">
        <f>I631/28/1.5*9</f>
        <v>137.59285714285716</v>
      </c>
      <c r="L631" s="12">
        <v>0.75</v>
      </c>
      <c r="M631" s="92" t="s">
        <v>1984</v>
      </c>
      <c r="N631" s="92" t="s">
        <v>1845</v>
      </c>
    </row>
    <row r="632" spans="1:14" ht="22.5">
      <c r="A632" s="46" t="s">
        <v>1985</v>
      </c>
      <c r="B632" s="13" t="s">
        <v>1972</v>
      </c>
      <c r="C632" s="13" t="s">
        <v>1973</v>
      </c>
      <c r="D632" s="13" t="s">
        <v>1982</v>
      </c>
      <c r="E632" s="10" t="s">
        <v>1983</v>
      </c>
      <c r="F632" s="10" t="s">
        <v>1780</v>
      </c>
      <c r="G632" s="10" t="s">
        <v>565</v>
      </c>
      <c r="H632" s="10" t="s">
        <v>25</v>
      </c>
      <c r="I632" s="20">
        <v>923.3</v>
      </c>
      <c r="J632" s="10" t="s">
        <v>1976</v>
      </c>
      <c r="K632" s="11">
        <f>I632/28/3*9</f>
        <v>98.925000000000011</v>
      </c>
      <c r="L632" s="12">
        <v>0.75</v>
      </c>
      <c r="M632" s="92" t="s">
        <v>1984</v>
      </c>
      <c r="N632" s="92" t="s">
        <v>1845</v>
      </c>
    </row>
    <row r="633" spans="1:14" ht="22.5">
      <c r="A633" s="46" t="s">
        <v>1986</v>
      </c>
      <c r="B633" s="13" t="s">
        <v>1972</v>
      </c>
      <c r="C633" s="13" t="s">
        <v>1973</v>
      </c>
      <c r="D633" s="13" t="s">
        <v>1982</v>
      </c>
      <c r="E633" s="10" t="s">
        <v>1983</v>
      </c>
      <c r="F633" s="10" t="s">
        <v>1782</v>
      </c>
      <c r="G633" s="10" t="s">
        <v>565</v>
      </c>
      <c r="H633" s="10" t="s">
        <v>25</v>
      </c>
      <c r="I633" s="20">
        <v>987.7</v>
      </c>
      <c r="J633" s="10" t="s">
        <v>1976</v>
      </c>
      <c r="K633" s="11">
        <f>I633/28/4.5*9</f>
        <v>70.55</v>
      </c>
      <c r="L633" s="12">
        <v>0.75</v>
      </c>
      <c r="M633" s="92" t="s">
        <v>1984</v>
      </c>
      <c r="N633" s="92" t="s">
        <v>1845</v>
      </c>
    </row>
    <row r="634" spans="1:14" ht="22.5">
      <c r="A634" s="46" t="s">
        <v>1987</v>
      </c>
      <c r="B634" s="13" t="s">
        <v>1972</v>
      </c>
      <c r="C634" s="13" t="s">
        <v>1973</v>
      </c>
      <c r="D634" s="13" t="s">
        <v>1982</v>
      </c>
      <c r="E634" s="10" t="s">
        <v>1983</v>
      </c>
      <c r="F634" s="10" t="s">
        <v>1784</v>
      </c>
      <c r="G634" s="10" t="s">
        <v>565</v>
      </c>
      <c r="H634" s="10" t="s">
        <v>25</v>
      </c>
      <c r="I634" s="20">
        <v>987.7</v>
      </c>
      <c r="J634" s="10" t="s">
        <v>1976</v>
      </c>
      <c r="K634" s="11">
        <f>I634/28/6*9</f>
        <v>52.912499999999994</v>
      </c>
      <c r="L634" s="12">
        <v>0.75</v>
      </c>
      <c r="M634" s="92" t="s">
        <v>1984</v>
      </c>
      <c r="N634" s="92" t="s">
        <v>1845</v>
      </c>
    </row>
    <row r="635" spans="1:14" ht="45">
      <c r="A635" s="46" t="s">
        <v>1988</v>
      </c>
      <c r="B635" s="13" t="s">
        <v>1972</v>
      </c>
      <c r="C635" s="13" t="s">
        <v>1973</v>
      </c>
      <c r="D635" s="13" t="s">
        <v>1974</v>
      </c>
      <c r="E635" s="10" t="s">
        <v>1473</v>
      </c>
      <c r="F635" s="10" t="s">
        <v>1989</v>
      </c>
      <c r="G635" s="10" t="s">
        <v>1990</v>
      </c>
      <c r="H635" s="10" t="s">
        <v>1991</v>
      </c>
      <c r="I635" s="20">
        <v>1948.5</v>
      </c>
      <c r="J635" s="10" t="s">
        <v>1976</v>
      </c>
      <c r="K635" s="11">
        <f>I635/4.6/30*9</f>
        <v>127.07608695652176</v>
      </c>
      <c r="L635" s="12">
        <v>0.6</v>
      </c>
      <c r="M635" s="13" t="s">
        <v>1992</v>
      </c>
      <c r="N635" s="13" t="s">
        <v>1890</v>
      </c>
    </row>
    <row r="636" spans="1:14" ht="45">
      <c r="A636" s="46" t="s">
        <v>1993</v>
      </c>
      <c r="B636" s="13" t="s">
        <v>1972</v>
      </c>
      <c r="C636" s="13" t="s">
        <v>1973</v>
      </c>
      <c r="D636" s="13" t="s">
        <v>1974</v>
      </c>
      <c r="E636" s="10" t="s">
        <v>1473</v>
      </c>
      <c r="F636" s="10" t="s">
        <v>1994</v>
      </c>
      <c r="G636" s="10" t="s">
        <v>1990</v>
      </c>
      <c r="H636" s="10" t="s">
        <v>1991</v>
      </c>
      <c r="I636" s="20">
        <v>2703.1</v>
      </c>
      <c r="J636" s="10" t="s">
        <v>1976</v>
      </c>
      <c r="K636" s="11">
        <f>I636/30/9.5*9</f>
        <v>85.361052631578929</v>
      </c>
      <c r="L636" s="12">
        <v>0.6</v>
      </c>
      <c r="M636" s="13" t="s">
        <v>1992</v>
      </c>
      <c r="N636" s="13" t="s">
        <v>1890</v>
      </c>
    </row>
    <row r="637" spans="1:14" ht="45">
      <c r="A637" s="46" t="s">
        <v>1995</v>
      </c>
      <c r="B637" s="13" t="s">
        <v>1972</v>
      </c>
      <c r="C637" s="13" t="s">
        <v>1973</v>
      </c>
      <c r="D637" s="13" t="s">
        <v>1974</v>
      </c>
      <c r="E637" s="10" t="s">
        <v>1473</v>
      </c>
      <c r="F637" s="10" t="s">
        <v>1996</v>
      </c>
      <c r="G637" s="10" t="s">
        <v>1997</v>
      </c>
      <c r="H637" s="10" t="s">
        <v>1991</v>
      </c>
      <c r="I637" s="20">
        <v>3458.8</v>
      </c>
      <c r="J637" s="10" t="s">
        <v>1998</v>
      </c>
      <c r="K637" s="11">
        <f>I637/30/13.3*9.5</f>
        <v>82.352380952380955</v>
      </c>
      <c r="L637" s="12">
        <v>0.6</v>
      </c>
      <c r="M637" s="13" t="s">
        <v>1992</v>
      </c>
      <c r="N637" s="13" t="s">
        <v>1890</v>
      </c>
    </row>
    <row r="638" spans="1:14" ht="22.5">
      <c r="A638" s="46" t="s">
        <v>1999</v>
      </c>
      <c r="B638" s="13" t="s">
        <v>2000</v>
      </c>
      <c r="C638" s="13" t="s">
        <v>2001</v>
      </c>
      <c r="D638" s="13" t="s">
        <v>2002</v>
      </c>
      <c r="E638" s="10" t="s">
        <v>133</v>
      </c>
      <c r="F638" s="10" t="s">
        <v>501</v>
      </c>
      <c r="G638" s="10" t="s">
        <v>565</v>
      </c>
      <c r="H638" s="10" t="s">
        <v>25</v>
      </c>
      <c r="I638" s="20">
        <v>634.1</v>
      </c>
      <c r="J638" s="10" t="s">
        <v>22</v>
      </c>
      <c r="K638" s="11">
        <f>I638/28/10*20</f>
        <v>45.292857142857144</v>
      </c>
      <c r="L638" s="12">
        <v>0.75</v>
      </c>
      <c r="M638" s="13" t="s">
        <v>1965</v>
      </c>
      <c r="N638" s="68" t="s">
        <v>1845</v>
      </c>
    </row>
    <row r="639" spans="1:14" ht="22.5">
      <c r="A639" s="46" t="s">
        <v>2003</v>
      </c>
      <c r="B639" s="13" t="s">
        <v>2000</v>
      </c>
      <c r="C639" s="13" t="s">
        <v>2001</v>
      </c>
      <c r="D639" s="13" t="s">
        <v>2002</v>
      </c>
      <c r="E639" s="10" t="s">
        <v>133</v>
      </c>
      <c r="F639" s="10" t="s">
        <v>44</v>
      </c>
      <c r="G639" s="10" t="s">
        <v>565</v>
      </c>
      <c r="H639" s="10" t="s">
        <v>25</v>
      </c>
      <c r="I639" s="20">
        <v>1268.2</v>
      </c>
      <c r="J639" s="10" t="s">
        <v>22</v>
      </c>
      <c r="K639" s="11">
        <f>I639/28/20*20</f>
        <v>45.292857142857144</v>
      </c>
      <c r="L639" s="12">
        <v>0.75</v>
      </c>
      <c r="M639" s="13" t="s">
        <v>1965</v>
      </c>
      <c r="N639" s="68" t="s">
        <v>1845</v>
      </c>
    </row>
    <row r="640" spans="1:14" ht="22.5">
      <c r="A640" s="46" t="s">
        <v>2004</v>
      </c>
      <c r="B640" s="13" t="s">
        <v>2000</v>
      </c>
      <c r="C640" s="13" t="s">
        <v>2001</v>
      </c>
      <c r="D640" s="13" t="s">
        <v>2005</v>
      </c>
      <c r="E640" s="10" t="s">
        <v>133</v>
      </c>
      <c r="F640" s="10" t="s">
        <v>501</v>
      </c>
      <c r="G640" s="47" t="s">
        <v>248</v>
      </c>
      <c r="H640" s="47" t="s">
        <v>249</v>
      </c>
      <c r="I640" s="20">
        <v>634.1</v>
      </c>
      <c r="J640" s="10" t="s">
        <v>22</v>
      </c>
      <c r="K640" s="11">
        <f>I640/28/10*20</f>
        <v>45.292857142857144</v>
      </c>
      <c r="L640" s="12">
        <v>0.75</v>
      </c>
      <c r="M640" s="13" t="s">
        <v>1965</v>
      </c>
      <c r="N640" s="68" t="s">
        <v>1845</v>
      </c>
    </row>
    <row r="641" spans="1:14" ht="22.5">
      <c r="A641" s="46" t="s">
        <v>2006</v>
      </c>
      <c r="B641" s="13" t="s">
        <v>2000</v>
      </c>
      <c r="C641" s="13" t="s">
        <v>2001</v>
      </c>
      <c r="D641" s="13" t="s">
        <v>2005</v>
      </c>
      <c r="E641" s="10" t="s">
        <v>133</v>
      </c>
      <c r="F641" s="10" t="s">
        <v>44</v>
      </c>
      <c r="G641" s="47" t="s">
        <v>248</v>
      </c>
      <c r="H641" s="47" t="s">
        <v>249</v>
      </c>
      <c r="I641" s="20">
        <v>1268.2</v>
      </c>
      <c r="J641" s="10" t="s">
        <v>22</v>
      </c>
      <c r="K641" s="11">
        <f>I641/28/20*20</f>
        <v>45.292857142857144</v>
      </c>
      <c r="L641" s="12">
        <v>0.75</v>
      </c>
      <c r="M641" s="13" t="s">
        <v>1965</v>
      </c>
      <c r="N641" s="68" t="s">
        <v>1845</v>
      </c>
    </row>
    <row r="642" spans="1:14" ht="33.75">
      <c r="A642" s="46" t="s">
        <v>2007</v>
      </c>
      <c r="B642" s="13" t="s">
        <v>2000</v>
      </c>
      <c r="C642" s="13" t="s">
        <v>2001</v>
      </c>
      <c r="D642" s="13" t="s">
        <v>2008</v>
      </c>
      <c r="E642" s="10" t="s">
        <v>133</v>
      </c>
      <c r="F642" s="10" t="s">
        <v>44</v>
      </c>
      <c r="G642" s="10" t="s">
        <v>449</v>
      </c>
      <c r="H642" s="10" t="s">
        <v>277</v>
      </c>
      <c r="I642" s="20">
        <v>1268.2</v>
      </c>
      <c r="J642" s="11" t="s">
        <v>22</v>
      </c>
      <c r="K642" s="11">
        <f>I642/28/20*20</f>
        <v>45.292857142857144</v>
      </c>
      <c r="L642" s="1">
        <v>0.75</v>
      </c>
      <c r="M642" s="13" t="s">
        <v>1965</v>
      </c>
      <c r="N642" s="68" t="s">
        <v>1845</v>
      </c>
    </row>
    <row r="643" spans="1:14" ht="33.75">
      <c r="A643" s="46" t="s">
        <v>2009</v>
      </c>
      <c r="B643" s="13" t="s">
        <v>2000</v>
      </c>
      <c r="C643" s="8" t="s">
        <v>2001</v>
      </c>
      <c r="D643" s="13" t="s">
        <v>2010</v>
      </c>
      <c r="E643" s="10" t="s">
        <v>133</v>
      </c>
      <c r="F643" s="10" t="s">
        <v>501</v>
      </c>
      <c r="G643" s="10" t="s">
        <v>1761</v>
      </c>
      <c r="H643" s="10" t="s">
        <v>1172</v>
      </c>
      <c r="I643" s="20">
        <v>634.1</v>
      </c>
      <c r="J643" s="116" t="s">
        <v>22</v>
      </c>
      <c r="K643" s="11">
        <f>I643/28/10*20</f>
        <v>45.292857142857144</v>
      </c>
      <c r="L643" s="3">
        <v>0.75</v>
      </c>
      <c r="M643" s="13" t="s">
        <v>1965</v>
      </c>
      <c r="N643" s="68" t="s">
        <v>1845</v>
      </c>
    </row>
    <row r="644" spans="1:14" ht="33.75">
      <c r="A644" s="46" t="s">
        <v>2011</v>
      </c>
      <c r="B644" s="13" t="s">
        <v>2000</v>
      </c>
      <c r="C644" s="8" t="s">
        <v>2001</v>
      </c>
      <c r="D644" s="13" t="s">
        <v>2010</v>
      </c>
      <c r="E644" s="10" t="s">
        <v>133</v>
      </c>
      <c r="F644" s="10" t="s">
        <v>44</v>
      </c>
      <c r="G644" s="10" t="s">
        <v>1761</v>
      </c>
      <c r="H644" s="10" t="s">
        <v>1172</v>
      </c>
      <c r="I644" s="20">
        <v>1268.2</v>
      </c>
      <c r="J644" s="116" t="s">
        <v>22</v>
      </c>
      <c r="K644" s="11">
        <f>I644/28/20*20</f>
        <v>45.292857142857144</v>
      </c>
      <c r="L644" s="3">
        <v>0.75</v>
      </c>
      <c r="M644" s="13" t="s">
        <v>1965</v>
      </c>
      <c r="N644" s="68" t="s">
        <v>1845</v>
      </c>
    </row>
    <row r="645" spans="1:14" ht="22.5">
      <c r="A645" s="98" t="s">
        <v>2012</v>
      </c>
      <c r="B645" s="98" t="s">
        <v>2013</v>
      </c>
      <c r="C645" s="98" t="s">
        <v>2014</v>
      </c>
      <c r="D645" s="98" t="s">
        <v>2015</v>
      </c>
      <c r="E645" s="99" t="s">
        <v>31</v>
      </c>
      <c r="F645" s="99" t="s">
        <v>2016</v>
      </c>
      <c r="G645" s="99" t="s">
        <v>2017</v>
      </c>
      <c r="H645" s="99" t="s">
        <v>2018</v>
      </c>
      <c r="I645" s="20">
        <v>1121.5999999999999</v>
      </c>
      <c r="J645" s="99" t="s">
        <v>137</v>
      </c>
      <c r="K645" s="11">
        <f>I645/84/333*2000</f>
        <v>80.194480194480178</v>
      </c>
      <c r="L645" s="1">
        <v>0.9</v>
      </c>
      <c r="M645" s="13" t="s">
        <v>2019</v>
      </c>
      <c r="N645" s="68" t="s">
        <v>2020</v>
      </c>
    </row>
    <row r="646" spans="1:14" ht="33.75">
      <c r="A646" s="46" t="s">
        <v>2021</v>
      </c>
      <c r="B646" s="13" t="s">
        <v>2022</v>
      </c>
      <c r="C646" s="13" t="s">
        <v>2023</v>
      </c>
      <c r="D646" s="13" t="s">
        <v>2565</v>
      </c>
      <c r="E646" s="10" t="s">
        <v>133</v>
      </c>
      <c r="F646" s="10" t="s">
        <v>187</v>
      </c>
      <c r="G646" s="10" t="s">
        <v>2566</v>
      </c>
      <c r="H646" s="10" t="s">
        <v>1090</v>
      </c>
      <c r="I646" s="20">
        <v>3394.8</v>
      </c>
      <c r="J646" s="10" t="s">
        <v>400</v>
      </c>
      <c r="K646" s="11">
        <f>I646/28/50*50</f>
        <v>121.24285714285715</v>
      </c>
      <c r="L646" s="12">
        <v>0.75</v>
      </c>
      <c r="M646" s="62" t="s">
        <v>2024</v>
      </c>
      <c r="N646" s="62" t="s">
        <v>2025</v>
      </c>
    </row>
    <row r="647" spans="1:14" ht="146.25">
      <c r="A647" s="46" t="s">
        <v>2026</v>
      </c>
      <c r="B647" s="13" t="s">
        <v>2027</v>
      </c>
      <c r="C647" s="13" t="s">
        <v>1500</v>
      </c>
      <c r="D647" s="13" t="s">
        <v>2028</v>
      </c>
      <c r="E647" s="10" t="s">
        <v>2029</v>
      </c>
      <c r="F647" s="10" t="s">
        <v>2030</v>
      </c>
      <c r="G647" s="10" t="s">
        <v>958</v>
      </c>
      <c r="H647" s="10" t="s">
        <v>277</v>
      </c>
      <c r="I647" s="20">
        <v>308.39999999999998</v>
      </c>
      <c r="J647" s="10" t="s">
        <v>2031</v>
      </c>
      <c r="K647" s="11">
        <f>I647/7/2*8</f>
        <v>176.22857142857143</v>
      </c>
      <c r="L647" s="1">
        <v>0.5</v>
      </c>
      <c r="M647" s="13" t="s">
        <v>2032</v>
      </c>
      <c r="N647" s="13" t="s">
        <v>2033</v>
      </c>
    </row>
    <row r="648" spans="1:14" ht="146.25">
      <c r="A648" s="46" t="s">
        <v>2034</v>
      </c>
      <c r="B648" s="13" t="s">
        <v>2027</v>
      </c>
      <c r="C648" s="13" t="s">
        <v>1500</v>
      </c>
      <c r="D648" s="13" t="s">
        <v>2028</v>
      </c>
      <c r="E648" s="10" t="s">
        <v>2029</v>
      </c>
      <c r="F648" s="10" t="s">
        <v>2035</v>
      </c>
      <c r="G648" s="10" t="s">
        <v>958</v>
      </c>
      <c r="H648" s="10" t="s">
        <v>277</v>
      </c>
      <c r="I648" s="11">
        <v>1033.5999999999999</v>
      </c>
      <c r="J648" s="10" t="s">
        <v>2031</v>
      </c>
      <c r="K648" s="11">
        <f>I648/7/8*8</f>
        <v>147.65714285714284</v>
      </c>
      <c r="L648" s="1">
        <v>0.5</v>
      </c>
      <c r="M648" s="13" t="s">
        <v>2032</v>
      </c>
      <c r="N648" s="13" t="s">
        <v>2033</v>
      </c>
    </row>
    <row r="649" spans="1:14" ht="146.25">
      <c r="A649" s="46" t="s">
        <v>2036</v>
      </c>
      <c r="B649" s="13" t="s">
        <v>2027</v>
      </c>
      <c r="C649" s="13" t="s">
        <v>1500</v>
      </c>
      <c r="D649" s="13" t="s">
        <v>2037</v>
      </c>
      <c r="E649" s="10" t="s">
        <v>2029</v>
      </c>
      <c r="F649" s="10" t="s">
        <v>2030</v>
      </c>
      <c r="G649" s="10" t="s">
        <v>2038</v>
      </c>
      <c r="H649" s="10" t="s">
        <v>1090</v>
      </c>
      <c r="I649" s="20">
        <v>308.39999999999998</v>
      </c>
      <c r="J649" s="11" t="s">
        <v>2031</v>
      </c>
      <c r="K649" s="11">
        <f>I649/7/2*8</f>
        <v>176.22857142857143</v>
      </c>
      <c r="L649" s="3">
        <v>0.5</v>
      </c>
      <c r="M649" s="13" t="s">
        <v>2032</v>
      </c>
      <c r="N649" s="13" t="s">
        <v>2033</v>
      </c>
    </row>
    <row r="650" spans="1:14" ht="146.25">
      <c r="A650" s="46" t="s">
        <v>2039</v>
      </c>
      <c r="B650" s="13" t="s">
        <v>2027</v>
      </c>
      <c r="C650" s="13" t="s">
        <v>1500</v>
      </c>
      <c r="D650" s="13" t="s">
        <v>2037</v>
      </c>
      <c r="E650" s="10" t="s">
        <v>2029</v>
      </c>
      <c r="F650" s="10" t="s">
        <v>2035</v>
      </c>
      <c r="G650" s="10" t="s">
        <v>2038</v>
      </c>
      <c r="H650" s="10" t="s">
        <v>1090</v>
      </c>
      <c r="I650" s="11">
        <v>1033.5999999999999</v>
      </c>
      <c r="J650" s="11" t="s">
        <v>2031</v>
      </c>
      <c r="K650" s="11">
        <f>I650/7/8*8</f>
        <v>147.65714285714284</v>
      </c>
      <c r="L650" s="3">
        <v>0.5</v>
      </c>
      <c r="M650" s="13" t="s">
        <v>2032</v>
      </c>
      <c r="N650" s="13" t="s">
        <v>2033</v>
      </c>
    </row>
    <row r="651" spans="1:14" ht="146.25">
      <c r="A651" s="46" t="s">
        <v>2040</v>
      </c>
      <c r="B651" s="13" t="s">
        <v>2027</v>
      </c>
      <c r="C651" s="16" t="s">
        <v>1500</v>
      </c>
      <c r="D651" s="16" t="s">
        <v>2041</v>
      </c>
      <c r="E651" s="21" t="s">
        <v>2029</v>
      </c>
      <c r="F651" s="21" t="s">
        <v>2030</v>
      </c>
      <c r="G651" s="10" t="s">
        <v>2038</v>
      </c>
      <c r="H651" s="10" t="s">
        <v>1090</v>
      </c>
      <c r="I651" s="20">
        <v>308.39999999999998</v>
      </c>
      <c r="J651" s="10" t="s">
        <v>2031</v>
      </c>
      <c r="K651" s="11">
        <f>I651/7/2*8</f>
        <v>176.22857142857143</v>
      </c>
      <c r="L651" s="3">
        <v>0.5</v>
      </c>
      <c r="M651" s="13" t="s">
        <v>2032</v>
      </c>
      <c r="N651" s="13" t="s">
        <v>2033</v>
      </c>
    </row>
    <row r="652" spans="1:14" ht="146.25">
      <c r="A652" s="46" t="s">
        <v>2042</v>
      </c>
      <c r="B652" s="13" t="s">
        <v>2027</v>
      </c>
      <c r="C652" s="16" t="s">
        <v>1500</v>
      </c>
      <c r="D652" s="16" t="s">
        <v>2041</v>
      </c>
      <c r="E652" s="21" t="s">
        <v>2029</v>
      </c>
      <c r="F652" s="21" t="s">
        <v>2035</v>
      </c>
      <c r="G652" s="10" t="s">
        <v>2038</v>
      </c>
      <c r="H652" s="10" t="s">
        <v>1090</v>
      </c>
      <c r="I652" s="11">
        <v>1033.5999999999999</v>
      </c>
      <c r="J652" s="10" t="s">
        <v>2031</v>
      </c>
      <c r="K652" s="11">
        <f>I652/7/8*8</f>
        <v>147.65714285714284</v>
      </c>
      <c r="L652" s="3">
        <v>0.5</v>
      </c>
      <c r="M652" s="13" t="s">
        <v>2032</v>
      </c>
      <c r="N652" s="13" t="s">
        <v>2033</v>
      </c>
    </row>
    <row r="653" spans="1:14" ht="146.25">
      <c r="A653" s="48" t="s">
        <v>2043</v>
      </c>
      <c r="B653" s="16" t="s">
        <v>2044</v>
      </c>
      <c r="C653" s="13" t="s">
        <v>2045</v>
      </c>
      <c r="D653" s="13" t="s">
        <v>2046</v>
      </c>
      <c r="E653" s="10" t="s">
        <v>2029</v>
      </c>
      <c r="F653" s="10" t="s">
        <v>2047</v>
      </c>
      <c r="G653" s="10" t="s">
        <v>449</v>
      </c>
      <c r="H653" s="10" t="s">
        <v>277</v>
      </c>
      <c r="I653" s="11">
        <v>348.6</v>
      </c>
      <c r="J653" s="10" t="s">
        <v>2031</v>
      </c>
      <c r="K653" s="32">
        <f>I653/7/2*8</f>
        <v>199.20000000000002</v>
      </c>
      <c r="L653" s="12">
        <v>0.45</v>
      </c>
      <c r="M653" s="13" t="s">
        <v>2048</v>
      </c>
      <c r="N653" s="13" t="s">
        <v>2033</v>
      </c>
    </row>
    <row r="654" spans="1:14" ht="146.25">
      <c r="A654" s="48" t="s">
        <v>2049</v>
      </c>
      <c r="B654" s="16" t="s">
        <v>2044</v>
      </c>
      <c r="C654" s="13" t="s">
        <v>2045</v>
      </c>
      <c r="D654" s="13" t="s">
        <v>2046</v>
      </c>
      <c r="E654" s="10" t="s">
        <v>2029</v>
      </c>
      <c r="F654" s="10" t="s">
        <v>2050</v>
      </c>
      <c r="G654" s="10" t="s">
        <v>449</v>
      </c>
      <c r="H654" s="10" t="s">
        <v>277</v>
      </c>
      <c r="I654" s="11">
        <v>1247.2</v>
      </c>
      <c r="J654" s="10" t="s">
        <v>2031</v>
      </c>
      <c r="K654" s="32">
        <f>I654/7/8*8</f>
        <v>178.17142857142858</v>
      </c>
      <c r="L654" s="12">
        <v>0.45</v>
      </c>
      <c r="M654" s="13" t="s">
        <v>2048</v>
      </c>
      <c r="N654" s="13" t="s">
        <v>2033</v>
      </c>
    </row>
    <row r="655" spans="1:14" ht="33.75">
      <c r="A655" s="13" t="s">
        <v>2051</v>
      </c>
      <c r="B655" s="13" t="s">
        <v>2052</v>
      </c>
      <c r="C655" s="13" t="s">
        <v>2053</v>
      </c>
      <c r="D655" s="13" t="s">
        <v>2054</v>
      </c>
      <c r="E655" s="10" t="s">
        <v>2055</v>
      </c>
      <c r="F655" s="10" t="s">
        <v>2056</v>
      </c>
      <c r="G655" s="10" t="s">
        <v>2215</v>
      </c>
      <c r="H655" s="10" t="s">
        <v>66</v>
      </c>
      <c r="I655" s="20">
        <v>379.8</v>
      </c>
      <c r="J655" s="11" t="s">
        <v>1097</v>
      </c>
      <c r="K655" s="11">
        <f>I655/200/50*400</f>
        <v>15.192</v>
      </c>
      <c r="L655" s="12">
        <v>0.35</v>
      </c>
      <c r="M655" s="13"/>
      <c r="N655" s="13"/>
    </row>
    <row r="656" spans="1:14" ht="56.25">
      <c r="A656" s="13" t="s">
        <v>2057</v>
      </c>
      <c r="B656" s="13" t="s">
        <v>2058</v>
      </c>
      <c r="C656" s="13" t="s">
        <v>2059</v>
      </c>
      <c r="D656" s="13" t="s">
        <v>2060</v>
      </c>
      <c r="E656" s="10" t="s">
        <v>2061</v>
      </c>
      <c r="F656" s="10" t="s">
        <v>2062</v>
      </c>
      <c r="G656" s="47" t="s">
        <v>2063</v>
      </c>
      <c r="H656" s="47" t="s">
        <v>239</v>
      </c>
      <c r="I656" s="20">
        <v>1020.5</v>
      </c>
      <c r="J656" s="11" t="s">
        <v>2064</v>
      </c>
      <c r="K656" s="11">
        <f>I656/120/25*100</f>
        <v>34.016666666666666</v>
      </c>
      <c r="L656" s="12">
        <v>0.35</v>
      </c>
      <c r="M656" s="13" t="s">
        <v>2065</v>
      </c>
      <c r="N656" s="13" t="s">
        <v>2066</v>
      </c>
    </row>
    <row r="657" spans="1:14" ht="56.25">
      <c r="A657" s="13" t="s">
        <v>2067</v>
      </c>
      <c r="B657" s="13" t="s">
        <v>2068</v>
      </c>
      <c r="C657" s="13" t="s">
        <v>2069</v>
      </c>
      <c r="D657" s="13" t="s">
        <v>2070</v>
      </c>
      <c r="E657" s="10" t="s">
        <v>2071</v>
      </c>
      <c r="F657" s="10" t="s">
        <v>2072</v>
      </c>
      <c r="G657" s="10" t="s">
        <v>494</v>
      </c>
      <c r="H657" s="10" t="s">
        <v>495</v>
      </c>
      <c r="I657" s="20">
        <v>1113.4000000000001</v>
      </c>
      <c r="J657" s="11" t="s">
        <v>2073</v>
      </c>
      <c r="K657" s="11">
        <f>I657/60/6*24</f>
        <v>74.226666666666674</v>
      </c>
      <c r="L657" s="12">
        <v>0.35</v>
      </c>
      <c r="M657" s="13" t="s">
        <v>2065</v>
      </c>
      <c r="N657" s="13" t="s">
        <v>2066</v>
      </c>
    </row>
    <row r="658" spans="1:14" ht="56.25">
      <c r="A658" s="13" t="s">
        <v>2074</v>
      </c>
      <c r="B658" s="13" t="s">
        <v>2068</v>
      </c>
      <c r="C658" s="13" t="s">
        <v>2069</v>
      </c>
      <c r="D658" s="13" t="s">
        <v>2070</v>
      </c>
      <c r="E658" s="10" t="s">
        <v>2071</v>
      </c>
      <c r="F658" s="10" t="s">
        <v>2075</v>
      </c>
      <c r="G658" s="10" t="s">
        <v>494</v>
      </c>
      <c r="H658" s="10" t="s">
        <v>495</v>
      </c>
      <c r="I658" s="20">
        <v>1740.3000000000002</v>
      </c>
      <c r="J658" s="11" t="s">
        <v>2073</v>
      </c>
      <c r="K658" s="11">
        <f>I658/60/12*24</f>
        <v>58.010000000000005</v>
      </c>
      <c r="L658" s="12">
        <v>0.35</v>
      </c>
      <c r="M658" s="13" t="s">
        <v>2065</v>
      </c>
      <c r="N658" s="13" t="s">
        <v>2066</v>
      </c>
    </row>
    <row r="659" spans="1:14" ht="33.75">
      <c r="A659" s="46" t="s">
        <v>2076</v>
      </c>
      <c r="B659" s="68" t="s">
        <v>2077</v>
      </c>
      <c r="C659" s="68" t="s">
        <v>2078</v>
      </c>
      <c r="D659" s="68" t="s">
        <v>2079</v>
      </c>
      <c r="E659" s="11" t="s">
        <v>2071</v>
      </c>
      <c r="F659" s="11" t="s">
        <v>2080</v>
      </c>
      <c r="G659" s="11" t="s">
        <v>2081</v>
      </c>
      <c r="H659" s="11" t="s">
        <v>120</v>
      </c>
      <c r="I659" s="20">
        <v>2134.9</v>
      </c>
      <c r="J659" s="11" t="s">
        <v>2082</v>
      </c>
      <c r="K659" s="11">
        <f>+I659/30/150*150</f>
        <v>71.163333333333341</v>
      </c>
      <c r="L659" s="12">
        <v>0.35</v>
      </c>
      <c r="M659" s="13" t="s">
        <v>2083</v>
      </c>
      <c r="N659" s="13" t="s">
        <v>2084</v>
      </c>
    </row>
    <row r="660" spans="1:14" ht="45">
      <c r="A660" s="13" t="s">
        <v>2085</v>
      </c>
      <c r="B660" s="13" t="s">
        <v>2086</v>
      </c>
      <c r="C660" s="17" t="s">
        <v>2087</v>
      </c>
      <c r="D660" s="13" t="s">
        <v>2088</v>
      </c>
      <c r="E660" s="10" t="s">
        <v>2089</v>
      </c>
      <c r="F660" s="25" t="s">
        <v>2090</v>
      </c>
      <c r="G660" s="21" t="s">
        <v>2063</v>
      </c>
      <c r="H660" s="21" t="s">
        <v>239</v>
      </c>
      <c r="I660" s="20">
        <v>1520.8</v>
      </c>
      <c r="J660" s="11" t="s">
        <v>2091</v>
      </c>
      <c r="K660" s="11">
        <f t="shared" ref="K660:K667" si="9">I660/60*2</f>
        <v>50.693333333333335</v>
      </c>
      <c r="L660" s="12">
        <v>0.35</v>
      </c>
      <c r="M660" s="13" t="s">
        <v>2092</v>
      </c>
      <c r="N660" s="13" t="s">
        <v>2093</v>
      </c>
    </row>
    <row r="661" spans="1:14" ht="45">
      <c r="A661" s="13" t="s">
        <v>2094</v>
      </c>
      <c r="B661" s="13" t="s">
        <v>2086</v>
      </c>
      <c r="C661" s="13" t="s">
        <v>2087</v>
      </c>
      <c r="D661" s="13" t="s">
        <v>2088</v>
      </c>
      <c r="E661" s="10" t="s">
        <v>2089</v>
      </c>
      <c r="F661" s="25" t="s">
        <v>2095</v>
      </c>
      <c r="G661" s="21" t="s">
        <v>2063</v>
      </c>
      <c r="H661" s="21" t="s">
        <v>239</v>
      </c>
      <c r="I661" s="20">
        <v>2076.1999999999998</v>
      </c>
      <c r="J661" s="11" t="s">
        <v>2091</v>
      </c>
      <c r="K661" s="11">
        <f t="shared" si="9"/>
        <v>69.206666666666663</v>
      </c>
      <c r="L661" s="12">
        <v>0.35</v>
      </c>
      <c r="M661" s="13" t="s">
        <v>2092</v>
      </c>
      <c r="N661" s="13" t="s">
        <v>2093</v>
      </c>
    </row>
    <row r="662" spans="1:14" ht="45">
      <c r="A662" s="13" t="s">
        <v>2096</v>
      </c>
      <c r="B662" s="13" t="s">
        <v>2086</v>
      </c>
      <c r="C662" s="17" t="s">
        <v>2087</v>
      </c>
      <c r="D662" s="13" t="s">
        <v>2088</v>
      </c>
      <c r="E662" s="10" t="s">
        <v>2089</v>
      </c>
      <c r="F662" s="25" t="s">
        <v>2097</v>
      </c>
      <c r="G662" s="21" t="s">
        <v>2063</v>
      </c>
      <c r="H662" s="21" t="s">
        <v>239</v>
      </c>
      <c r="I662" s="20">
        <v>2548.4</v>
      </c>
      <c r="J662" s="11" t="s">
        <v>2091</v>
      </c>
      <c r="K662" s="11">
        <f t="shared" si="9"/>
        <v>84.946666666666673</v>
      </c>
      <c r="L662" s="12">
        <v>0.35</v>
      </c>
      <c r="M662" s="13" t="s">
        <v>2098</v>
      </c>
      <c r="N662" s="13" t="s">
        <v>2093</v>
      </c>
    </row>
    <row r="663" spans="1:14" ht="45">
      <c r="A663" s="13" t="s">
        <v>2099</v>
      </c>
      <c r="B663" s="13" t="s">
        <v>2086</v>
      </c>
      <c r="C663" s="13" t="s">
        <v>2087</v>
      </c>
      <c r="D663" s="13" t="s">
        <v>2100</v>
      </c>
      <c r="E663" s="10" t="s">
        <v>2089</v>
      </c>
      <c r="F663" s="10" t="s">
        <v>2101</v>
      </c>
      <c r="G663" s="10" t="s">
        <v>2102</v>
      </c>
      <c r="H663" s="10" t="s">
        <v>82</v>
      </c>
      <c r="I663" s="11">
        <v>1796.2</v>
      </c>
      <c r="J663" s="11" t="s">
        <v>2091</v>
      </c>
      <c r="K663" s="11">
        <f t="shared" si="9"/>
        <v>59.873333333333335</v>
      </c>
      <c r="L663" s="12">
        <v>0.25</v>
      </c>
      <c r="M663" s="13" t="s">
        <v>2098</v>
      </c>
      <c r="N663" s="13" t="s">
        <v>2093</v>
      </c>
    </row>
    <row r="664" spans="1:14" ht="45">
      <c r="A664" s="13" t="s">
        <v>2103</v>
      </c>
      <c r="B664" s="13" t="s">
        <v>2086</v>
      </c>
      <c r="C664" s="13" t="s">
        <v>2087</v>
      </c>
      <c r="D664" s="13" t="s">
        <v>2100</v>
      </c>
      <c r="E664" s="10" t="s">
        <v>2089</v>
      </c>
      <c r="F664" s="10" t="s">
        <v>2104</v>
      </c>
      <c r="G664" s="10" t="s">
        <v>2102</v>
      </c>
      <c r="H664" s="10" t="s">
        <v>82</v>
      </c>
      <c r="I664" s="20">
        <v>2203.9</v>
      </c>
      <c r="J664" s="11" t="s">
        <v>2091</v>
      </c>
      <c r="K664" s="11">
        <f t="shared" si="9"/>
        <v>73.463333333333338</v>
      </c>
      <c r="L664" s="12">
        <v>0.25</v>
      </c>
      <c r="M664" s="13" t="s">
        <v>2098</v>
      </c>
      <c r="N664" s="13" t="s">
        <v>2093</v>
      </c>
    </row>
    <row r="665" spans="1:14" ht="45">
      <c r="A665" s="58" t="s">
        <v>2105</v>
      </c>
      <c r="B665" s="51" t="s">
        <v>2086</v>
      </c>
      <c r="C665" s="51" t="s">
        <v>2087</v>
      </c>
      <c r="D665" s="51" t="s">
        <v>2106</v>
      </c>
      <c r="E665" s="30" t="s">
        <v>2089</v>
      </c>
      <c r="F665" s="24" t="s">
        <v>2107</v>
      </c>
      <c r="G665" s="30" t="s">
        <v>2108</v>
      </c>
      <c r="H665" s="30" t="s">
        <v>1172</v>
      </c>
      <c r="I665" s="11">
        <v>1317.2</v>
      </c>
      <c r="J665" s="20" t="s">
        <v>2091</v>
      </c>
      <c r="K665" s="11">
        <f t="shared" si="9"/>
        <v>43.906666666666666</v>
      </c>
      <c r="L665" s="52">
        <v>0.25</v>
      </c>
      <c r="M665" s="50" t="s">
        <v>2098</v>
      </c>
      <c r="N665" s="50" t="s">
        <v>2093</v>
      </c>
    </row>
    <row r="666" spans="1:14" ht="45">
      <c r="A666" s="46" t="s">
        <v>2109</v>
      </c>
      <c r="B666" s="13" t="s">
        <v>2086</v>
      </c>
      <c r="C666" s="13" t="s">
        <v>2087</v>
      </c>
      <c r="D666" s="13" t="s">
        <v>2106</v>
      </c>
      <c r="E666" s="10" t="s">
        <v>2089</v>
      </c>
      <c r="F666" s="21" t="s">
        <v>2101</v>
      </c>
      <c r="G666" s="10" t="s">
        <v>2108</v>
      </c>
      <c r="H666" s="10" t="s">
        <v>1172</v>
      </c>
      <c r="I666" s="11">
        <v>1796.2</v>
      </c>
      <c r="J666" s="20" t="s">
        <v>2091</v>
      </c>
      <c r="K666" s="11">
        <f t="shared" si="9"/>
        <v>59.873333333333335</v>
      </c>
      <c r="L666" s="12">
        <v>0.25</v>
      </c>
      <c r="M666" s="50" t="s">
        <v>2098</v>
      </c>
      <c r="N666" s="50" t="s">
        <v>2093</v>
      </c>
    </row>
    <row r="667" spans="1:14" ht="45">
      <c r="A667" s="46" t="s">
        <v>2110</v>
      </c>
      <c r="B667" s="13" t="s">
        <v>2086</v>
      </c>
      <c r="C667" s="13" t="s">
        <v>2087</v>
      </c>
      <c r="D667" s="13" t="s">
        <v>2106</v>
      </c>
      <c r="E667" s="10" t="s">
        <v>2089</v>
      </c>
      <c r="F667" s="21" t="s">
        <v>2104</v>
      </c>
      <c r="G667" s="10" t="s">
        <v>2108</v>
      </c>
      <c r="H667" s="10" t="s">
        <v>1172</v>
      </c>
      <c r="I667" s="11">
        <v>2203.9</v>
      </c>
      <c r="J667" s="20" t="s">
        <v>2091</v>
      </c>
      <c r="K667" s="11">
        <f t="shared" si="9"/>
        <v>73.463333333333338</v>
      </c>
      <c r="L667" s="12">
        <v>0.25</v>
      </c>
      <c r="M667" s="50" t="s">
        <v>2098</v>
      </c>
      <c r="N667" s="50" t="s">
        <v>2093</v>
      </c>
    </row>
    <row r="668" spans="1:14" ht="45">
      <c r="A668" s="13" t="s">
        <v>2113</v>
      </c>
      <c r="B668" s="13" t="s">
        <v>2114</v>
      </c>
      <c r="C668" s="13" t="s">
        <v>2115</v>
      </c>
      <c r="D668" s="13" t="s">
        <v>2116</v>
      </c>
      <c r="E668" s="10" t="s">
        <v>2071</v>
      </c>
      <c r="F668" s="10" t="s">
        <v>2117</v>
      </c>
      <c r="G668" s="10" t="s">
        <v>494</v>
      </c>
      <c r="H668" s="10" t="s">
        <v>495</v>
      </c>
      <c r="I668" s="20">
        <v>1471.4</v>
      </c>
      <c r="J668" s="11" t="s">
        <v>2112</v>
      </c>
      <c r="K668" s="11">
        <f>I668/60*4</f>
        <v>98.093333333333334</v>
      </c>
      <c r="L668" s="12">
        <v>0.35</v>
      </c>
      <c r="M668" s="13" t="s">
        <v>2118</v>
      </c>
      <c r="N668" s="13" t="s">
        <v>2093</v>
      </c>
    </row>
    <row r="669" spans="1:14" ht="45">
      <c r="A669" s="13" t="s">
        <v>2119</v>
      </c>
      <c r="B669" s="13" t="s">
        <v>2114</v>
      </c>
      <c r="C669" s="13" t="s">
        <v>2115</v>
      </c>
      <c r="D669" s="13" t="s">
        <v>2116</v>
      </c>
      <c r="E669" s="10" t="s">
        <v>2071</v>
      </c>
      <c r="F669" s="10" t="s">
        <v>2120</v>
      </c>
      <c r="G669" s="10" t="s">
        <v>494</v>
      </c>
      <c r="H669" s="10" t="s">
        <v>495</v>
      </c>
      <c r="I669" s="20">
        <v>1230.8</v>
      </c>
      <c r="J669" s="11" t="s">
        <v>2112</v>
      </c>
      <c r="K669" s="11">
        <f>I669/60*4</f>
        <v>82.053333333333327</v>
      </c>
      <c r="L669" s="12">
        <v>0.3</v>
      </c>
      <c r="M669" s="13" t="s">
        <v>2092</v>
      </c>
      <c r="N669" s="13" t="s">
        <v>2093</v>
      </c>
    </row>
    <row r="670" spans="1:14" ht="45">
      <c r="A670" s="13" t="s">
        <v>2121</v>
      </c>
      <c r="B670" s="13" t="s">
        <v>2114</v>
      </c>
      <c r="C670" s="13" t="s">
        <v>2115</v>
      </c>
      <c r="D670" s="13" t="s">
        <v>2116</v>
      </c>
      <c r="E670" s="10" t="s">
        <v>2071</v>
      </c>
      <c r="F670" s="10" t="s">
        <v>2122</v>
      </c>
      <c r="G670" s="10" t="s">
        <v>494</v>
      </c>
      <c r="H670" s="10" t="s">
        <v>495</v>
      </c>
      <c r="I670" s="20">
        <v>2461.6</v>
      </c>
      <c r="J670" s="11" t="s">
        <v>2123</v>
      </c>
      <c r="K670" s="11">
        <f>I670/120*4</f>
        <v>82.053333333333327</v>
      </c>
      <c r="L670" s="12">
        <v>0.3</v>
      </c>
      <c r="M670" s="13" t="s">
        <v>2092</v>
      </c>
      <c r="N670" s="13" t="s">
        <v>2093</v>
      </c>
    </row>
    <row r="671" spans="1:14" ht="45">
      <c r="A671" s="13" t="s">
        <v>2124</v>
      </c>
      <c r="B671" s="13" t="s">
        <v>2114</v>
      </c>
      <c r="C671" s="13" t="s">
        <v>2125</v>
      </c>
      <c r="D671" s="13" t="s">
        <v>2116</v>
      </c>
      <c r="E671" s="10" t="s">
        <v>2071</v>
      </c>
      <c r="F671" s="10" t="s">
        <v>2126</v>
      </c>
      <c r="G671" s="10" t="s">
        <v>494</v>
      </c>
      <c r="H671" s="10" t="s">
        <v>495</v>
      </c>
      <c r="I671" s="20">
        <v>2687.8</v>
      </c>
      <c r="J671" s="11" t="s">
        <v>2091</v>
      </c>
      <c r="K671" s="11">
        <f>I671/60*2</f>
        <v>89.593333333333334</v>
      </c>
      <c r="L671" s="12">
        <v>0.35</v>
      </c>
      <c r="M671" s="13" t="s">
        <v>2092</v>
      </c>
      <c r="N671" s="13" t="s">
        <v>2093</v>
      </c>
    </row>
    <row r="672" spans="1:14" ht="45">
      <c r="A672" s="46" t="s">
        <v>2127</v>
      </c>
      <c r="B672" s="13" t="s">
        <v>2114</v>
      </c>
      <c r="C672" s="18" t="s">
        <v>2115</v>
      </c>
      <c r="D672" s="18" t="s">
        <v>2128</v>
      </c>
      <c r="E672" s="22" t="s">
        <v>2111</v>
      </c>
      <c r="F672" s="22" t="s">
        <v>2129</v>
      </c>
      <c r="G672" s="22" t="s">
        <v>2130</v>
      </c>
      <c r="H672" s="22" t="s">
        <v>239</v>
      </c>
      <c r="I672" s="20">
        <v>2616.4</v>
      </c>
      <c r="J672" s="20" t="s">
        <v>2112</v>
      </c>
      <c r="K672" s="11">
        <f>I672/120*4</f>
        <v>87.213333333333338</v>
      </c>
      <c r="L672" s="12">
        <v>0.35</v>
      </c>
      <c r="M672" s="13" t="s">
        <v>2131</v>
      </c>
      <c r="N672" s="13" t="s">
        <v>2132</v>
      </c>
    </row>
    <row r="673" spans="1:14" ht="101.25">
      <c r="A673" s="13" t="s">
        <v>2133</v>
      </c>
      <c r="B673" s="13" t="s">
        <v>2114</v>
      </c>
      <c r="C673" s="13" t="s">
        <v>2115</v>
      </c>
      <c r="D673" s="13" t="s">
        <v>2134</v>
      </c>
      <c r="E673" s="10" t="s">
        <v>2071</v>
      </c>
      <c r="F673" s="10" t="s">
        <v>2135</v>
      </c>
      <c r="G673" s="10" t="s">
        <v>2567</v>
      </c>
      <c r="H673" s="10" t="s">
        <v>2568</v>
      </c>
      <c r="I673" s="20">
        <v>2461.6</v>
      </c>
      <c r="J673" s="11" t="s">
        <v>2112</v>
      </c>
      <c r="K673" s="11">
        <f>I673/120*4</f>
        <v>82.053333333333327</v>
      </c>
      <c r="L673" s="12">
        <v>0.3</v>
      </c>
      <c r="M673" s="13" t="s">
        <v>2118</v>
      </c>
      <c r="N673" s="13" t="s">
        <v>2093</v>
      </c>
    </row>
    <row r="674" spans="1:14" ht="101.25">
      <c r="A674" s="13" t="s">
        <v>2136</v>
      </c>
      <c r="B674" s="13" t="s">
        <v>2114</v>
      </c>
      <c r="C674" s="13" t="s">
        <v>2115</v>
      </c>
      <c r="D674" s="13" t="s">
        <v>2134</v>
      </c>
      <c r="E674" s="10" t="s">
        <v>2071</v>
      </c>
      <c r="F674" s="10" t="s">
        <v>2430</v>
      </c>
      <c r="G674" s="10" t="s">
        <v>2567</v>
      </c>
      <c r="H674" s="10" t="s">
        <v>2568</v>
      </c>
      <c r="I674" s="20">
        <v>2687.8</v>
      </c>
      <c r="J674" s="11" t="s">
        <v>2091</v>
      </c>
      <c r="K674" s="11">
        <f>I674/60*2</f>
        <v>89.593333333333334</v>
      </c>
      <c r="L674" s="12">
        <v>0.35</v>
      </c>
      <c r="M674" s="13" t="s">
        <v>2118</v>
      </c>
      <c r="N674" s="13" t="s">
        <v>2093</v>
      </c>
    </row>
    <row r="675" spans="1:14" ht="78.75">
      <c r="A675" s="46" t="s">
        <v>2137</v>
      </c>
      <c r="B675" s="13" t="s">
        <v>2114</v>
      </c>
      <c r="C675" s="13" t="s">
        <v>2115</v>
      </c>
      <c r="D675" s="13" t="s">
        <v>2138</v>
      </c>
      <c r="E675" s="10" t="s">
        <v>2089</v>
      </c>
      <c r="F675" s="23" t="s">
        <v>2139</v>
      </c>
      <c r="G675" s="10" t="s">
        <v>2140</v>
      </c>
      <c r="H675" s="10" t="s">
        <v>2141</v>
      </c>
      <c r="I675" s="20">
        <v>1230.8</v>
      </c>
      <c r="J675" s="11" t="s">
        <v>2112</v>
      </c>
      <c r="K675" s="11">
        <f>I675/60*4</f>
        <v>82.053333333333327</v>
      </c>
      <c r="L675" s="12">
        <v>0.3</v>
      </c>
      <c r="M675" s="13" t="s">
        <v>2118</v>
      </c>
      <c r="N675" s="13" t="s">
        <v>2093</v>
      </c>
    </row>
    <row r="676" spans="1:14" ht="56.25">
      <c r="A676" s="13" t="s">
        <v>2142</v>
      </c>
      <c r="B676" s="13" t="s">
        <v>2143</v>
      </c>
      <c r="C676" s="13" t="s">
        <v>2144</v>
      </c>
      <c r="D676" s="13" t="s">
        <v>2145</v>
      </c>
      <c r="E676" s="10" t="s">
        <v>2146</v>
      </c>
      <c r="F676" s="10" t="s">
        <v>2147</v>
      </c>
      <c r="G676" s="10" t="s">
        <v>2148</v>
      </c>
      <c r="H676" s="10" t="s">
        <v>1090</v>
      </c>
      <c r="I676" s="20">
        <v>4007.3</v>
      </c>
      <c r="J676" s="11" t="s">
        <v>2112</v>
      </c>
      <c r="K676" s="11">
        <f>I676/180*4</f>
        <v>89.051111111111112</v>
      </c>
      <c r="L676" s="12">
        <v>0.35</v>
      </c>
      <c r="M676" s="13" t="s">
        <v>2118</v>
      </c>
      <c r="N676" s="13" t="s">
        <v>2093</v>
      </c>
    </row>
    <row r="677" spans="1:14" ht="45">
      <c r="A677" s="48" t="s">
        <v>2149</v>
      </c>
      <c r="B677" s="16" t="s">
        <v>2143</v>
      </c>
      <c r="C677" s="13" t="s">
        <v>2144</v>
      </c>
      <c r="D677" s="14" t="s">
        <v>2150</v>
      </c>
      <c r="E677" s="10" t="s">
        <v>2071</v>
      </c>
      <c r="F677" s="10" t="s">
        <v>2431</v>
      </c>
      <c r="G677" s="10" t="s">
        <v>2148</v>
      </c>
      <c r="H677" s="10" t="s">
        <v>1090</v>
      </c>
      <c r="I677" s="11">
        <v>2917.5</v>
      </c>
      <c r="J677" s="11" t="s">
        <v>2112</v>
      </c>
      <c r="K677" s="11">
        <f>I677/120*4</f>
        <v>97.25</v>
      </c>
      <c r="L677" s="12">
        <v>0.4</v>
      </c>
      <c r="M677" s="13" t="s">
        <v>2118</v>
      </c>
      <c r="N677" s="13" t="s">
        <v>2093</v>
      </c>
    </row>
    <row r="678" spans="1:14" ht="56.25">
      <c r="A678" s="13" t="s">
        <v>2151</v>
      </c>
      <c r="B678" s="13" t="s">
        <v>2152</v>
      </c>
      <c r="C678" s="13" t="s">
        <v>2153</v>
      </c>
      <c r="D678" s="13" t="s">
        <v>2154</v>
      </c>
      <c r="E678" s="10" t="s">
        <v>2089</v>
      </c>
      <c r="F678" s="10" t="s">
        <v>2155</v>
      </c>
      <c r="G678" s="10" t="s">
        <v>2540</v>
      </c>
      <c r="H678" s="10" t="s">
        <v>2514</v>
      </c>
      <c r="I678" s="20">
        <v>2694.8</v>
      </c>
      <c r="J678" s="11" t="s">
        <v>2156</v>
      </c>
      <c r="K678" s="11">
        <f>+I678/30</f>
        <v>89.826666666666668</v>
      </c>
      <c r="L678" s="12">
        <v>0.4</v>
      </c>
      <c r="M678" s="13" t="s">
        <v>2092</v>
      </c>
      <c r="N678" s="13" t="s">
        <v>2093</v>
      </c>
    </row>
    <row r="679" spans="1:14" ht="56.25">
      <c r="A679" s="13" t="s">
        <v>2157</v>
      </c>
      <c r="B679" s="13" t="s">
        <v>2152</v>
      </c>
      <c r="C679" s="13" t="s">
        <v>2153</v>
      </c>
      <c r="D679" s="13" t="s">
        <v>2154</v>
      </c>
      <c r="E679" s="10" t="s">
        <v>2089</v>
      </c>
      <c r="F679" s="10" t="s">
        <v>2158</v>
      </c>
      <c r="G679" s="10" t="s">
        <v>2540</v>
      </c>
      <c r="H679" s="10" t="s">
        <v>2514</v>
      </c>
      <c r="I679" s="20">
        <v>3328.7</v>
      </c>
      <c r="J679" s="11" t="s">
        <v>2156</v>
      </c>
      <c r="K679" s="11">
        <f>+I679/30</f>
        <v>110.95666666666666</v>
      </c>
      <c r="L679" s="12">
        <v>0.4</v>
      </c>
      <c r="M679" s="13" t="s">
        <v>2159</v>
      </c>
      <c r="N679" s="13" t="s">
        <v>2160</v>
      </c>
    </row>
    <row r="680" spans="1:14" ht="56.25">
      <c r="A680" s="13" t="s">
        <v>2161</v>
      </c>
      <c r="B680" s="13" t="s">
        <v>2162</v>
      </c>
      <c r="C680" s="13" t="s">
        <v>2163</v>
      </c>
      <c r="D680" s="13" t="s">
        <v>2164</v>
      </c>
      <c r="E680" s="10" t="s">
        <v>2089</v>
      </c>
      <c r="F680" s="10" t="s">
        <v>2165</v>
      </c>
      <c r="G680" s="10" t="s">
        <v>2540</v>
      </c>
      <c r="H680" s="10" t="s">
        <v>2514</v>
      </c>
      <c r="I680" s="20">
        <v>3241</v>
      </c>
      <c r="J680" s="11" t="s">
        <v>2166</v>
      </c>
      <c r="K680" s="11">
        <f>+I680/30</f>
        <v>108.03333333333333</v>
      </c>
      <c r="L680" s="12">
        <v>0.35</v>
      </c>
      <c r="M680" s="13" t="s">
        <v>2167</v>
      </c>
      <c r="N680" s="13" t="s">
        <v>2168</v>
      </c>
    </row>
    <row r="681" spans="1:14" ht="56.25">
      <c r="A681" s="13" t="s">
        <v>2169</v>
      </c>
      <c r="B681" s="13" t="s">
        <v>2170</v>
      </c>
      <c r="C681" s="13" t="s">
        <v>2171</v>
      </c>
      <c r="D681" s="13" t="s">
        <v>2172</v>
      </c>
      <c r="E681" s="10" t="s">
        <v>2173</v>
      </c>
      <c r="F681" s="10" t="s">
        <v>2174</v>
      </c>
      <c r="G681" s="10" t="s">
        <v>2081</v>
      </c>
      <c r="H681" s="10" t="s">
        <v>120</v>
      </c>
      <c r="I681" s="20">
        <v>3573.6</v>
      </c>
      <c r="J681" s="11" t="s">
        <v>2166</v>
      </c>
      <c r="K681" s="11">
        <f>+I681/30</f>
        <v>119.11999999999999</v>
      </c>
      <c r="L681" s="12">
        <v>0.35</v>
      </c>
      <c r="M681" s="13" t="s">
        <v>2175</v>
      </c>
      <c r="N681" s="13" t="s">
        <v>2168</v>
      </c>
    </row>
    <row r="682" spans="1:14" ht="33.75">
      <c r="A682" s="13">
        <v>7114008</v>
      </c>
      <c r="B682" s="13" t="s">
        <v>2176</v>
      </c>
      <c r="C682" s="13" t="s">
        <v>2177</v>
      </c>
      <c r="D682" s="13" t="s">
        <v>2178</v>
      </c>
      <c r="E682" s="10" t="s">
        <v>2071</v>
      </c>
      <c r="F682" s="10" t="s">
        <v>2179</v>
      </c>
      <c r="G682" s="10" t="s">
        <v>2180</v>
      </c>
      <c r="H682" s="10" t="s">
        <v>66</v>
      </c>
      <c r="I682" s="11">
        <v>3241</v>
      </c>
      <c r="J682" s="11" t="s">
        <v>2181</v>
      </c>
      <c r="K682" s="11">
        <f>I682/60*2</f>
        <v>108.03333333333333</v>
      </c>
      <c r="L682" s="113">
        <v>0.35</v>
      </c>
      <c r="M682" s="16" t="s">
        <v>2083</v>
      </c>
      <c r="N682" s="16" t="s">
        <v>2084</v>
      </c>
    </row>
    <row r="683" spans="1:14" ht="56.25">
      <c r="A683" s="46">
        <v>7114247</v>
      </c>
      <c r="B683" s="13" t="s">
        <v>2182</v>
      </c>
      <c r="C683" s="13" t="s">
        <v>2183</v>
      </c>
      <c r="D683" s="13" t="s">
        <v>2184</v>
      </c>
      <c r="E683" s="10" t="s">
        <v>2185</v>
      </c>
      <c r="F683" s="10" t="s">
        <v>2186</v>
      </c>
      <c r="G683" s="10" t="s">
        <v>2187</v>
      </c>
      <c r="H683" s="10" t="s">
        <v>82</v>
      </c>
      <c r="I683" s="11">
        <v>3914.6</v>
      </c>
      <c r="J683" s="117" t="s">
        <v>2091</v>
      </c>
      <c r="K683" s="11">
        <f>I683/30</f>
        <v>130.48666666666665</v>
      </c>
      <c r="L683" s="12">
        <v>0.35</v>
      </c>
      <c r="M683" s="13" t="s">
        <v>2175</v>
      </c>
      <c r="N683" s="13" t="s">
        <v>2188</v>
      </c>
    </row>
    <row r="684" spans="1:14" ht="90">
      <c r="A684" s="46" t="s">
        <v>2189</v>
      </c>
      <c r="B684" s="46" t="s">
        <v>2190</v>
      </c>
      <c r="C684" s="46" t="s">
        <v>2517</v>
      </c>
      <c r="D684" s="46" t="s">
        <v>2191</v>
      </c>
      <c r="E684" s="61" t="s">
        <v>2089</v>
      </c>
      <c r="F684" s="95" t="s">
        <v>2518</v>
      </c>
      <c r="G684" s="95" t="s">
        <v>2519</v>
      </c>
      <c r="H684" s="95" t="s">
        <v>2514</v>
      </c>
      <c r="I684" s="114">
        <v>5264.4</v>
      </c>
      <c r="J684" s="95" t="s">
        <v>2166</v>
      </c>
      <c r="K684" s="114">
        <f>I684/30</f>
        <v>175.48</v>
      </c>
      <c r="L684" s="96">
        <v>0.35</v>
      </c>
      <c r="M684" s="100" t="s">
        <v>2192</v>
      </c>
      <c r="N684" s="100" t="s">
        <v>2188</v>
      </c>
    </row>
    <row r="685" spans="1:14" ht="90">
      <c r="A685" s="46" t="s">
        <v>2193</v>
      </c>
      <c r="B685" s="46" t="s">
        <v>2194</v>
      </c>
      <c r="C685" s="46" t="s">
        <v>2195</v>
      </c>
      <c r="D685" s="46" t="s">
        <v>2196</v>
      </c>
      <c r="E685" s="61" t="s">
        <v>2146</v>
      </c>
      <c r="F685" s="95" t="s">
        <v>2197</v>
      </c>
      <c r="G685" s="95" t="s">
        <v>2148</v>
      </c>
      <c r="H685" s="95" t="s">
        <v>1090</v>
      </c>
      <c r="I685" s="20">
        <v>6900</v>
      </c>
      <c r="J685" s="95" t="s">
        <v>2112</v>
      </c>
      <c r="K685" s="114">
        <f>I685/180*4</f>
        <v>153.33333333333334</v>
      </c>
      <c r="L685" s="96">
        <v>0.3</v>
      </c>
      <c r="M685" s="100" t="s">
        <v>2198</v>
      </c>
      <c r="N685" s="100" t="s">
        <v>2188</v>
      </c>
    </row>
    <row r="686" spans="1:14" ht="90">
      <c r="A686" s="46">
        <v>7114177</v>
      </c>
      <c r="B686" s="13" t="s">
        <v>2199</v>
      </c>
      <c r="C686" s="13" t="s">
        <v>2200</v>
      </c>
      <c r="D686" s="13" t="s">
        <v>2201</v>
      </c>
      <c r="E686" s="10" t="s">
        <v>2111</v>
      </c>
      <c r="F686" s="10" t="s">
        <v>2202</v>
      </c>
      <c r="G686" s="10" t="s">
        <v>2203</v>
      </c>
      <c r="H686" s="10" t="s">
        <v>239</v>
      </c>
      <c r="I686" s="20">
        <v>4702.5</v>
      </c>
      <c r="J686" s="11" t="s">
        <v>2112</v>
      </c>
      <c r="K686" s="41">
        <f>I686/120*4</f>
        <v>156.75</v>
      </c>
      <c r="L686" s="12">
        <v>0.35</v>
      </c>
      <c r="M686" s="100" t="s">
        <v>2192</v>
      </c>
      <c r="N686" s="100" t="s">
        <v>2188</v>
      </c>
    </row>
    <row r="687" spans="1:14" ht="33.75">
      <c r="A687" s="13">
        <v>7114572</v>
      </c>
      <c r="B687" s="13" t="s">
        <v>2204</v>
      </c>
      <c r="C687" s="13" t="s">
        <v>2205</v>
      </c>
      <c r="D687" s="13" t="s">
        <v>2206</v>
      </c>
      <c r="E687" s="10" t="s">
        <v>2071</v>
      </c>
      <c r="F687" s="10" t="s">
        <v>2207</v>
      </c>
      <c r="G687" s="10" t="s">
        <v>494</v>
      </c>
      <c r="H687" s="10" t="s">
        <v>495</v>
      </c>
      <c r="I687" s="20">
        <v>741.9</v>
      </c>
      <c r="J687" s="11" t="s">
        <v>2208</v>
      </c>
      <c r="K687" s="11">
        <f>I687/100/200*800</f>
        <v>29.675999999999998</v>
      </c>
      <c r="L687" s="12">
        <v>0.35</v>
      </c>
      <c r="M687" s="13" t="s">
        <v>2209</v>
      </c>
      <c r="N687" s="13" t="s">
        <v>2084</v>
      </c>
    </row>
    <row r="688" spans="1:14" ht="33.75">
      <c r="A688" s="13" t="s">
        <v>2210</v>
      </c>
      <c r="B688" s="13" t="s">
        <v>2211</v>
      </c>
      <c r="C688" s="13" t="s">
        <v>2212</v>
      </c>
      <c r="D688" s="13" t="s">
        <v>2213</v>
      </c>
      <c r="E688" s="10" t="s">
        <v>2061</v>
      </c>
      <c r="F688" s="10" t="s">
        <v>2214</v>
      </c>
      <c r="G688" s="21" t="s">
        <v>2215</v>
      </c>
      <c r="H688" s="21" t="s">
        <v>2216</v>
      </c>
      <c r="I688" s="20">
        <v>632.70000000000005</v>
      </c>
      <c r="J688" s="11" t="s">
        <v>2432</v>
      </c>
      <c r="K688" s="11">
        <f>+I688/60/125*600</f>
        <v>50.616</v>
      </c>
      <c r="L688" s="12">
        <v>0.35</v>
      </c>
      <c r="M688" s="13" t="s">
        <v>2209</v>
      </c>
      <c r="N688" s="13" t="s">
        <v>2084</v>
      </c>
    </row>
    <row r="689" spans="1:14" ht="33.75">
      <c r="A689" s="13" t="s">
        <v>2217</v>
      </c>
      <c r="B689" s="13" t="s">
        <v>2211</v>
      </c>
      <c r="C689" s="13" t="s">
        <v>2212</v>
      </c>
      <c r="D689" s="13" t="s">
        <v>2213</v>
      </c>
      <c r="E689" s="10" t="s">
        <v>2061</v>
      </c>
      <c r="F689" s="10" t="s">
        <v>2218</v>
      </c>
      <c r="G689" s="21" t="s">
        <v>2215</v>
      </c>
      <c r="H689" s="21" t="s">
        <v>2216</v>
      </c>
      <c r="I689" s="20">
        <v>892.2</v>
      </c>
      <c r="J689" s="11" t="s">
        <v>2432</v>
      </c>
      <c r="K689" s="11">
        <f>+I689/60/250*600</f>
        <v>35.688000000000002</v>
      </c>
      <c r="L689" s="12">
        <v>0.35</v>
      </c>
      <c r="M689" s="13" t="s">
        <v>2209</v>
      </c>
      <c r="N689" s="13" t="s">
        <v>2084</v>
      </c>
    </row>
    <row r="690" spans="1:14" ht="45">
      <c r="A690" s="46" t="s">
        <v>2219</v>
      </c>
      <c r="B690" s="13" t="s">
        <v>2220</v>
      </c>
      <c r="C690" s="13" t="s">
        <v>2221</v>
      </c>
      <c r="D690" s="17" t="s">
        <v>2222</v>
      </c>
      <c r="E690" s="25" t="s">
        <v>2146</v>
      </c>
      <c r="F690" s="25" t="s">
        <v>2223</v>
      </c>
      <c r="G690" s="10" t="s">
        <v>2224</v>
      </c>
      <c r="H690" s="10" t="s">
        <v>2225</v>
      </c>
      <c r="I690" s="20">
        <v>1683.7</v>
      </c>
      <c r="J690" s="11" t="s">
        <v>2226</v>
      </c>
      <c r="K690" s="11">
        <f>I690/60/160*160</f>
        <v>28.061666666666667</v>
      </c>
      <c r="L690" s="12">
        <v>0.2</v>
      </c>
      <c r="M690" s="13" t="s">
        <v>2209</v>
      </c>
      <c r="N690" s="13" t="s">
        <v>2084</v>
      </c>
    </row>
    <row r="691" spans="1:14" ht="45">
      <c r="A691" s="46" t="s">
        <v>2227</v>
      </c>
      <c r="B691" s="13" t="s">
        <v>2220</v>
      </c>
      <c r="C691" s="13" t="s">
        <v>2221</v>
      </c>
      <c r="D691" s="17" t="s">
        <v>2222</v>
      </c>
      <c r="E691" s="25" t="s">
        <v>2146</v>
      </c>
      <c r="F691" s="25" t="s">
        <v>2228</v>
      </c>
      <c r="G691" s="10" t="s">
        <v>2224</v>
      </c>
      <c r="H691" s="10" t="s">
        <v>2225</v>
      </c>
      <c r="I691" s="20">
        <v>2557.8000000000002</v>
      </c>
      <c r="J691" s="11" t="s">
        <v>2226</v>
      </c>
      <c r="K691" s="11">
        <f>I691/120/80*160</f>
        <v>42.629999999999995</v>
      </c>
      <c r="L691" s="12">
        <v>0.2</v>
      </c>
      <c r="M691" s="13" t="s">
        <v>2209</v>
      </c>
      <c r="N691" s="13" t="s">
        <v>2084</v>
      </c>
    </row>
    <row r="692" spans="1:14" ht="33.75">
      <c r="A692" s="46" t="s">
        <v>2229</v>
      </c>
      <c r="B692" s="13" t="s">
        <v>2230</v>
      </c>
      <c r="C692" s="13" t="s">
        <v>2231</v>
      </c>
      <c r="D692" s="13" t="s">
        <v>2232</v>
      </c>
      <c r="E692" s="10" t="s">
        <v>2233</v>
      </c>
      <c r="F692" s="10" t="s">
        <v>2234</v>
      </c>
      <c r="G692" s="10" t="s">
        <v>1657</v>
      </c>
      <c r="H692" s="10" t="s">
        <v>82</v>
      </c>
      <c r="I692" s="20">
        <v>1953.2</v>
      </c>
      <c r="J692" s="11" t="s">
        <v>2235</v>
      </c>
      <c r="K692" s="11">
        <f>I692/30/18*18</f>
        <v>65.106666666666669</v>
      </c>
      <c r="L692" s="12">
        <v>0.25</v>
      </c>
      <c r="M692" s="13" t="s">
        <v>2083</v>
      </c>
      <c r="N692" s="13" t="s">
        <v>2084</v>
      </c>
    </row>
    <row r="693" spans="1:14" ht="33.75">
      <c r="A693" s="46" t="s">
        <v>2236</v>
      </c>
      <c r="B693" s="13" t="s">
        <v>2230</v>
      </c>
      <c r="C693" s="13" t="s">
        <v>2237</v>
      </c>
      <c r="D693" s="13" t="s">
        <v>2238</v>
      </c>
      <c r="E693" s="10" t="s">
        <v>2185</v>
      </c>
      <c r="F693" s="10" t="s">
        <v>2239</v>
      </c>
      <c r="G693" s="10" t="s">
        <v>836</v>
      </c>
      <c r="H693" s="10" t="s">
        <v>82</v>
      </c>
      <c r="I693" s="20">
        <v>2368</v>
      </c>
      <c r="J693" s="11" t="s">
        <v>2240</v>
      </c>
      <c r="K693" s="11">
        <f>I693/60/2.5*5</f>
        <v>78.933333333333337</v>
      </c>
      <c r="L693" s="12">
        <v>0.35</v>
      </c>
      <c r="M693" s="13" t="s">
        <v>2083</v>
      </c>
      <c r="N693" s="13" t="s">
        <v>2160</v>
      </c>
    </row>
    <row r="694" spans="1:14" ht="78.75">
      <c r="A694" s="46" t="s">
        <v>2241</v>
      </c>
      <c r="B694" s="13" t="s">
        <v>2242</v>
      </c>
      <c r="C694" s="13" t="s">
        <v>2237</v>
      </c>
      <c r="D694" s="13" t="s">
        <v>2243</v>
      </c>
      <c r="E694" s="10" t="s">
        <v>2233</v>
      </c>
      <c r="F694" s="24" t="s">
        <v>2244</v>
      </c>
      <c r="G694" s="10" t="s">
        <v>2245</v>
      </c>
      <c r="H694" s="10" t="s">
        <v>2246</v>
      </c>
      <c r="I694" s="11">
        <v>1872.5</v>
      </c>
      <c r="J694" s="20" t="s">
        <v>2247</v>
      </c>
      <c r="K694" s="11">
        <f>I694/30/10*10</f>
        <v>62.416666666666664</v>
      </c>
      <c r="L694" s="12">
        <v>0.2</v>
      </c>
      <c r="M694" s="51" t="s">
        <v>2083</v>
      </c>
      <c r="N694" s="51" t="s">
        <v>2084</v>
      </c>
    </row>
    <row r="695" spans="1:14" ht="33.75">
      <c r="A695" s="13" t="s">
        <v>2248</v>
      </c>
      <c r="B695" s="13" t="s">
        <v>2249</v>
      </c>
      <c r="C695" s="13" t="s">
        <v>2250</v>
      </c>
      <c r="D695" s="13" t="s">
        <v>2251</v>
      </c>
      <c r="E695" s="10" t="s">
        <v>2071</v>
      </c>
      <c r="F695" s="10" t="s">
        <v>2252</v>
      </c>
      <c r="G695" s="10" t="s">
        <v>2253</v>
      </c>
      <c r="H695" s="10" t="s">
        <v>66</v>
      </c>
      <c r="I695" s="20">
        <v>3162.4</v>
      </c>
      <c r="J695" s="10" t="s">
        <v>2254</v>
      </c>
      <c r="K695" s="11">
        <f>+I695/60/322*644</f>
        <v>105.41333333333333</v>
      </c>
      <c r="L695" s="12">
        <v>0.35</v>
      </c>
      <c r="M695" s="13" t="s">
        <v>2167</v>
      </c>
      <c r="N695" s="13" t="s">
        <v>2084</v>
      </c>
    </row>
    <row r="696" spans="1:14" ht="33.75">
      <c r="A696" s="46" t="s">
        <v>2255</v>
      </c>
      <c r="B696" s="13" t="s">
        <v>2256</v>
      </c>
      <c r="C696" s="13" t="s">
        <v>2257</v>
      </c>
      <c r="D696" s="13" t="s">
        <v>2258</v>
      </c>
      <c r="E696" s="10" t="s">
        <v>2233</v>
      </c>
      <c r="F696" s="10" t="s">
        <v>2259</v>
      </c>
      <c r="G696" s="10" t="s">
        <v>2081</v>
      </c>
      <c r="H696" s="10" t="s">
        <v>120</v>
      </c>
      <c r="I696" s="20">
        <v>2297.6999999999998</v>
      </c>
      <c r="J696" s="95" t="s">
        <v>2260</v>
      </c>
      <c r="K696" s="114">
        <f>+I696/30/44*44</f>
        <v>76.589999999999989</v>
      </c>
      <c r="L696" s="12">
        <v>0.35</v>
      </c>
      <c r="M696" s="13" t="s">
        <v>2083</v>
      </c>
      <c r="N696" s="13" t="s">
        <v>2084</v>
      </c>
    </row>
    <row r="697" spans="1:14" ht="56.25">
      <c r="A697" s="46" t="s">
        <v>2261</v>
      </c>
      <c r="B697" s="13" t="s">
        <v>2262</v>
      </c>
      <c r="C697" s="13" t="s">
        <v>2263</v>
      </c>
      <c r="D697" s="13" t="s">
        <v>2264</v>
      </c>
      <c r="E697" s="10" t="s">
        <v>2089</v>
      </c>
      <c r="F697" s="10" t="s">
        <v>2265</v>
      </c>
      <c r="G697" s="10" t="s">
        <v>2540</v>
      </c>
      <c r="H697" s="10" t="s">
        <v>2514</v>
      </c>
      <c r="I697" s="20">
        <v>2368</v>
      </c>
      <c r="J697" s="11" t="s">
        <v>2266</v>
      </c>
      <c r="K697" s="11">
        <f>+I697/30/44*44</f>
        <v>78.933333333333337</v>
      </c>
      <c r="L697" s="12">
        <v>0.35</v>
      </c>
      <c r="M697" s="13" t="s">
        <v>2083</v>
      </c>
      <c r="N697" s="13" t="s">
        <v>2084</v>
      </c>
    </row>
    <row r="698" spans="1:14" ht="67.5">
      <c r="A698" s="13" t="s">
        <v>2267</v>
      </c>
      <c r="B698" s="13" t="s">
        <v>2268</v>
      </c>
      <c r="C698" s="13" t="s">
        <v>2269</v>
      </c>
      <c r="D698" s="13" t="s">
        <v>2270</v>
      </c>
      <c r="E698" s="10" t="s">
        <v>133</v>
      </c>
      <c r="F698" s="10" t="s">
        <v>501</v>
      </c>
      <c r="G698" s="10" t="s">
        <v>2497</v>
      </c>
      <c r="H698" s="10" t="s">
        <v>1003</v>
      </c>
      <c r="I698" s="20">
        <v>673.4</v>
      </c>
      <c r="J698" s="11" t="s">
        <v>331</v>
      </c>
      <c r="K698" s="11">
        <f>I698/28/10*10</f>
        <v>24.050000000000004</v>
      </c>
      <c r="L698" s="12">
        <v>0.35</v>
      </c>
      <c r="M698" s="13" t="s">
        <v>2271</v>
      </c>
      <c r="N698" s="13" t="s">
        <v>2272</v>
      </c>
    </row>
    <row r="699" spans="1:14" ht="67.5">
      <c r="A699" s="46" t="s">
        <v>2273</v>
      </c>
      <c r="B699" s="13" t="s">
        <v>2268</v>
      </c>
      <c r="C699" s="13" t="s">
        <v>2269</v>
      </c>
      <c r="D699" s="13" t="s">
        <v>2274</v>
      </c>
      <c r="E699" s="10" t="s">
        <v>133</v>
      </c>
      <c r="F699" s="10" t="s">
        <v>501</v>
      </c>
      <c r="G699" s="10" t="s">
        <v>1443</v>
      </c>
      <c r="H699" s="10" t="s">
        <v>1444</v>
      </c>
      <c r="I699" s="20">
        <v>673.4</v>
      </c>
      <c r="J699" s="11" t="s">
        <v>331</v>
      </c>
      <c r="K699" s="11">
        <f>I699/28/10*10</f>
        <v>24.050000000000004</v>
      </c>
      <c r="L699" s="12">
        <v>0.35</v>
      </c>
      <c r="M699" s="13" t="s">
        <v>2271</v>
      </c>
      <c r="N699" s="13" t="s">
        <v>2272</v>
      </c>
    </row>
    <row r="700" spans="1:14" ht="67.5">
      <c r="A700" s="46" t="s">
        <v>2275</v>
      </c>
      <c r="B700" s="13" t="s">
        <v>2268</v>
      </c>
      <c r="C700" s="13" t="s">
        <v>2269</v>
      </c>
      <c r="D700" s="13" t="s">
        <v>2276</v>
      </c>
      <c r="E700" s="10" t="s">
        <v>133</v>
      </c>
      <c r="F700" s="10" t="s">
        <v>501</v>
      </c>
      <c r="G700" s="10" t="s">
        <v>252</v>
      </c>
      <c r="H700" s="10" t="s">
        <v>21</v>
      </c>
      <c r="I700" s="20">
        <v>673.4</v>
      </c>
      <c r="J700" s="11" t="s">
        <v>331</v>
      </c>
      <c r="K700" s="11">
        <f>I700/28/10*10</f>
        <v>24.050000000000004</v>
      </c>
      <c r="L700" s="12">
        <v>0.35</v>
      </c>
      <c r="M700" s="13" t="s">
        <v>2271</v>
      </c>
      <c r="N700" s="13" t="s">
        <v>2272</v>
      </c>
    </row>
    <row r="701" spans="1:14" ht="33.75">
      <c r="A701" s="46" t="s">
        <v>2277</v>
      </c>
      <c r="B701" s="46" t="s">
        <v>2278</v>
      </c>
      <c r="C701" s="13" t="s">
        <v>2279</v>
      </c>
      <c r="D701" s="13" t="s">
        <v>2280</v>
      </c>
      <c r="E701" s="10" t="s">
        <v>133</v>
      </c>
      <c r="F701" s="10" t="s">
        <v>2281</v>
      </c>
      <c r="G701" s="10" t="s">
        <v>2282</v>
      </c>
      <c r="H701" s="10" t="s">
        <v>443</v>
      </c>
      <c r="I701" s="20">
        <v>3409.6</v>
      </c>
      <c r="J701" s="10" t="s">
        <v>1164</v>
      </c>
      <c r="K701" s="11">
        <f>I701/30/500*500</f>
        <v>113.65333333333334</v>
      </c>
      <c r="L701" s="12">
        <v>0.6</v>
      </c>
      <c r="M701" s="13" t="s">
        <v>2283</v>
      </c>
      <c r="N701" s="13" t="s">
        <v>2284</v>
      </c>
    </row>
    <row r="702" spans="1:14" ht="22.5">
      <c r="A702" s="13" t="s">
        <v>2285</v>
      </c>
      <c r="B702" s="13" t="s">
        <v>2286</v>
      </c>
      <c r="C702" s="13" t="s">
        <v>2287</v>
      </c>
      <c r="D702" s="13" t="s">
        <v>2288</v>
      </c>
      <c r="E702" s="10" t="s">
        <v>2289</v>
      </c>
      <c r="F702" s="10" t="s">
        <v>2290</v>
      </c>
      <c r="G702" s="10" t="s">
        <v>252</v>
      </c>
      <c r="H702" s="10" t="s">
        <v>21</v>
      </c>
      <c r="I702" s="20">
        <v>160.19999999999999</v>
      </c>
      <c r="J702" s="11" t="s">
        <v>2291</v>
      </c>
      <c r="K702" s="11">
        <f>I702/20/1*2</f>
        <v>16.02</v>
      </c>
      <c r="L702" s="1">
        <v>0.5</v>
      </c>
      <c r="M702" s="13"/>
      <c r="N702" s="13" t="s">
        <v>2292</v>
      </c>
    </row>
    <row r="703" spans="1:14" ht="22.5">
      <c r="A703" s="13">
        <v>7090912</v>
      </c>
      <c r="B703" s="13" t="s">
        <v>2293</v>
      </c>
      <c r="C703" s="13" t="s">
        <v>1328</v>
      </c>
      <c r="D703" s="13" t="s">
        <v>2294</v>
      </c>
      <c r="E703" s="10" t="s">
        <v>2295</v>
      </c>
      <c r="F703" s="10" t="s">
        <v>2296</v>
      </c>
      <c r="G703" s="21" t="s">
        <v>2297</v>
      </c>
      <c r="H703" s="21" t="s">
        <v>62</v>
      </c>
      <c r="I703" s="20">
        <v>469.8</v>
      </c>
      <c r="J703" s="11" t="s">
        <v>36</v>
      </c>
      <c r="K703" s="11" t="s">
        <v>36</v>
      </c>
      <c r="L703" s="12">
        <v>0.9</v>
      </c>
      <c r="M703" s="13" t="s">
        <v>2298</v>
      </c>
      <c r="N703" s="13"/>
    </row>
    <row r="704" spans="1:14" ht="22.5">
      <c r="A704" s="13" t="s">
        <v>2299</v>
      </c>
      <c r="B704" s="13" t="s">
        <v>2300</v>
      </c>
      <c r="C704" s="13" t="s">
        <v>1362</v>
      </c>
      <c r="D704" s="13" t="s">
        <v>2301</v>
      </c>
      <c r="E704" s="10" t="s">
        <v>2295</v>
      </c>
      <c r="F704" s="10" t="s">
        <v>2302</v>
      </c>
      <c r="G704" s="10" t="s">
        <v>2303</v>
      </c>
      <c r="H704" s="10" t="s">
        <v>2304</v>
      </c>
      <c r="I704" s="20">
        <v>536.6</v>
      </c>
      <c r="J704" s="11" t="s">
        <v>36</v>
      </c>
      <c r="K704" s="11" t="s">
        <v>36</v>
      </c>
      <c r="L704" s="12">
        <v>0.9</v>
      </c>
      <c r="M704" s="13" t="s">
        <v>2298</v>
      </c>
      <c r="N704" s="13"/>
    </row>
    <row r="705" spans="1:14" ht="22.5">
      <c r="A705" s="13" t="s">
        <v>2305</v>
      </c>
      <c r="B705" s="13" t="s">
        <v>2306</v>
      </c>
      <c r="C705" s="13" t="s">
        <v>2307</v>
      </c>
      <c r="D705" s="13" t="s">
        <v>2308</v>
      </c>
      <c r="E705" s="10" t="s">
        <v>2295</v>
      </c>
      <c r="F705" s="10" t="s">
        <v>2309</v>
      </c>
      <c r="G705" s="10" t="s">
        <v>2310</v>
      </c>
      <c r="H705" s="10" t="s">
        <v>2311</v>
      </c>
      <c r="I705" s="20">
        <v>246.1</v>
      </c>
      <c r="J705" s="11" t="s">
        <v>36</v>
      </c>
      <c r="K705" s="11" t="s">
        <v>36</v>
      </c>
      <c r="L705" s="12">
        <v>0.55000000000000004</v>
      </c>
      <c r="M705" s="13"/>
      <c r="N705" s="13"/>
    </row>
    <row r="706" spans="1:14" ht="33.75">
      <c r="A706" s="46" t="s">
        <v>2312</v>
      </c>
      <c r="B706" s="13" t="s">
        <v>2313</v>
      </c>
      <c r="C706" s="13" t="s">
        <v>2314</v>
      </c>
      <c r="D706" s="13" t="s">
        <v>2315</v>
      </c>
      <c r="E706" s="10" t="s">
        <v>2295</v>
      </c>
      <c r="F706" s="10" t="s">
        <v>2316</v>
      </c>
      <c r="G706" s="10" t="s">
        <v>2317</v>
      </c>
      <c r="H706" s="10" t="s">
        <v>2318</v>
      </c>
      <c r="I706" s="20">
        <v>275.5</v>
      </c>
      <c r="J706" s="11" t="s">
        <v>2319</v>
      </c>
      <c r="K706" s="11">
        <f>I706/1/5*0.2</f>
        <v>11.020000000000001</v>
      </c>
      <c r="L706" s="12">
        <v>0.45</v>
      </c>
      <c r="M706" s="13"/>
      <c r="N706" s="13" t="s">
        <v>2320</v>
      </c>
    </row>
    <row r="707" spans="1:14" ht="22.5">
      <c r="A707" s="13" t="s">
        <v>2321</v>
      </c>
      <c r="B707" s="13" t="s">
        <v>2313</v>
      </c>
      <c r="C707" s="13" t="s">
        <v>2314</v>
      </c>
      <c r="D707" s="13" t="s">
        <v>2322</v>
      </c>
      <c r="E707" s="10" t="s">
        <v>2295</v>
      </c>
      <c r="F707" s="10" t="s">
        <v>2323</v>
      </c>
      <c r="G707" s="10" t="s">
        <v>2324</v>
      </c>
      <c r="H707" s="10" t="s">
        <v>1945</v>
      </c>
      <c r="I707" s="20">
        <v>470.7</v>
      </c>
      <c r="J707" s="11" t="s">
        <v>2319</v>
      </c>
      <c r="K707" s="11">
        <f>I707/1/10*0.2</f>
        <v>9.4139999999999997</v>
      </c>
      <c r="L707" s="12">
        <v>0.25</v>
      </c>
      <c r="M707" s="13"/>
      <c r="N707" s="13" t="s">
        <v>2320</v>
      </c>
    </row>
    <row r="708" spans="1:14" ht="22.5">
      <c r="A708" s="46" t="s">
        <v>2325</v>
      </c>
      <c r="B708" s="13" t="s">
        <v>2313</v>
      </c>
      <c r="C708" s="13" t="s">
        <v>2314</v>
      </c>
      <c r="D708" s="13" t="s">
        <v>2326</v>
      </c>
      <c r="E708" s="10" t="s">
        <v>2327</v>
      </c>
      <c r="F708" s="10" t="s">
        <v>2569</v>
      </c>
      <c r="G708" s="10" t="s">
        <v>2297</v>
      </c>
      <c r="H708" s="10" t="s">
        <v>62</v>
      </c>
      <c r="I708" s="11">
        <v>211.9</v>
      </c>
      <c r="J708" s="11" t="s">
        <v>2319</v>
      </c>
      <c r="K708" s="11">
        <f>+I708/5*0.2</f>
        <v>8.4760000000000009</v>
      </c>
      <c r="L708" s="12">
        <v>0.25</v>
      </c>
      <c r="M708" s="13"/>
      <c r="N708" s="13" t="s">
        <v>2320</v>
      </c>
    </row>
    <row r="709" spans="1:14" ht="22.5">
      <c r="A709" s="46" t="s">
        <v>2477</v>
      </c>
      <c r="B709" s="46" t="s">
        <v>2313</v>
      </c>
      <c r="C709" s="70" t="s">
        <v>2314</v>
      </c>
      <c r="D709" s="70" t="s">
        <v>2474</v>
      </c>
      <c r="E709" s="71" t="s">
        <v>2295</v>
      </c>
      <c r="F709" s="21" t="s">
        <v>2475</v>
      </c>
      <c r="G709" s="71" t="s">
        <v>2476</v>
      </c>
      <c r="H709" s="71" t="s">
        <v>62</v>
      </c>
      <c r="I709" s="11">
        <v>211.9</v>
      </c>
      <c r="J709" s="11" t="s">
        <v>2319</v>
      </c>
      <c r="K709" s="11">
        <f>+I709/5*0.2</f>
        <v>8.4760000000000009</v>
      </c>
      <c r="L709" s="12">
        <v>0.25</v>
      </c>
      <c r="M709" s="13"/>
      <c r="N709" s="13" t="s">
        <v>2320</v>
      </c>
    </row>
    <row r="710" spans="1:14" ht="45">
      <c r="A710" s="13" t="s">
        <v>2331</v>
      </c>
      <c r="B710" s="13" t="s">
        <v>2332</v>
      </c>
      <c r="C710" s="13" t="s">
        <v>2333</v>
      </c>
      <c r="D710" s="13" t="s">
        <v>2334</v>
      </c>
      <c r="E710" s="10" t="s">
        <v>2328</v>
      </c>
      <c r="F710" s="10" t="s">
        <v>2335</v>
      </c>
      <c r="G710" s="10" t="s">
        <v>2336</v>
      </c>
      <c r="H710" s="10" t="s">
        <v>1003</v>
      </c>
      <c r="I710" s="11">
        <v>946.7</v>
      </c>
      <c r="J710" s="10" t="s">
        <v>2319</v>
      </c>
      <c r="K710" s="11">
        <f>I710/5*0.2</f>
        <v>37.868000000000002</v>
      </c>
      <c r="L710" s="12">
        <v>0.45</v>
      </c>
      <c r="M710" s="13" t="s">
        <v>2337</v>
      </c>
      <c r="N710" s="13" t="s">
        <v>2338</v>
      </c>
    </row>
    <row r="711" spans="1:14" ht="45">
      <c r="A711" s="46" t="s">
        <v>2339</v>
      </c>
      <c r="B711" s="13" t="s">
        <v>2340</v>
      </c>
      <c r="C711" s="13" t="s">
        <v>2341</v>
      </c>
      <c r="D711" s="13" t="s">
        <v>2342</v>
      </c>
      <c r="E711" s="10" t="s">
        <v>2295</v>
      </c>
      <c r="F711" s="10" t="s">
        <v>2343</v>
      </c>
      <c r="G711" s="10" t="s">
        <v>2317</v>
      </c>
      <c r="H711" s="10" t="s">
        <v>2318</v>
      </c>
      <c r="I711" s="11">
        <v>911.6</v>
      </c>
      <c r="J711" s="11" t="s">
        <v>2344</v>
      </c>
      <c r="K711" s="11">
        <f>I711/3*0.1</f>
        <v>30.38666666666667</v>
      </c>
      <c r="L711" s="2">
        <v>0.45</v>
      </c>
      <c r="M711" s="13" t="s">
        <v>2345</v>
      </c>
      <c r="N711" s="13" t="s">
        <v>2346</v>
      </c>
    </row>
    <row r="712" spans="1:14" ht="45">
      <c r="A712" s="46" t="s">
        <v>2347</v>
      </c>
      <c r="B712" s="13" t="s">
        <v>2340</v>
      </c>
      <c r="C712" s="13" t="s">
        <v>2341</v>
      </c>
      <c r="D712" s="13" t="s">
        <v>2348</v>
      </c>
      <c r="E712" s="10" t="s">
        <v>2295</v>
      </c>
      <c r="F712" s="65" t="s">
        <v>2349</v>
      </c>
      <c r="G712" s="65" t="s">
        <v>2350</v>
      </c>
      <c r="H712" s="65" t="s">
        <v>2351</v>
      </c>
      <c r="I712" s="11">
        <v>787.4</v>
      </c>
      <c r="J712" s="11" t="s">
        <v>2344</v>
      </c>
      <c r="K712" s="11">
        <f>I712/3*0.1</f>
        <v>26.246666666666666</v>
      </c>
      <c r="L712" s="2">
        <v>0.35</v>
      </c>
      <c r="M712" s="13" t="s">
        <v>2345</v>
      </c>
      <c r="N712" s="13" t="s">
        <v>2346</v>
      </c>
    </row>
    <row r="713" spans="1:14" ht="56.25">
      <c r="A713" s="17" t="s">
        <v>2352</v>
      </c>
      <c r="B713" s="17" t="s">
        <v>2340</v>
      </c>
      <c r="C713" s="17" t="s">
        <v>2353</v>
      </c>
      <c r="D713" s="17" t="s">
        <v>2354</v>
      </c>
      <c r="E713" s="25" t="s">
        <v>2295</v>
      </c>
      <c r="F713" s="25" t="s">
        <v>2355</v>
      </c>
      <c r="G713" s="10" t="s">
        <v>2356</v>
      </c>
      <c r="H713" s="10" t="s">
        <v>2357</v>
      </c>
      <c r="I713" s="20">
        <v>361.8</v>
      </c>
      <c r="J713" s="35" t="s">
        <v>2319</v>
      </c>
      <c r="K713" s="35">
        <f>I713/5*0.2</f>
        <v>14.472000000000001</v>
      </c>
      <c r="L713" s="1">
        <v>0.3</v>
      </c>
      <c r="M713" s="76" t="s">
        <v>2345</v>
      </c>
      <c r="N713" s="76" t="s">
        <v>2358</v>
      </c>
    </row>
    <row r="714" spans="1:14" ht="45">
      <c r="A714" s="13">
        <v>7099186</v>
      </c>
      <c r="B714" s="13" t="s">
        <v>2340</v>
      </c>
      <c r="C714" s="13" t="s">
        <v>2359</v>
      </c>
      <c r="D714" s="13" t="s">
        <v>2360</v>
      </c>
      <c r="E714" s="10" t="s">
        <v>2295</v>
      </c>
      <c r="F714" s="10" t="s">
        <v>2361</v>
      </c>
      <c r="G714" s="10" t="s">
        <v>2362</v>
      </c>
      <c r="H714" s="10" t="s">
        <v>1618</v>
      </c>
      <c r="I714" s="11">
        <v>1620.4</v>
      </c>
      <c r="J714" s="118" t="s">
        <v>2319</v>
      </c>
      <c r="K714" s="35">
        <f>I714/10*0.2</f>
        <v>32.408000000000008</v>
      </c>
      <c r="L714" s="3">
        <v>0.7</v>
      </c>
      <c r="M714" s="76" t="s">
        <v>2345</v>
      </c>
      <c r="N714" s="76" t="s">
        <v>2358</v>
      </c>
    </row>
    <row r="715" spans="1:14" ht="45">
      <c r="A715" s="17" t="s">
        <v>2363</v>
      </c>
      <c r="B715" s="17" t="s">
        <v>2340</v>
      </c>
      <c r="C715" s="17" t="s">
        <v>2364</v>
      </c>
      <c r="D715" s="17" t="s">
        <v>2365</v>
      </c>
      <c r="E715" s="25" t="s">
        <v>2295</v>
      </c>
      <c r="F715" s="101" t="s">
        <v>2366</v>
      </c>
      <c r="G715" s="25" t="s">
        <v>2367</v>
      </c>
      <c r="H715" s="25" t="s">
        <v>1003</v>
      </c>
      <c r="I715" s="20">
        <v>562</v>
      </c>
      <c r="J715" s="36" t="s">
        <v>2344</v>
      </c>
      <c r="K715" s="36">
        <f>I715/1/2.5*0.1</f>
        <v>22.480000000000004</v>
      </c>
      <c r="L715" s="19">
        <v>0.3</v>
      </c>
      <c r="M715" s="17" t="s">
        <v>2368</v>
      </c>
      <c r="N715" s="17" t="s">
        <v>2346</v>
      </c>
    </row>
    <row r="716" spans="1:14" ht="45">
      <c r="A716" s="17" t="s">
        <v>2369</v>
      </c>
      <c r="B716" s="17" t="s">
        <v>2340</v>
      </c>
      <c r="C716" s="17" t="s">
        <v>2370</v>
      </c>
      <c r="D716" s="17" t="s">
        <v>2371</v>
      </c>
      <c r="E716" s="25" t="s">
        <v>2295</v>
      </c>
      <c r="F716" s="25" t="s">
        <v>2372</v>
      </c>
      <c r="G716" s="25" t="s">
        <v>2373</v>
      </c>
      <c r="H716" s="25" t="s">
        <v>2374</v>
      </c>
      <c r="I716" s="20">
        <v>806.1</v>
      </c>
      <c r="J716" s="36" t="s">
        <v>2375</v>
      </c>
      <c r="K716" s="36">
        <f>+I716/2.5*0.1</f>
        <v>32.244</v>
      </c>
      <c r="L716" s="19">
        <v>0.6</v>
      </c>
      <c r="M716" s="17" t="s">
        <v>2345</v>
      </c>
      <c r="N716" s="17" t="s">
        <v>2346</v>
      </c>
    </row>
    <row r="717" spans="1:14" ht="45">
      <c r="A717" s="17" t="s">
        <v>2376</v>
      </c>
      <c r="B717" s="17" t="s">
        <v>2340</v>
      </c>
      <c r="C717" s="17" t="s">
        <v>2377</v>
      </c>
      <c r="D717" s="17" t="s">
        <v>2378</v>
      </c>
      <c r="E717" s="25" t="s">
        <v>2328</v>
      </c>
      <c r="F717" s="25" t="s">
        <v>2379</v>
      </c>
      <c r="G717" s="25" t="s">
        <v>2373</v>
      </c>
      <c r="H717" s="25" t="s">
        <v>2374</v>
      </c>
      <c r="I717" s="11">
        <v>969</v>
      </c>
      <c r="J717" s="10" t="s">
        <v>2380</v>
      </c>
      <c r="K717" s="11">
        <f>+I717/5*0.2</f>
        <v>38.760000000000005</v>
      </c>
      <c r="L717" s="12">
        <v>0.5</v>
      </c>
      <c r="M717" s="17" t="s">
        <v>2345</v>
      </c>
      <c r="N717" s="17" t="s">
        <v>2346</v>
      </c>
    </row>
    <row r="718" spans="1:14" ht="67.5">
      <c r="A718" s="13" t="s">
        <v>2381</v>
      </c>
      <c r="B718" s="13" t="s">
        <v>2382</v>
      </c>
      <c r="C718" s="13" t="s">
        <v>2383</v>
      </c>
      <c r="D718" s="13" t="s">
        <v>2384</v>
      </c>
      <c r="E718" s="10" t="s">
        <v>2295</v>
      </c>
      <c r="F718" s="10" t="s">
        <v>2385</v>
      </c>
      <c r="G718" s="10" t="s">
        <v>2317</v>
      </c>
      <c r="H718" s="10" t="s">
        <v>2318</v>
      </c>
      <c r="I718" s="20">
        <v>629.20000000000005</v>
      </c>
      <c r="J718" s="11" t="s">
        <v>2344</v>
      </c>
      <c r="K718" s="11">
        <f>I718/3*0.1</f>
        <v>20.973333333333336</v>
      </c>
      <c r="L718" s="2">
        <v>0.45</v>
      </c>
      <c r="M718" s="13" t="s">
        <v>2329</v>
      </c>
      <c r="N718" s="13" t="s">
        <v>2320</v>
      </c>
    </row>
    <row r="719" spans="1:14" ht="67.5">
      <c r="A719" s="46" t="s">
        <v>2386</v>
      </c>
      <c r="B719" s="13" t="s">
        <v>2382</v>
      </c>
      <c r="C719" s="18" t="s">
        <v>2383</v>
      </c>
      <c r="D719" s="18" t="s">
        <v>2387</v>
      </c>
      <c r="E719" s="22" t="s">
        <v>2295</v>
      </c>
      <c r="F719" s="22" t="s">
        <v>2388</v>
      </c>
      <c r="G719" s="10" t="s">
        <v>2389</v>
      </c>
      <c r="H719" s="22" t="s">
        <v>62</v>
      </c>
      <c r="I719" s="11">
        <v>597.6</v>
      </c>
      <c r="J719" s="11" t="s">
        <v>2344</v>
      </c>
      <c r="K719" s="11">
        <f>I719/3*0.1</f>
        <v>19.920000000000002</v>
      </c>
      <c r="L719" s="2">
        <v>0.25</v>
      </c>
      <c r="M719" s="13" t="s">
        <v>2329</v>
      </c>
      <c r="N719" s="13" t="s">
        <v>2320</v>
      </c>
    </row>
    <row r="720" spans="1:14" ht="67.5">
      <c r="A720" s="46" t="s">
        <v>2390</v>
      </c>
      <c r="B720" s="13" t="s">
        <v>2382</v>
      </c>
      <c r="C720" s="13" t="s">
        <v>2383</v>
      </c>
      <c r="D720" s="13" t="s">
        <v>2391</v>
      </c>
      <c r="E720" s="10" t="s">
        <v>2295</v>
      </c>
      <c r="F720" s="65" t="s">
        <v>2388</v>
      </c>
      <c r="G720" s="65" t="s">
        <v>2350</v>
      </c>
      <c r="H720" s="65" t="s">
        <v>2351</v>
      </c>
      <c r="I720" s="11">
        <v>597.6</v>
      </c>
      <c r="J720" s="11" t="s">
        <v>2344</v>
      </c>
      <c r="K720" s="11">
        <f>+I720/3*0.1</f>
        <v>19.920000000000002</v>
      </c>
      <c r="L720" s="2">
        <v>0.25</v>
      </c>
      <c r="M720" s="13" t="s">
        <v>2329</v>
      </c>
      <c r="N720" s="13" t="s">
        <v>2320</v>
      </c>
    </row>
    <row r="721" spans="1:14" ht="67.5">
      <c r="A721" s="46" t="s">
        <v>2392</v>
      </c>
      <c r="B721" s="13" t="s">
        <v>2393</v>
      </c>
      <c r="C721" s="13" t="s">
        <v>2394</v>
      </c>
      <c r="D721" s="13" t="s">
        <v>2395</v>
      </c>
      <c r="E721" s="10" t="s">
        <v>2295</v>
      </c>
      <c r="F721" s="10" t="s">
        <v>2396</v>
      </c>
      <c r="G721" s="10" t="s">
        <v>2303</v>
      </c>
      <c r="H721" s="10" t="s">
        <v>2304</v>
      </c>
      <c r="I721" s="11">
        <v>618.6</v>
      </c>
      <c r="J721" s="11" t="s">
        <v>2344</v>
      </c>
      <c r="K721" s="11">
        <f>I721/2.5*0.1</f>
        <v>24.744</v>
      </c>
      <c r="L721" s="1">
        <v>0.35</v>
      </c>
      <c r="M721" s="13" t="s">
        <v>2329</v>
      </c>
      <c r="N721" s="13" t="s">
        <v>2330</v>
      </c>
    </row>
    <row r="722" spans="1:14" ht="67.5">
      <c r="A722" s="46" t="s">
        <v>2397</v>
      </c>
      <c r="B722" s="13" t="s">
        <v>2398</v>
      </c>
      <c r="C722" s="13" t="s">
        <v>2399</v>
      </c>
      <c r="D722" s="13" t="s">
        <v>2400</v>
      </c>
      <c r="E722" s="10" t="s">
        <v>2295</v>
      </c>
      <c r="F722" s="10" t="s">
        <v>2433</v>
      </c>
      <c r="G722" s="10" t="s">
        <v>2401</v>
      </c>
      <c r="H722" s="10" t="s">
        <v>2357</v>
      </c>
      <c r="I722" s="20">
        <v>1342.7</v>
      </c>
      <c r="J722" s="11" t="s">
        <v>2344</v>
      </c>
      <c r="K722" s="11">
        <f>I722/30/0.3*0.1</f>
        <v>14.91888888888889</v>
      </c>
      <c r="L722" s="1">
        <v>0.35</v>
      </c>
      <c r="M722" s="13" t="s">
        <v>2329</v>
      </c>
      <c r="N722" s="13" t="s">
        <v>2330</v>
      </c>
    </row>
    <row r="723" spans="1:14" ht="67.5">
      <c r="A723" s="46" t="s">
        <v>2402</v>
      </c>
      <c r="B723" s="13" t="s">
        <v>2398</v>
      </c>
      <c r="C723" s="13" t="s">
        <v>2399</v>
      </c>
      <c r="D723" s="13" t="s">
        <v>2400</v>
      </c>
      <c r="E723" s="10" t="s">
        <v>2295</v>
      </c>
      <c r="F723" s="10" t="s">
        <v>2403</v>
      </c>
      <c r="G723" s="10" t="s">
        <v>2404</v>
      </c>
      <c r="H723" s="10" t="s">
        <v>1618</v>
      </c>
      <c r="I723" s="11">
        <v>1473</v>
      </c>
      <c r="J723" s="32" t="s">
        <v>2344</v>
      </c>
      <c r="K723" s="32">
        <f>I723/3*0.1</f>
        <v>49.1</v>
      </c>
      <c r="L723" s="9">
        <v>0.35</v>
      </c>
      <c r="M723" s="13" t="s">
        <v>2329</v>
      </c>
      <c r="N723" s="13" t="s">
        <v>2330</v>
      </c>
    </row>
    <row r="724" spans="1:14" ht="22.5">
      <c r="A724" s="13">
        <v>7090791</v>
      </c>
      <c r="B724" s="13" t="s">
        <v>2405</v>
      </c>
      <c r="C724" s="13" t="s">
        <v>2307</v>
      </c>
      <c r="D724" s="13" t="s">
        <v>2406</v>
      </c>
      <c r="E724" s="10" t="s">
        <v>2407</v>
      </c>
      <c r="F724" s="10" t="s">
        <v>2408</v>
      </c>
      <c r="G724" s="10" t="s">
        <v>252</v>
      </c>
      <c r="H724" s="10" t="s">
        <v>21</v>
      </c>
      <c r="I724" s="20">
        <v>246.1</v>
      </c>
      <c r="J724" s="11" t="s">
        <v>36</v>
      </c>
      <c r="K724" s="11" t="s">
        <v>36</v>
      </c>
      <c r="L724" s="12">
        <v>0.55000000000000004</v>
      </c>
      <c r="M724" s="13"/>
      <c r="N724" s="13"/>
    </row>
  </sheetData>
  <autoFilter ref="A1:P724" xr:uid="{EB9AE3C6-F1BE-4E59-A374-1CA7C8956AA4}"/>
  <pageMargins left="0.7" right="0.7" top="0.75" bottom="0.75" header="0.3" footer="0.3"/>
  <pageSetup paperSize="9" scale="54" fitToHeight="0" orientation="landscape" verticalDpi="0" r:id="rId1"/>
  <headerFooter>
    <oddHeader>&amp;L&amp;"Arial,Bold"Lista A1.&amp;"Arial,Regular" Lekovi koji se propisuju i izdaju na obrascu lekarskog recepta, a koji imaju terapijsku paralelu (terapijsku alternativu) lekovima u Listi A</oddHeader>
    <oddFooter>&amp;R&amp;"Arial,Regular"Strana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Sheet1</vt:lpstr>
      <vt:lpstr>Sheet1!Print_Area</vt:lpstr>
      <vt:lpstr>Sheet1!Print_Titles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Milica Stevanovic</dc:creator>
  <cp:lastModifiedBy>Milica Stevanovic</cp:lastModifiedBy>
  <cp:lastPrinted>2026-01-29T10:10:33Z</cp:lastPrinted>
  <dcterms:created xsi:type="dcterms:W3CDTF">2024-10-25T10:00:40Z</dcterms:created>
  <dcterms:modified xsi:type="dcterms:W3CDTF">2026-01-29T10:11:07Z</dcterms:modified>
</cp:coreProperties>
</file>