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10.0.3.14\Lekovi\Lista lekova\LISTA LEKOVA 2026\Lista za sajt\obezbojeno\"/>
    </mc:Choice>
  </mc:AlternateContent>
  <xr:revisionPtr revIDLastSave="0" documentId="13_ncr:1_{A8FEE945-2F75-4BC7-8536-A016C2245C39}" xr6:coauthVersionLast="36" xr6:coauthVersionMax="36" xr10:uidLastSave="{00000000-0000-0000-0000-000000000000}"/>
  <bookViews>
    <workbookView xWindow="0" yWindow="0" windowWidth="28800" windowHeight="11265" xr2:uid="{00000000-000D-0000-FFFF-FFFF00000000}"/>
  </bookViews>
  <sheets>
    <sheet name="Lista A" sheetId="5" r:id="rId1"/>
  </sheets>
  <definedNames>
    <definedName name="_xlnm._FilterDatabase" localSheetId="0" hidden="1">'Lista A'!$A$1:$AS$839</definedName>
    <definedName name="_xlnm.Print_Area" localSheetId="0">'Lista A'!$A$1:$N$839</definedName>
    <definedName name="_xlnm.Print_Titles" localSheetId="0">'Lista A'!$1:$1</definedName>
  </definedNames>
  <calcPr calcId="191029"/>
</workbook>
</file>

<file path=xl/calcChain.xml><?xml version="1.0" encoding="utf-8"?>
<calcChain xmlns="http://schemas.openxmlformats.org/spreadsheetml/2006/main">
  <c r="K820" i="5" l="1"/>
  <c r="K819" i="5"/>
  <c r="K818" i="5"/>
  <c r="K817" i="5"/>
  <c r="K816" i="5"/>
  <c r="K815" i="5"/>
  <c r="K814" i="5"/>
  <c r="K813" i="5"/>
  <c r="K812" i="5"/>
  <c r="K811" i="5"/>
  <c r="K810" i="5"/>
  <c r="K809" i="5"/>
  <c r="K808" i="5"/>
  <c r="K807" i="5"/>
  <c r="K806" i="5"/>
  <c r="K805" i="5"/>
  <c r="K804" i="5"/>
  <c r="K797" i="5"/>
  <c r="K796" i="5"/>
  <c r="K795" i="5"/>
  <c r="K794" i="5"/>
  <c r="K793" i="5"/>
  <c r="K792" i="5"/>
  <c r="K791" i="5"/>
  <c r="K790" i="5"/>
  <c r="K789" i="5"/>
  <c r="K788" i="5"/>
  <c r="K787" i="5"/>
  <c r="K786" i="5"/>
  <c r="K785" i="5"/>
  <c r="K784" i="5"/>
  <c r="K783" i="5"/>
  <c r="K782" i="5"/>
  <c r="K781" i="5"/>
  <c r="K780" i="5"/>
  <c r="K779" i="5"/>
  <c r="K778" i="5"/>
  <c r="K777" i="5"/>
  <c r="K776" i="5"/>
  <c r="K775" i="5"/>
  <c r="K774" i="5"/>
  <c r="K773" i="5"/>
  <c r="K772" i="5"/>
  <c r="K771" i="5"/>
  <c r="K770" i="5"/>
  <c r="K769" i="5"/>
  <c r="K768" i="5"/>
  <c r="K767" i="5"/>
  <c r="K766" i="5"/>
  <c r="K765" i="5"/>
  <c r="K764" i="5"/>
  <c r="K763" i="5"/>
  <c r="K762" i="5"/>
  <c r="K761" i="5"/>
  <c r="K760" i="5"/>
  <c r="K759" i="5"/>
  <c r="K758" i="5"/>
  <c r="K757" i="5"/>
  <c r="K756" i="5"/>
  <c r="K755" i="5"/>
  <c r="K754" i="5"/>
  <c r="K753" i="5"/>
  <c r="K752" i="5"/>
  <c r="K751" i="5"/>
  <c r="K750" i="5"/>
  <c r="K749" i="5"/>
  <c r="K748" i="5"/>
  <c r="K747" i="5"/>
  <c r="K746" i="5"/>
  <c r="K744" i="5"/>
  <c r="K743" i="5"/>
  <c r="K742" i="5"/>
  <c r="K741" i="5"/>
  <c r="K740" i="5"/>
  <c r="K739" i="5"/>
  <c r="K738" i="5"/>
  <c r="K737" i="5"/>
  <c r="K736" i="5"/>
  <c r="K735" i="5"/>
  <c r="K734" i="5"/>
  <c r="K733" i="5"/>
  <c r="K732" i="5"/>
  <c r="K731" i="5"/>
  <c r="K730" i="5"/>
  <c r="K729" i="5"/>
  <c r="K728" i="5"/>
  <c r="K727" i="5"/>
  <c r="K726" i="5"/>
  <c r="K725" i="5"/>
  <c r="K724" i="5"/>
  <c r="K723" i="5"/>
  <c r="K722" i="5"/>
  <c r="K721" i="5"/>
  <c r="K720" i="5"/>
  <c r="K719" i="5"/>
  <c r="K718" i="5"/>
  <c r="K717" i="5"/>
  <c r="K716" i="5"/>
  <c r="K715" i="5"/>
  <c r="K714" i="5"/>
  <c r="K713" i="5"/>
  <c r="K712" i="5"/>
  <c r="K711" i="5"/>
  <c r="K710" i="5"/>
  <c r="K709" i="5"/>
  <c r="K708" i="5"/>
  <c r="K707" i="5"/>
  <c r="K706" i="5"/>
  <c r="K705" i="5"/>
  <c r="K704" i="5"/>
  <c r="K703" i="5"/>
  <c r="K702" i="5"/>
  <c r="K701" i="5"/>
  <c r="K700" i="5"/>
  <c r="K699" i="5"/>
  <c r="K698" i="5"/>
  <c r="K697" i="5"/>
  <c r="K696" i="5"/>
  <c r="K695" i="5"/>
  <c r="K694" i="5"/>
  <c r="K693" i="5"/>
  <c r="K692" i="5"/>
  <c r="K691" i="5"/>
  <c r="K690" i="5"/>
  <c r="K689" i="5"/>
  <c r="K688" i="5"/>
  <c r="K687" i="5"/>
  <c r="K686" i="5"/>
  <c r="K685" i="5"/>
  <c r="K684" i="5"/>
  <c r="K683" i="5"/>
  <c r="K682" i="5"/>
  <c r="K681" i="5"/>
  <c r="K680" i="5"/>
  <c r="K679" i="5"/>
  <c r="K678" i="5"/>
  <c r="K677" i="5"/>
  <c r="K676" i="5"/>
  <c r="K675" i="5"/>
  <c r="K674" i="5"/>
  <c r="K673" i="5"/>
  <c r="K672" i="5"/>
  <c r="K671" i="5"/>
  <c r="K670" i="5"/>
  <c r="K669" i="5"/>
  <c r="K668" i="5"/>
  <c r="K667" i="5"/>
  <c r="K666" i="5"/>
  <c r="K665" i="5"/>
  <c r="K664" i="5"/>
  <c r="K663" i="5"/>
  <c r="K662" i="5"/>
  <c r="K661" i="5"/>
  <c r="K660" i="5"/>
  <c r="K659" i="5"/>
  <c r="K658" i="5"/>
  <c r="K657" i="5"/>
  <c r="K656" i="5"/>
  <c r="K655" i="5"/>
  <c r="K654" i="5"/>
  <c r="K653" i="5"/>
  <c r="K652" i="5"/>
  <c r="K651" i="5"/>
  <c r="K650" i="5"/>
  <c r="K649" i="5"/>
  <c r="K648" i="5"/>
  <c r="K647" i="5"/>
  <c r="K646" i="5"/>
  <c r="K645" i="5"/>
  <c r="K644" i="5"/>
  <c r="K643" i="5"/>
  <c r="K642" i="5"/>
  <c r="K641" i="5"/>
  <c r="K640" i="5"/>
  <c r="K639" i="5"/>
  <c r="K638" i="5"/>
  <c r="K637" i="5"/>
  <c r="K636" i="5"/>
  <c r="K635" i="5"/>
  <c r="K634" i="5"/>
  <c r="K633" i="5"/>
  <c r="K632" i="5"/>
  <c r="K631" i="5"/>
  <c r="K630" i="5"/>
  <c r="K629" i="5"/>
  <c r="K628" i="5"/>
  <c r="K627" i="5"/>
  <c r="K626" i="5"/>
  <c r="K625" i="5"/>
  <c r="K624" i="5"/>
  <c r="K623" i="5"/>
  <c r="K622" i="5"/>
  <c r="K621" i="5"/>
  <c r="K620" i="5"/>
  <c r="K619" i="5"/>
  <c r="K618" i="5"/>
  <c r="K617" i="5"/>
  <c r="K616" i="5"/>
  <c r="K615" i="5"/>
  <c r="K614" i="5"/>
  <c r="K613" i="5"/>
  <c r="K612" i="5"/>
  <c r="K611" i="5"/>
  <c r="K610" i="5"/>
  <c r="K609" i="5"/>
  <c r="K608" i="5"/>
  <c r="K607" i="5"/>
  <c r="K606" i="5"/>
  <c r="K605" i="5"/>
  <c r="K604" i="5"/>
  <c r="K603" i="5"/>
  <c r="K602" i="5"/>
  <c r="K601" i="5"/>
  <c r="K600" i="5"/>
  <c r="K599" i="5"/>
  <c r="K598" i="5"/>
  <c r="K597" i="5"/>
  <c r="K596" i="5"/>
  <c r="K595" i="5"/>
  <c r="K594" i="5"/>
  <c r="K593" i="5"/>
  <c r="K592" i="5"/>
  <c r="K591" i="5"/>
  <c r="K590" i="5"/>
  <c r="K589" i="5"/>
  <c r="K588" i="5"/>
  <c r="K587" i="5"/>
  <c r="K586" i="5"/>
  <c r="K585" i="5"/>
  <c r="K584" i="5"/>
  <c r="K583" i="5"/>
  <c r="K582" i="5"/>
  <c r="K581" i="5"/>
  <c r="K580" i="5"/>
  <c r="K579" i="5"/>
  <c r="K578" i="5"/>
  <c r="K577" i="5"/>
  <c r="K576" i="5"/>
  <c r="K575" i="5"/>
  <c r="K574" i="5"/>
  <c r="K573" i="5"/>
  <c r="K572" i="5"/>
  <c r="K571" i="5"/>
  <c r="K570" i="5"/>
  <c r="K569" i="5"/>
  <c r="K568" i="5"/>
  <c r="K567" i="5"/>
  <c r="K566" i="5"/>
  <c r="K565" i="5"/>
  <c r="K564" i="5"/>
  <c r="K563" i="5"/>
  <c r="K562" i="5"/>
  <c r="K561" i="5"/>
  <c r="K560" i="5"/>
  <c r="K559" i="5"/>
  <c r="K558" i="5"/>
  <c r="K557" i="5"/>
  <c r="K556" i="5"/>
  <c r="K555" i="5"/>
  <c r="K554" i="5"/>
  <c r="K553" i="5"/>
  <c r="K552" i="5"/>
  <c r="K551" i="5"/>
  <c r="K550" i="5"/>
  <c r="K549" i="5"/>
  <c r="K548" i="5"/>
  <c r="K547" i="5"/>
  <c r="K546" i="5"/>
  <c r="K545" i="5"/>
  <c r="K544" i="5"/>
  <c r="K543" i="5"/>
  <c r="K542" i="5"/>
  <c r="K541" i="5"/>
  <c r="K540" i="5"/>
  <c r="K539" i="5"/>
  <c r="K538" i="5"/>
  <c r="K537" i="5"/>
  <c r="K536" i="5"/>
  <c r="K535" i="5"/>
  <c r="K534" i="5"/>
  <c r="K533" i="5"/>
  <c r="K532" i="5"/>
  <c r="K531" i="5"/>
  <c r="K530" i="5"/>
  <c r="K529" i="5"/>
  <c r="K528" i="5"/>
  <c r="K527" i="5"/>
  <c r="K526" i="5"/>
  <c r="K525" i="5"/>
  <c r="K524" i="5"/>
  <c r="K523" i="5"/>
  <c r="K522" i="5"/>
  <c r="K521" i="5"/>
  <c r="K520" i="5"/>
  <c r="K519" i="5"/>
  <c r="K481" i="5"/>
  <c r="K518" i="5"/>
  <c r="K517" i="5"/>
  <c r="K516" i="5"/>
  <c r="K515" i="5"/>
  <c r="K514" i="5"/>
  <c r="K513" i="5"/>
  <c r="K512" i="5"/>
  <c r="K511" i="5"/>
  <c r="K510" i="5"/>
  <c r="K509" i="5"/>
  <c r="K508" i="5"/>
  <c r="K507" i="5"/>
  <c r="K506" i="5"/>
  <c r="K505" i="5"/>
  <c r="K504" i="5"/>
  <c r="K503" i="5"/>
  <c r="K502" i="5"/>
  <c r="K501" i="5"/>
  <c r="K500" i="5"/>
  <c r="K499" i="5"/>
  <c r="K498" i="5"/>
  <c r="K497" i="5"/>
  <c r="K496" i="5"/>
  <c r="K495" i="5"/>
  <c r="K494" i="5"/>
  <c r="K493" i="5"/>
  <c r="K492" i="5"/>
  <c r="K491" i="5"/>
  <c r="K490" i="5"/>
  <c r="K489" i="5"/>
  <c r="K488" i="5"/>
  <c r="K487" i="5"/>
  <c r="K486" i="5"/>
  <c r="K485" i="5"/>
  <c r="K484" i="5"/>
  <c r="K480" i="5"/>
  <c r="K479" i="5"/>
  <c r="K478" i="5"/>
  <c r="K477" i="5"/>
  <c r="K476" i="5"/>
  <c r="K475" i="5"/>
  <c r="K474" i="5"/>
  <c r="K473" i="5"/>
  <c r="K472" i="5"/>
  <c r="K471" i="5"/>
  <c r="K470" i="5"/>
  <c r="K469" i="5"/>
  <c r="K468" i="5"/>
  <c r="K467" i="5"/>
  <c r="K466" i="5"/>
  <c r="K465" i="5"/>
  <c r="K464" i="5"/>
  <c r="K463" i="5"/>
  <c r="K462" i="5"/>
  <c r="K461" i="5"/>
  <c r="K460" i="5"/>
  <c r="K459" i="5"/>
  <c r="K458" i="5"/>
  <c r="K457" i="5"/>
  <c r="K456" i="5"/>
  <c r="K455" i="5"/>
  <c r="K454" i="5"/>
  <c r="K453" i="5"/>
  <c r="K452" i="5"/>
  <c r="K451" i="5"/>
  <c r="K450" i="5"/>
  <c r="K449" i="5"/>
  <c r="K448" i="5"/>
  <c r="K447" i="5"/>
  <c r="K446" i="5"/>
  <c r="K445" i="5"/>
  <c r="K444" i="5"/>
  <c r="K443" i="5"/>
  <c r="K442" i="5"/>
  <c r="K441" i="5"/>
  <c r="K440" i="5"/>
  <c r="K439" i="5"/>
  <c r="K438" i="5"/>
  <c r="K437" i="5"/>
  <c r="K436" i="5"/>
  <c r="K435" i="5"/>
  <c r="K434" i="5"/>
  <c r="K433" i="5"/>
  <c r="K432" i="5"/>
  <c r="K431" i="5"/>
  <c r="K430" i="5"/>
  <c r="K429" i="5"/>
  <c r="K428" i="5"/>
  <c r="K427" i="5"/>
  <c r="K426" i="5"/>
  <c r="K425" i="5"/>
  <c r="K424" i="5"/>
  <c r="K423" i="5"/>
  <c r="K422" i="5"/>
  <c r="K421" i="5"/>
  <c r="K420" i="5"/>
  <c r="K419" i="5"/>
  <c r="K418" i="5"/>
  <c r="K417" i="5"/>
  <c r="K416" i="5"/>
  <c r="K415" i="5"/>
  <c r="K414" i="5"/>
  <c r="K413" i="5"/>
  <c r="K412" i="5"/>
  <c r="K411" i="5"/>
  <c r="K410" i="5"/>
  <c r="K409" i="5"/>
  <c r="K408" i="5"/>
  <c r="K407" i="5"/>
  <c r="K406" i="5"/>
  <c r="K405" i="5"/>
  <c r="K404" i="5"/>
  <c r="K403" i="5"/>
  <c r="K402" i="5"/>
  <c r="K401" i="5"/>
  <c r="K400" i="5"/>
  <c r="K399" i="5"/>
  <c r="K398" i="5"/>
  <c r="K397" i="5"/>
  <c r="K396" i="5"/>
  <c r="K395" i="5"/>
  <c r="K394" i="5"/>
  <c r="K393" i="5"/>
  <c r="K392" i="5"/>
  <c r="K391" i="5"/>
  <c r="K390" i="5"/>
  <c r="K389" i="5"/>
  <c r="K388" i="5"/>
  <c r="K387" i="5"/>
  <c r="K386" i="5"/>
  <c r="K385" i="5"/>
  <c r="K384" i="5"/>
  <c r="K383" i="5"/>
  <c r="K382" i="5"/>
  <c r="K381" i="5"/>
  <c r="K380" i="5"/>
  <c r="K379" i="5"/>
  <c r="K378" i="5"/>
  <c r="K377" i="5"/>
  <c r="K376" i="5"/>
  <c r="K375" i="5"/>
  <c r="K374" i="5"/>
  <c r="K373" i="5"/>
  <c r="K372" i="5"/>
  <c r="K371" i="5"/>
  <c r="K370" i="5"/>
  <c r="K369" i="5"/>
  <c r="K368" i="5"/>
  <c r="K367" i="5"/>
  <c r="K366" i="5"/>
  <c r="K365" i="5"/>
  <c r="K364" i="5"/>
  <c r="K363" i="5"/>
  <c r="K362" i="5"/>
  <c r="K361" i="5"/>
  <c r="K360" i="5"/>
  <c r="K359" i="5"/>
  <c r="K358" i="5"/>
  <c r="K357" i="5"/>
  <c r="K356" i="5"/>
  <c r="K355" i="5"/>
  <c r="K354" i="5"/>
  <c r="K353" i="5"/>
  <c r="K352" i="5"/>
  <c r="K351" i="5"/>
  <c r="K350" i="5"/>
  <c r="K349" i="5"/>
  <c r="K348" i="5"/>
  <c r="K347" i="5"/>
  <c r="K346" i="5"/>
  <c r="K345" i="5"/>
  <c r="K342" i="5"/>
  <c r="K341" i="5"/>
  <c r="K340" i="5"/>
  <c r="K339" i="5"/>
  <c r="K338" i="5"/>
  <c r="K337" i="5"/>
  <c r="K336" i="5"/>
  <c r="K335" i="5"/>
  <c r="K334" i="5"/>
  <c r="K333" i="5"/>
  <c r="K332" i="5"/>
  <c r="K331" i="5"/>
  <c r="K330" i="5"/>
  <c r="K329" i="5"/>
  <c r="K328" i="5"/>
  <c r="K327" i="5"/>
  <c r="K326" i="5"/>
  <c r="K325" i="5"/>
  <c r="K324" i="5"/>
  <c r="K316" i="5"/>
  <c r="K315" i="5"/>
  <c r="K314" i="5"/>
  <c r="K313" i="5"/>
  <c r="K312" i="5"/>
  <c r="K311" i="5"/>
  <c r="K310" i="5"/>
  <c r="K309" i="5"/>
  <c r="K308" i="5"/>
  <c r="K307" i="5"/>
  <c r="K306" i="5"/>
  <c r="K305" i="5"/>
  <c r="K304" i="5"/>
  <c r="K303" i="5"/>
  <c r="K302" i="5"/>
  <c r="K301" i="5"/>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4" i="5"/>
  <c r="K253"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Milica Stevanovic</author>
  </authors>
  <commentList>
    <comment ref="AC386" authorId="0" shapeId="0" xr:uid="{7DDDF75C-23F1-4222-A365-144EB18105E3}">
      <text>
        <r>
          <rPr>
            <b/>
            <sz val="9"/>
            <color indexed="81"/>
            <rFont val="Tahoma"/>
            <family val="2"/>
          </rPr>
          <t>Milica Stevanovic:</t>
        </r>
        <r>
          <rPr>
            <sz val="9"/>
            <color indexed="81"/>
            <rFont val="Tahoma"/>
            <family val="2"/>
          </rPr>
          <t xml:space="preserve">
iskljucena</t>
        </r>
      </text>
    </comment>
    <comment ref="AF486" authorId="0" shapeId="0" xr:uid="{00000000-0006-0000-0000-000018000000}">
      <text>
        <r>
          <rPr>
            <b/>
            <sz val="9"/>
            <color indexed="81"/>
            <rFont val="Tahoma"/>
            <family val="2"/>
          </rPr>
          <t>Milica Stevanovic:</t>
        </r>
        <r>
          <rPr>
            <sz val="9"/>
            <color indexed="81"/>
            <rFont val="Tahoma"/>
            <family val="2"/>
          </rPr>
          <t xml:space="preserve">
megace je originalni</t>
        </r>
      </text>
    </comment>
    <comment ref="AF487" authorId="0" shapeId="0" xr:uid="{00000000-0006-0000-0000-000019000000}">
      <text>
        <r>
          <rPr>
            <b/>
            <sz val="9"/>
            <color indexed="81"/>
            <rFont val="Tahoma"/>
            <family val="2"/>
          </rPr>
          <t>Milica Stevanovic:</t>
        </r>
        <r>
          <rPr>
            <sz val="9"/>
            <color indexed="81"/>
            <rFont val="Tahoma"/>
            <family val="2"/>
          </rPr>
          <t xml:space="preserve">
megace je originalni</t>
        </r>
      </text>
    </comment>
  </commentList>
</comments>
</file>

<file path=xl/sharedStrings.xml><?xml version="1.0" encoding="utf-8"?>
<sst xmlns="http://schemas.openxmlformats.org/spreadsheetml/2006/main" count="8658" uniqueCount="3073">
  <si>
    <t>JKL</t>
  </si>
  <si>
    <t xml:space="preserve">ATC </t>
  </si>
  <si>
    <t>INN</t>
  </si>
  <si>
    <t>Zaštićeno ime leka</t>
  </si>
  <si>
    <t>FO</t>
  </si>
  <si>
    <t>Pakovanje i jačina  leka</t>
  </si>
  <si>
    <t>Naziv proizvođača leka</t>
  </si>
  <si>
    <t>Država proizvodnje leka</t>
  </si>
  <si>
    <t>DDD</t>
  </si>
  <si>
    <t>Participacija osiguranog lica</t>
  </si>
  <si>
    <t>mikonazol</t>
  </si>
  <si>
    <t>Galenika a.d.</t>
  </si>
  <si>
    <t>Republika Srbija</t>
  </si>
  <si>
    <t>0,2 g</t>
  </si>
  <si>
    <t>1122460</t>
  </si>
  <si>
    <t>A02BC01</t>
  </si>
  <si>
    <t>omeprazol</t>
  </si>
  <si>
    <t>OMEPROL</t>
  </si>
  <si>
    <t>gastrorezistentna kapsula, tvrda</t>
  </si>
  <si>
    <t>blister, 15 po 20 mg</t>
  </si>
  <si>
    <t>Zdravlje a.d.</t>
  </si>
  <si>
    <t>20 mg</t>
  </si>
  <si>
    <t>blister, 14 po 20 mg</t>
  </si>
  <si>
    <t>PharmaSwiss d.o.o.</t>
  </si>
  <si>
    <t>Hemofarm a.d.</t>
  </si>
  <si>
    <t>A02BC02</t>
  </si>
  <si>
    <t>pantoprazol</t>
  </si>
  <si>
    <t>gastrorezistentna tableta</t>
  </si>
  <si>
    <t>blister, 14 po 40 mg</t>
  </si>
  <si>
    <t>40 mg</t>
  </si>
  <si>
    <t>blister, 28 po 40 mg</t>
  </si>
  <si>
    <t>1122867</t>
  </si>
  <si>
    <t>PANRAZOL</t>
  </si>
  <si>
    <t>PharmaS d.o.o.</t>
  </si>
  <si>
    <t>1122920</t>
  </si>
  <si>
    <t>NOLPAZA</t>
  </si>
  <si>
    <t>1122921</t>
  </si>
  <si>
    <t>30 mg</t>
  </si>
  <si>
    <t>blister, 28 po 15 mg</t>
  </si>
  <si>
    <t>Hrvatska</t>
  </si>
  <si>
    <t>A02BC05</t>
  </si>
  <si>
    <t>esomeprazol</t>
  </si>
  <si>
    <t>EMANERA</t>
  </si>
  <si>
    <t>Slovenija</t>
  </si>
  <si>
    <t>1122882</t>
  </si>
  <si>
    <t>1122881</t>
  </si>
  <si>
    <t>blister, 28 po 20 mg</t>
  </si>
  <si>
    <t>1122864</t>
  </si>
  <si>
    <t>1122865</t>
  </si>
  <si>
    <t>Salutas Pharma GmbH</t>
  </si>
  <si>
    <t>Nemačka</t>
  </si>
  <si>
    <t>1124301</t>
  </si>
  <si>
    <t>A03FA01</t>
  </si>
  <si>
    <t>metoklopramid</t>
  </si>
  <si>
    <t xml:space="preserve">KLOMETOL  </t>
  </si>
  <si>
    <t>tableta</t>
  </si>
  <si>
    <t>blister, 30 po 10 mg</t>
  </si>
  <si>
    <t>oralni rastvor</t>
  </si>
  <si>
    <t>1124303</t>
  </si>
  <si>
    <t>REGLAN</t>
  </si>
  <si>
    <t>blister, 40 po 10 mg</t>
  </si>
  <si>
    <t>1124532</t>
  </si>
  <si>
    <t>A04AA01</t>
  </si>
  <si>
    <t>ondansetron</t>
  </si>
  <si>
    <t>ONDASAN</t>
  </si>
  <si>
    <t>film tableta</t>
  </si>
  <si>
    <t>10 po 4 mg</t>
  </si>
  <si>
    <t>Slaviamed d.o.o.</t>
  </si>
  <si>
    <t>16 mg</t>
  </si>
  <si>
    <t>1124534</t>
  </si>
  <si>
    <t>10 po 8 mg</t>
  </si>
  <si>
    <t>1124100</t>
  </si>
  <si>
    <t>A04AA02</t>
  </si>
  <si>
    <t>granisetron</t>
  </si>
  <si>
    <t>RASETRON</t>
  </si>
  <si>
    <t>blister, 10 po 1 mg</t>
  </si>
  <si>
    <t>2 mg</t>
  </si>
  <si>
    <t>1124104</t>
  </si>
  <si>
    <t>blister, 5 po 2 mg</t>
  </si>
  <si>
    <t>A05AA02</t>
  </si>
  <si>
    <t>ursodeoksiholna kiselina</t>
  </si>
  <si>
    <t>kapsula, tvrda</t>
  </si>
  <si>
    <t>Češka</t>
  </si>
  <si>
    <t>0,75 g</t>
  </si>
  <si>
    <t>blister, 100 po 250 mg</t>
  </si>
  <si>
    <t>1127177</t>
  </si>
  <si>
    <t>URSOFALK</t>
  </si>
  <si>
    <t>kapsula</t>
  </si>
  <si>
    <t>Dr Falk Pharma GmbH</t>
  </si>
  <si>
    <t>1127176</t>
  </si>
  <si>
    <t>3127050</t>
  </si>
  <si>
    <t>A06AD11</t>
  </si>
  <si>
    <t>laktuloza</t>
  </si>
  <si>
    <t xml:space="preserve">PORTALAK </t>
  </si>
  <si>
    <t>sirup</t>
  </si>
  <si>
    <t>1 po 500 ml (66,7 g/100 ml) 96%</t>
  </si>
  <si>
    <t>Belupo Lijekovi i kozmetika d.d.</t>
  </si>
  <si>
    <t>6,7 g</t>
  </si>
  <si>
    <t>3127426</t>
  </si>
  <si>
    <t>oralna suspenzija</t>
  </si>
  <si>
    <t>Bosnalijek d.d.</t>
  </si>
  <si>
    <t>Bosna i Hercegovina</t>
  </si>
  <si>
    <t>1126401</t>
  </si>
  <si>
    <t>A07DA03</t>
  </si>
  <si>
    <t>loperamid</t>
  </si>
  <si>
    <t>blister,  20 po 2 mg</t>
  </si>
  <si>
    <t>10 mg</t>
  </si>
  <si>
    <t>1129930</t>
  </si>
  <si>
    <t>A07EA06</t>
  </si>
  <si>
    <t>budesonid</t>
  </si>
  <si>
    <t>BUDOSAN</t>
  </si>
  <si>
    <t>blister, 100 po 3 mg</t>
  </si>
  <si>
    <t>9 mg</t>
  </si>
  <si>
    <t>1129490</t>
  </si>
  <si>
    <t>A07EC01</t>
  </si>
  <si>
    <t>sulfasalazin</t>
  </si>
  <si>
    <t>SALAZOPYRIN-EN</t>
  </si>
  <si>
    <t>Švedska</t>
  </si>
  <si>
    <t>2 g</t>
  </si>
  <si>
    <t>1129300</t>
  </si>
  <si>
    <t>A07EC02</t>
  </si>
  <si>
    <t>mesalazin</t>
  </si>
  <si>
    <t xml:space="preserve">5-ASA </t>
  </si>
  <si>
    <t>1,5 g</t>
  </si>
  <si>
    <t>5129303</t>
  </si>
  <si>
    <t>supozitorija</t>
  </si>
  <si>
    <t>blister, 30 po 250 mg</t>
  </si>
  <si>
    <t>A09AA02</t>
  </si>
  <si>
    <t>pankreatin</t>
  </si>
  <si>
    <t>KREON 25 000</t>
  </si>
  <si>
    <t>Abbott Laboratories GMBH</t>
  </si>
  <si>
    <t>4 kapsule</t>
  </si>
  <si>
    <t>1121154</t>
  </si>
  <si>
    <t xml:space="preserve">kontejner plastični, 50 po 300 mg </t>
  </si>
  <si>
    <t>1121155</t>
  </si>
  <si>
    <t xml:space="preserve">kontejner plastični, 100 po 300 mg </t>
  </si>
  <si>
    <t>Francuska</t>
  </si>
  <si>
    <t>1121152</t>
  </si>
  <si>
    <t>KREON 10 000</t>
  </si>
  <si>
    <t>kontejener plastični, 100 po 150 mg</t>
  </si>
  <si>
    <t>6 kapsula</t>
  </si>
  <si>
    <t>0041559</t>
  </si>
  <si>
    <t>A10AB01</t>
  </si>
  <si>
    <t>insulin humani</t>
  </si>
  <si>
    <t>ACTRAPID PENFILL</t>
  </si>
  <si>
    <t>rastvor za injekciju u ulošku</t>
  </si>
  <si>
    <t>uložak, 5 po 3 ml (100 i.j./ml)</t>
  </si>
  <si>
    <t>Novo Nordisk A/S; Novo Nordisk Production S.A.S</t>
  </si>
  <si>
    <t>Danska; Francuska</t>
  </si>
  <si>
    <t>40 i.j.</t>
  </si>
  <si>
    <t>0041425</t>
  </si>
  <si>
    <t>HUMULIN R</t>
  </si>
  <si>
    <t>5 po 3 ml (100 i.j./ml)</t>
  </si>
  <si>
    <t>Lilly France S.A.S.; Eli Lilly Italia S.P.A.</t>
  </si>
  <si>
    <t>Francuska; Italija</t>
  </si>
  <si>
    <t>Sanofi-Aventis Deutschland GmbH</t>
  </si>
  <si>
    <t>0041507</t>
  </si>
  <si>
    <t>A10AB04</t>
  </si>
  <si>
    <t>insulin lispro</t>
  </si>
  <si>
    <t>HUMALOG</t>
  </si>
  <si>
    <t>rastvor za injekciju</t>
  </si>
  <si>
    <t>0041532</t>
  </si>
  <si>
    <t>A10AB05</t>
  </si>
  <si>
    <t>insulin aspart</t>
  </si>
  <si>
    <t>NOVO RAPID</t>
  </si>
  <si>
    <t>Novo Nordisk A/S</t>
  </si>
  <si>
    <t>Danska</t>
  </si>
  <si>
    <t>0041527</t>
  </si>
  <si>
    <t xml:space="preserve">insulin aspart </t>
  </si>
  <si>
    <t>NOVORAPID FLEXPEN</t>
  </si>
  <si>
    <t>A10AB06</t>
  </si>
  <si>
    <t>insulin glulizin</t>
  </si>
  <si>
    <t>0041556</t>
  </si>
  <si>
    <t>APIDRA SOLOSTAR</t>
  </si>
  <si>
    <t>pen sa uloškom, 5 po 3 ml (100 i.j./ml)</t>
  </si>
  <si>
    <t>0041557</t>
  </si>
  <si>
    <t>A10AC01</t>
  </si>
  <si>
    <t>insulin srednje dugog dejstva, humani (izofan)</t>
  </si>
  <si>
    <t>INSULATARD  PENFILL</t>
  </si>
  <si>
    <t>suspenzija za injekciju u ulošku</t>
  </si>
  <si>
    <t>(za Novopen) 5 po 3 ml (100 i.j./ml)</t>
  </si>
  <si>
    <t>0041428</t>
  </si>
  <si>
    <t xml:space="preserve">insulin humani </t>
  </si>
  <si>
    <t>HUMULIN NPH</t>
  </si>
  <si>
    <t>A10AD01</t>
  </si>
  <si>
    <t>0041427</t>
  </si>
  <si>
    <t>HUMULIN M3</t>
  </si>
  <si>
    <t>0041502</t>
  </si>
  <si>
    <t>A10AD04</t>
  </si>
  <si>
    <t>HUMALOG MIX 25</t>
  </si>
  <si>
    <t>uložak, 5 po 3 ml (100 i.j/1 ml)</t>
  </si>
  <si>
    <t>0041503</t>
  </si>
  <si>
    <t>HUMALOG MIX 50</t>
  </si>
  <si>
    <t>0041528</t>
  </si>
  <si>
    <t>A10AD05</t>
  </si>
  <si>
    <t>NOVOMIX 30 FLEXPEN</t>
  </si>
  <si>
    <t>suspenzija za injekciju</t>
  </si>
  <si>
    <t>A10AE04</t>
  </si>
  <si>
    <t>insulin glargin</t>
  </si>
  <si>
    <t>0041555</t>
  </si>
  <si>
    <t>LANTUS SOLOSTAR</t>
  </si>
  <si>
    <t>0041550</t>
  </si>
  <si>
    <t>A10AE05</t>
  </si>
  <si>
    <t>insulin detemir</t>
  </si>
  <si>
    <t>LEVEMIR FLEXPEN</t>
  </si>
  <si>
    <t>1043060</t>
  </si>
  <si>
    <t>A10BA02</t>
  </si>
  <si>
    <t>metformin</t>
  </si>
  <si>
    <t>GLUFORMIN</t>
  </si>
  <si>
    <t>blister, 30 po 500 mg</t>
  </si>
  <si>
    <t>1043062</t>
  </si>
  <si>
    <t>blister, 30 po 1000 mg</t>
  </si>
  <si>
    <t>1043070</t>
  </si>
  <si>
    <t>TEFOR</t>
  </si>
  <si>
    <t>1043071</t>
  </si>
  <si>
    <t>tegla, 30 po 850 mg</t>
  </si>
  <si>
    <t>1043107</t>
  </si>
  <si>
    <t>GLUCOPHAGE</t>
  </si>
  <si>
    <t>30 po 1000 mg</t>
  </si>
  <si>
    <t>1042332</t>
  </si>
  <si>
    <t>A10BB01</t>
  </si>
  <si>
    <t>glibenklamid</t>
  </si>
  <si>
    <t>blister, 30 po 3,5 mg</t>
  </si>
  <si>
    <t>Berlin-Chemie (Menarini group)</t>
  </si>
  <si>
    <t>7  mg</t>
  </si>
  <si>
    <t>1042076</t>
  </si>
  <si>
    <t>A10BB09</t>
  </si>
  <si>
    <t>gliklazid</t>
  </si>
  <si>
    <t>GLIKOSAN</t>
  </si>
  <si>
    <t>blister, 30 po 80 mg</t>
  </si>
  <si>
    <t>0,16 g</t>
  </si>
  <si>
    <t>1042070</t>
  </si>
  <si>
    <t xml:space="preserve">GLIORAL </t>
  </si>
  <si>
    <t>1042311</t>
  </si>
  <si>
    <t>A10BB12</t>
  </si>
  <si>
    <t>glimepirid</t>
  </si>
  <si>
    <t>AMARYL</t>
  </si>
  <si>
    <t>blister, 30 po 2 mg</t>
  </si>
  <si>
    <t>1042312</t>
  </si>
  <si>
    <t>blister, 30 po 3 mg</t>
  </si>
  <si>
    <t>1042313</t>
  </si>
  <si>
    <t>blister, 30 po 4 mg</t>
  </si>
  <si>
    <t>Italija</t>
  </si>
  <si>
    <t>1042830</t>
  </si>
  <si>
    <t>LIMERAL</t>
  </si>
  <si>
    <t>blister, 30 po 1 mg</t>
  </si>
  <si>
    <t>1042831</t>
  </si>
  <si>
    <t>1042832</t>
  </si>
  <si>
    <t>1042833</t>
  </si>
  <si>
    <t>1042834</t>
  </si>
  <si>
    <t>blister, 30 po 6 mg</t>
  </si>
  <si>
    <t>2050087</t>
  </si>
  <si>
    <t>A11CC05</t>
  </si>
  <si>
    <t>holekalciferol</t>
  </si>
  <si>
    <t>-</t>
  </si>
  <si>
    <t>1053075</t>
  </si>
  <si>
    <t>A12AA04</t>
  </si>
  <si>
    <t>kalcijum karbonat</t>
  </si>
  <si>
    <t>KALCIJUM KARBONAT ALKALOID</t>
  </si>
  <si>
    <t xml:space="preserve">tegla, 50 po 1 g </t>
  </si>
  <si>
    <t>Alkaloid a.d.</t>
  </si>
  <si>
    <t>3 g</t>
  </si>
  <si>
    <t>1063115</t>
  </si>
  <si>
    <t>B01AA03</t>
  </si>
  <si>
    <t>varfarin</t>
  </si>
  <si>
    <t xml:space="preserve">FARIN </t>
  </si>
  <si>
    <t>blister, 30 po 5 mg</t>
  </si>
  <si>
    <t>7,5 mg</t>
  </si>
  <si>
    <t>B03AB05</t>
  </si>
  <si>
    <t>90 mg</t>
  </si>
  <si>
    <t>3060072</t>
  </si>
  <si>
    <t>gvožđe (III) hidroksid polimaltozni kompleks</t>
  </si>
  <si>
    <t>REFERUM</t>
  </si>
  <si>
    <t>boca staklena, 100 ml (50 mg/5 ml)</t>
  </si>
  <si>
    <t>3060074</t>
  </si>
  <si>
    <t>boca staklena, 100 ml (100 mg/5 ml)</t>
  </si>
  <si>
    <t>1061040</t>
  </si>
  <si>
    <t>B03BB01</t>
  </si>
  <si>
    <t>folna kiselina</t>
  </si>
  <si>
    <t>FOLNAK</t>
  </si>
  <si>
    <t>M.D. Nini d.o.o.</t>
  </si>
  <si>
    <t>0,4 mg</t>
  </si>
  <si>
    <t>1061050</t>
  </si>
  <si>
    <t>FOLACIN</t>
  </si>
  <si>
    <t>1061021</t>
  </si>
  <si>
    <t>FOLKIS</t>
  </si>
  <si>
    <t>blister, 20 po 5 mg</t>
  </si>
  <si>
    <t>Ave Pharmaceutical d.o.o.</t>
  </si>
  <si>
    <t>C01AA05</t>
  </si>
  <si>
    <t>digoksin</t>
  </si>
  <si>
    <t xml:space="preserve">DILACOR </t>
  </si>
  <si>
    <t>blister, 20 po 0,25 mg</t>
  </si>
  <si>
    <t>0,25 mg</t>
  </si>
  <si>
    <t>C01BC03</t>
  </si>
  <si>
    <t>propafenon</t>
  </si>
  <si>
    <t xml:space="preserve">PROPAFEN </t>
  </si>
  <si>
    <t>blister, 50 po 150 mg</t>
  </si>
  <si>
    <t>0,3 g</t>
  </si>
  <si>
    <t>blister, 50 po 300 mg</t>
  </si>
  <si>
    <t>C01BD01</t>
  </si>
  <si>
    <t>amjodaron</t>
  </si>
  <si>
    <t>blister, 60 po 200 mg</t>
  </si>
  <si>
    <t xml:space="preserve"> blister, 50 po 200 mg</t>
  </si>
  <si>
    <t>blister, 30 po 200 mg</t>
  </si>
  <si>
    <t>Sanofi Winthrop Industrie</t>
  </si>
  <si>
    <t>C01DA08</t>
  </si>
  <si>
    <t>izosorbid dinitrat</t>
  </si>
  <si>
    <t>60 mg</t>
  </si>
  <si>
    <t>ISOSORB RETARD</t>
  </si>
  <si>
    <t>kapsula sa produženim oslobađanjem, tvrda</t>
  </si>
  <si>
    <t>blister,  60 po 20 mg</t>
  </si>
  <si>
    <t xml:space="preserve">CORNILAT  </t>
  </si>
  <si>
    <t>blister, 20 po 20 mg</t>
  </si>
  <si>
    <t>C01DA14</t>
  </si>
  <si>
    <t xml:space="preserve">izosorbid mononitrat </t>
  </si>
  <si>
    <t>MONIZOL</t>
  </si>
  <si>
    <t xml:space="preserve"> blister, 30 po 20 mg</t>
  </si>
  <si>
    <t>blister, 30 po 40 mg</t>
  </si>
  <si>
    <t>MONOSAN</t>
  </si>
  <si>
    <t>blister, 30 po 20 mg</t>
  </si>
  <si>
    <t>C01DX12</t>
  </si>
  <si>
    <t>molsidomin</t>
  </si>
  <si>
    <t>Union-Medic d.o.o. Novi Sad</t>
  </si>
  <si>
    <t>C02AB02</t>
  </si>
  <si>
    <t>metildopa (racemat)</t>
  </si>
  <si>
    <t xml:space="preserve">METHYLDOPA </t>
  </si>
  <si>
    <t xml:space="preserve"> 20 po 250 mg</t>
  </si>
  <si>
    <t>3g</t>
  </si>
  <si>
    <t>C03AA03</t>
  </si>
  <si>
    <t>hidrohlortiazid</t>
  </si>
  <si>
    <t>DIUNORM</t>
  </si>
  <si>
    <t>blister, 20 po 25 mg</t>
  </si>
  <si>
    <t>25 mg</t>
  </si>
  <si>
    <t>1400142</t>
  </si>
  <si>
    <t>C03CA01</t>
  </si>
  <si>
    <t>furosemid</t>
  </si>
  <si>
    <t>LASIX</t>
  </si>
  <si>
    <t>blister, 12 po 40 mg</t>
  </si>
  <si>
    <t>C03CA02</t>
  </si>
  <si>
    <t>bumetanid</t>
  </si>
  <si>
    <t xml:space="preserve">YURINEX </t>
  </si>
  <si>
    <t>blister, 20 po 1 mg</t>
  </si>
  <si>
    <t>1 mg</t>
  </si>
  <si>
    <t>C03DA01</t>
  </si>
  <si>
    <t>spironolakton</t>
  </si>
  <si>
    <t xml:space="preserve">SPIRONOLAKTON </t>
  </si>
  <si>
    <t>blister, 40 po 25 mg</t>
  </si>
  <si>
    <t>75 mg</t>
  </si>
  <si>
    <t>blister, 30 po 100 mg</t>
  </si>
  <si>
    <t>1 tableta</t>
  </si>
  <si>
    <t>C03EA01</t>
  </si>
  <si>
    <t>hidrohlortiazid, amilorid</t>
  </si>
  <si>
    <t>HEMOPRES</t>
  </si>
  <si>
    <t>blister, 40 po (50 mg + 5 mg)</t>
  </si>
  <si>
    <t>C07AA05</t>
  </si>
  <si>
    <t>propranolol</t>
  </si>
  <si>
    <t xml:space="preserve">PROPRANOLOL </t>
  </si>
  <si>
    <t>C07AB02</t>
  </si>
  <si>
    <t>metoprolol</t>
  </si>
  <si>
    <t xml:space="preserve">PRESOLOL </t>
  </si>
  <si>
    <t>0,15 g</t>
  </si>
  <si>
    <t>blister, 28 po 50 mg</t>
  </si>
  <si>
    <t>blister, 56 po 50 mg</t>
  </si>
  <si>
    <t>blister, 30 po 50 mg</t>
  </si>
  <si>
    <t>C07AB03</t>
  </si>
  <si>
    <t>atenolol</t>
  </si>
  <si>
    <t>PRINORM</t>
  </si>
  <si>
    <t xml:space="preserve">Galenika a.d. </t>
  </si>
  <si>
    <t>blister, 20 po 50 mg</t>
  </si>
  <si>
    <t>1107042</t>
  </si>
  <si>
    <t>C07AB07</t>
  </si>
  <si>
    <t>bisoprolol</t>
  </si>
  <si>
    <t>BISOPROLOL PHARMAS</t>
  </si>
  <si>
    <t>blister, 30 po 2,5 mg</t>
  </si>
  <si>
    <t>1107020</t>
  </si>
  <si>
    <t>1107021</t>
  </si>
  <si>
    <t>1107023</t>
  </si>
  <si>
    <t>TENSEC</t>
  </si>
  <si>
    <t>1107022</t>
  </si>
  <si>
    <t>BYOL</t>
  </si>
  <si>
    <t>1107035</t>
  </si>
  <si>
    <t>BIPREZ</t>
  </si>
  <si>
    <t>1107036</t>
  </si>
  <si>
    <t>1107037</t>
  </si>
  <si>
    <t>1107625</t>
  </si>
  <si>
    <t>C07AG02</t>
  </si>
  <si>
    <t>karvedilol</t>
  </si>
  <si>
    <t>KARVILEKS</t>
  </si>
  <si>
    <t>blister, 30 po 12,5 mg</t>
  </si>
  <si>
    <t>37,5 mg</t>
  </si>
  <si>
    <t>MILENOL</t>
  </si>
  <si>
    <t>blister, 28 po 6,25 mg</t>
  </si>
  <si>
    <t>F. Hoffmann-La Roche Ltd.</t>
  </si>
  <si>
    <t>Švajcarska</t>
  </si>
  <si>
    <t>blister, 28 po 25 mg</t>
  </si>
  <si>
    <t>1107673</t>
  </si>
  <si>
    <t>CORYOL</t>
  </si>
  <si>
    <t>1107676</t>
  </si>
  <si>
    <t>1107833</t>
  </si>
  <si>
    <t>KARVOL</t>
  </si>
  <si>
    <t>1107834</t>
  </si>
  <si>
    <t>blister, 30 po 25 mg</t>
  </si>
  <si>
    <t>1107024</t>
  </si>
  <si>
    <t>C07BB07</t>
  </si>
  <si>
    <t>bisoprolol, hidrohlortiazid</t>
  </si>
  <si>
    <t>TENSEC plus</t>
  </si>
  <si>
    <t>blister, 30 po (5 mg +12,5 mg)</t>
  </si>
  <si>
    <t>C08CA01</t>
  </si>
  <si>
    <t>amlodipin</t>
  </si>
  <si>
    <t>AMLODIPIN</t>
  </si>
  <si>
    <t>5 mg</t>
  </si>
  <si>
    <t>blister, 20 po 10 mg</t>
  </si>
  <si>
    <t>AMLOGAL</t>
  </si>
  <si>
    <t xml:space="preserve">amlodipin </t>
  </si>
  <si>
    <t>1402850</t>
  </si>
  <si>
    <t>1402851</t>
  </si>
  <si>
    <t>tablete</t>
  </si>
  <si>
    <t>1402956</t>
  </si>
  <si>
    <t>AMLODIPIN ALKALOID</t>
  </si>
  <si>
    <t>1402833</t>
  </si>
  <si>
    <t>1402852</t>
  </si>
  <si>
    <t>TENOX</t>
  </si>
  <si>
    <t>1402853</t>
  </si>
  <si>
    <t>1402481</t>
  </si>
  <si>
    <t>C08CA05</t>
  </si>
  <si>
    <t>nifedipin</t>
  </si>
  <si>
    <t xml:space="preserve">NIFELAT  </t>
  </si>
  <si>
    <t>tableta sa produženim oslobađanjem</t>
  </si>
  <si>
    <t>1402703</t>
  </si>
  <si>
    <t>C08DA01</t>
  </si>
  <si>
    <t>verapamil</t>
  </si>
  <si>
    <t>0,24 g</t>
  </si>
  <si>
    <t>1402704</t>
  </si>
  <si>
    <t>blister, 50 po 80 mg</t>
  </si>
  <si>
    <t>1402120</t>
  </si>
  <si>
    <t>VERAPAMIL ALKALOID</t>
  </si>
  <si>
    <t>obložena tableta</t>
  </si>
  <si>
    <t>1402121</t>
  </si>
  <si>
    <t>1402250</t>
  </si>
  <si>
    <t>C08DB01</t>
  </si>
  <si>
    <t>diltiazem</t>
  </si>
  <si>
    <t>CORTIAZEM RETARD</t>
  </si>
  <si>
    <t xml:space="preserve">film tableta sa modifikovanim oslobađanjem </t>
  </si>
  <si>
    <t>blister, 30 po 90 mg</t>
  </si>
  <si>
    <t>C09AA01</t>
  </si>
  <si>
    <t>kaptopril</t>
  </si>
  <si>
    <t>ZORKAPTIL</t>
  </si>
  <si>
    <t>50 mg</t>
  </si>
  <si>
    <t>1103630</t>
  </si>
  <si>
    <t>1103631</t>
  </si>
  <si>
    <t xml:space="preserve"> bočica plastična, 40 po 50 mg</t>
  </si>
  <si>
    <t>1103220</t>
  </si>
  <si>
    <t>KATOPIL</t>
  </si>
  <si>
    <t>1103222</t>
  </si>
  <si>
    <t>C09AA02</t>
  </si>
  <si>
    <t>enalapril</t>
  </si>
  <si>
    <t>PRILENAP</t>
  </si>
  <si>
    <t>1103178</t>
  </si>
  <si>
    <t>ENALAPRIL ZDRAVLJE ACTAVIS</t>
  </si>
  <si>
    <t>1103176</t>
  </si>
  <si>
    <t>1103886</t>
  </si>
  <si>
    <t>1103885</t>
  </si>
  <si>
    <t>C09AA03</t>
  </si>
  <si>
    <t>lizinopril</t>
  </si>
  <si>
    <t>1103565</t>
  </si>
  <si>
    <t>SKOPRYL</t>
  </si>
  <si>
    <t>1103566</t>
  </si>
  <si>
    <t>1103567</t>
  </si>
  <si>
    <t>1103568</t>
  </si>
  <si>
    <t>C09AA05</t>
  </si>
  <si>
    <t>ramipril</t>
  </si>
  <si>
    <t>blister, 28 po 2,5 mg</t>
  </si>
  <si>
    <t>2,5 mg</t>
  </si>
  <si>
    <t>blister, 28 po 5 mg</t>
  </si>
  <si>
    <t>RAMITENS</t>
  </si>
  <si>
    <t>1103018</t>
  </si>
  <si>
    <t>1103722</t>
  </si>
  <si>
    <t>TRITACE</t>
  </si>
  <si>
    <t>1103723</t>
  </si>
  <si>
    <t>1103724</t>
  </si>
  <si>
    <t>1103012</t>
  </si>
  <si>
    <t>VIVACE</t>
  </si>
  <si>
    <t>blister, 28 po 1,25 mg</t>
  </si>
  <si>
    <t>1103013</t>
  </si>
  <si>
    <t>1103083</t>
  </si>
  <si>
    <t>1103082</t>
  </si>
  <si>
    <t>blister, 28 po 10 mg</t>
  </si>
  <si>
    <t>AMPRIL</t>
  </si>
  <si>
    <t>C09BA02</t>
  </si>
  <si>
    <t>enalapril, hidrohlortiazid</t>
  </si>
  <si>
    <t>blister, 20 po (20 mg + 12,5 mg)</t>
  </si>
  <si>
    <t>blister, 30 po (20 mg + 12,5 mg)</t>
  </si>
  <si>
    <t>1401082</t>
  </si>
  <si>
    <t>1401083</t>
  </si>
  <si>
    <t>blister, 30 po (20 mg + 6 mg)</t>
  </si>
  <si>
    <t>1401171</t>
  </si>
  <si>
    <t>C09BA03</t>
  </si>
  <si>
    <t>lizinopril, hidrohlortiazid</t>
  </si>
  <si>
    <t>LIZOPRIL H</t>
  </si>
  <si>
    <t>blister, 20 po (10 mg + 12,5 mg)</t>
  </si>
  <si>
    <t>1401172</t>
  </si>
  <si>
    <t>1401182</t>
  </si>
  <si>
    <t>SKOPRYL PLUS</t>
  </si>
  <si>
    <t>1401922</t>
  </si>
  <si>
    <t>IRUZID</t>
  </si>
  <si>
    <t>blister, 30 po (10 mg + 12,5 mg)</t>
  </si>
  <si>
    <t>1401923</t>
  </si>
  <si>
    <t>blister, 30 po (20 mg + 25 mg)</t>
  </si>
  <si>
    <t>1401131</t>
  </si>
  <si>
    <t>C09BA05</t>
  </si>
  <si>
    <t>ramipril, hidrohlortiazid</t>
  </si>
  <si>
    <t>AMPRIL HD</t>
  </si>
  <si>
    <t>28 po (5 mg + 25 mg)</t>
  </si>
  <si>
    <t>1401013</t>
  </si>
  <si>
    <t xml:space="preserve">TRITACE COMP </t>
  </si>
  <si>
    <t>1401012</t>
  </si>
  <si>
    <t>TRITACE COMP LS</t>
  </si>
  <si>
    <t>blister, 28 po (2,5 mg + 12,5 mg)</t>
  </si>
  <si>
    <t>1401908</t>
  </si>
  <si>
    <t>VIVACE PLUS L</t>
  </si>
  <si>
    <t>1401909</t>
  </si>
  <si>
    <t>VIVACE PLUS</t>
  </si>
  <si>
    <t>blister, 28 po (5 mg + 25 mg)</t>
  </si>
  <si>
    <t>C10AA01</t>
  </si>
  <si>
    <t>simvastatin</t>
  </si>
  <si>
    <t>CHOLIPAM</t>
  </si>
  <si>
    <t>20 po 20 mg</t>
  </si>
  <si>
    <t>Holandija</t>
  </si>
  <si>
    <t>1104490</t>
  </si>
  <si>
    <t>VASILIP</t>
  </si>
  <si>
    <t>1104491</t>
  </si>
  <si>
    <t>1104492</t>
  </si>
  <si>
    <t>1104610</t>
  </si>
  <si>
    <t>HOLLESTA</t>
  </si>
  <si>
    <t>1104611</t>
  </si>
  <si>
    <t>1104612</t>
  </si>
  <si>
    <t>1104482</t>
  </si>
  <si>
    <t>C10AA03</t>
  </si>
  <si>
    <t>pravastatin</t>
  </si>
  <si>
    <t>PRAVACOR</t>
  </si>
  <si>
    <t>1104483</t>
  </si>
  <si>
    <t>Lek farmacevtska družba d.d.</t>
  </si>
  <si>
    <t>Bugarska</t>
  </si>
  <si>
    <t>C10AA05</t>
  </si>
  <si>
    <t>atorvastatin</t>
  </si>
  <si>
    <t>Pfizer Manufacturing Deutschland GmbH</t>
  </si>
  <si>
    <t>1104125</t>
  </si>
  <si>
    <t>ATACOR</t>
  </si>
  <si>
    <t>1104126</t>
  </si>
  <si>
    <t>1104127</t>
  </si>
  <si>
    <t>1104520</t>
  </si>
  <si>
    <t>ATORIS</t>
  </si>
  <si>
    <t>1104522</t>
  </si>
  <si>
    <t>1104524</t>
  </si>
  <si>
    <t>1104759</t>
  </si>
  <si>
    <t>DISLIPAT</t>
  </si>
  <si>
    <t>Medico Uno d.o.o.</t>
  </si>
  <si>
    <t>1104760</t>
  </si>
  <si>
    <t>1104551</t>
  </si>
  <si>
    <t>ATOLIP</t>
  </si>
  <si>
    <t>1104552</t>
  </si>
  <si>
    <t>1104727</t>
  </si>
  <si>
    <t>C10AA07</t>
  </si>
  <si>
    <t>rosuvastatin</t>
  </si>
  <si>
    <t>ROXERA</t>
  </si>
  <si>
    <t>1104725</t>
  </si>
  <si>
    <t>1104728</t>
  </si>
  <si>
    <t>1104726</t>
  </si>
  <si>
    <t>1104771</t>
  </si>
  <si>
    <t>ROSUHOL</t>
  </si>
  <si>
    <t>1104772</t>
  </si>
  <si>
    <t>1104470</t>
  </si>
  <si>
    <t>C10AB08</t>
  </si>
  <si>
    <t>ciprofibrat</t>
  </si>
  <si>
    <t xml:space="preserve">LIPANOR </t>
  </si>
  <si>
    <t>0,1 g</t>
  </si>
  <si>
    <t>D01AC02</t>
  </si>
  <si>
    <t>krem</t>
  </si>
  <si>
    <t>4150023</t>
  </si>
  <si>
    <t>D06AX01</t>
  </si>
  <si>
    <t>fusidinska kiselina</t>
  </si>
  <si>
    <t>STANICID</t>
  </si>
  <si>
    <t>mast</t>
  </si>
  <si>
    <t>tuba, 1 po 10 g  (2%)</t>
  </si>
  <si>
    <t>4151050</t>
  </si>
  <si>
    <t>D06BA01</t>
  </si>
  <si>
    <t xml:space="preserve">SANADERM </t>
  </si>
  <si>
    <t>4152075</t>
  </si>
  <si>
    <t>D07AA02</t>
  </si>
  <si>
    <t>HYDROCORTISON</t>
  </si>
  <si>
    <t>4152192</t>
  </si>
  <si>
    <t>D07AC04</t>
  </si>
  <si>
    <t>fluocinolonacetonid</t>
  </si>
  <si>
    <t xml:space="preserve">SINODERM </t>
  </si>
  <si>
    <t>gel</t>
  </si>
  <si>
    <t>tuba, 1 po 30 g (0,25 mg/g)</t>
  </si>
  <si>
    <t>D07CC02</t>
  </si>
  <si>
    <t>fluocinolonacetonid, neomicin</t>
  </si>
  <si>
    <t xml:space="preserve">SINODERM N </t>
  </si>
  <si>
    <t>tuba,1 po 15 g (0,25 mg/g + 3,3 mg/g)</t>
  </si>
  <si>
    <t>4153221</t>
  </si>
  <si>
    <t>4159350</t>
  </si>
  <si>
    <t>D11AH02</t>
  </si>
  <si>
    <t>pimekrolimus</t>
  </si>
  <si>
    <t>ELIDEL</t>
  </si>
  <si>
    <t>tuba,1 po 15 g (1%)</t>
  </si>
  <si>
    <t>6137082</t>
  </si>
  <si>
    <t>G01AF01</t>
  </si>
  <si>
    <t>metronidazol</t>
  </si>
  <si>
    <t>ORVAGIL</t>
  </si>
  <si>
    <t>vagitorija</t>
  </si>
  <si>
    <t>0,5 g</t>
  </si>
  <si>
    <t>6137225</t>
  </si>
  <si>
    <t>G01AF04</t>
  </si>
  <si>
    <t>2141136</t>
  </si>
  <si>
    <t>G02AB01</t>
  </si>
  <si>
    <t>metilergometrin</t>
  </si>
  <si>
    <t xml:space="preserve">METHYLERGOMETRIN </t>
  </si>
  <si>
    <t>oralne kapi, rastvor</t>
  </si>
  <si>
    <t xml:space="preserve"> bočica sa kapaljkom, 1 po 10 ml (0,25 mg/1 ml)</t>
  </si>
  <si>
    <t>0,2 mg</t>
  </si>
  <si>
    <t>0,75 tabl.</t>
  </si>
  <si>
    <t>kapsula, meka</t>
  </si>
  <si>
    <t>1048463</t>
  </si>
  <si>
    <t>G03DA04</t>
  </si>
  <si>
    <t>progesteron</t>
  </si>
  <si>
    <t>UTROGESTAN</t>
  </si>
  <si>
    <t>300 mg</t>
  </si>
  <si>
    <t>1048462</t>
  </si>
  <si>
    <t>blister, 14 po 200 mg</t>
  </si>
  <si>
    <t>1048781</t>
  </si>
  <si>
    <t>G03FB01</t>
  </si>
  <si>
    <t>CYCLO-PROGYNOVA</t>
  </si>
  <si>
    <t>1048331</t>
  </si>
  <si>
    <t>G03HA01</t>
  </si>
  <si>
    <t>ciproteron</t>
  </si>
  <si>
    <t xml:space="preserve">ANDROCUR </t>
  </si>
  <si>
    <t>Francuska;
Nemačka</t>
  </si>
  <si>
    <t>H01AC01</t>
  </si>
  <si>
    <t>somatropin</t>
  </si>
  <si>
    <t>2 i.j.</t>
  </si>
  <si>
    <t>prašak i rastvarač za rastvor za injekciju</t>
  </si>
  <si>
    <t>Pfizer Manufacturing Belgium NV</t>
  </si>
  <si>
    <t>Belgija</t>
  </si>
  <si>
    <t>0044239</t>
  </si>
  <si>
    <t>GENOTROPIN</t>
  </si>
  <si>
    <t>pen sa uloškom, 1 po 1 ml (5,3 mg/ml)</t>
  </si>
  <si>
    <t>0044236</t>
  </si>
  <si>
    <t>pen sa uloškom, 1 po 1 ml (12 mg/ml)</t>
  </si>
  <si>
    <t>7045080</t>
  </si>
  <si>
    <t>H01BA02</t>
  </si>
  <si>
    <t>dezmopresin</t>
  </si>
  <si>
    <t>MINIRIN</t>
  </si>
  <si>
    <t>sprej za nos, rastvor</t>
  </si>
  <si>
    <t>bočica sa sprej pumpom, 1 po 5 ml (100 mcg/ml)</t>
  </si>
  <si>
    <t>Ferring AB; Ferring International Center SA</t>
  </si>
  <si>
    <t>Švedska; Švajcarska</t>
  </si>
  <si>
    <t>25 mcg</t>
  </si>
  <si>
    <t>1045081</t>
  </si>
  <si>
    <t>bočica plastična, 30 po 0,2 mg</t>
  </si>
  <si>
    <t>1047143</t>
  </si>
  <si>
    <t>H02AB02</t>
  </si>
  <si>
    <t>deksametazon</t>
  </si>
  <si>
    <t>DEXASON</t>
  </si>
  <si>
    <t>blister, 50 po 0,5 mg</t>
  </si>
  <si>
    <t>1,5 mg</t>
  </si>
  <si>
    <t>1047632</t>
  </si>
  <si>
    <t>H02AB07</t>
  </si>
  <si>
    <t>prednizon</t>
  </si>
  <si>
    <t xml:space="preserve">PRONISON </t>
  </si>
  <si>
    <t>1047511</t>
  </si>
  <si>
    <t>PREDNIZON</t>
  </si>
  <si>
    <t>blister, 10 po 5 mg</t>
  </si>
  <si>
    <t>H03AA01</t>
  </si>
  <si>
    <t>levotiroksin natrijum</t>
  </si>
  <si>
    <t>blister, 50 po 100 mcg</t>
  </si>
  <si>
    <t>150 mcg</t>
  </si>
  <si>
    <t>H03BA02</t>
  </si>
  <si>
    <t>propiltiouracil</t>
  </si>
  <si>
    <t>PTU</t>
  </si>
  <si>
    <t>20 po 50 mg</t>
  </si>
  <si>
    <t>1040192</t>
  </si>
  <si>
    <t>45 po 100 mg</t>
  </si>
  <si>
    <t>1040120</t>
  </si>
  <si>
    <t>H03BB02</t>
  </si>
  <si>
    <t>tiamazol</t>
  </si>
  <si>
    <t>TIASTAT</t>
  </si>
  <si>
    <t>H04AA01</t>
  </si>
  <si>
    <t>glukagon</t>
  </si>
  <si>
    <t xml:space="preserve">GLUCAGEN  HYPOKIT </t>
  </si>
  <si>
    <t>1022510</t>
  </si>
  <si>
    <t>J01AA02</t>
  </si>
  <si>
    <t>doksiciklin</t>
  </si>
  <si>
    <t>DOVICIN</t>
  </si>
  <si>
    <t xml:space="preserve"> 5 po 100 mg</t>
  </si>
  <si>
    <t>1022515</t>
  </si>
  <si>
    <t>blister,  5 po 100 mg</t>
  </si>
  <si>
    <t>1021145</t>
  </si>
  <si>
    <t>J01CA04</t>
  </si>
  <si>
    <t>amoksicilin</t>
  </si>
  <si>
    <t xml:space="preserve">SINACILIN </t>
  </si>
  <si>
    <t>blister, 16 po 250 mg</t>
  </si>
  <si>
    <t>1 g</t>
  </si>
  <si>
    <t>1021148</t>
  </si>
  <si>
    <t>blister, 16 po 500 mg</t>
  </si>
  <si>
    <t>3021146</t>
  </si>
  <si>
    <t>prašak za oralnu suspenziju</t>
  </si>
  <si>
    <t>1021965</t>
  </si>
  <si>
    <t>1021007</t>
  </si>
  <si>
    <t>OSPAMOX DT</t>
  </si>
  <si>
    <t>tableta za oralnu suspenziju</t>
  </si>
  <si>
    <t>14 po 1000 mg</t>
  </si>
  <si>
    <t>Sandoz GmbH</t>
  </si>
  <si>
    <t>Austrija</t>
  </si>
  <si>
    <t>3021001</t>
  </si>
  <si>
    <t xml:space="preserve">OSPAMOX </t>
  </si>
  <si>
    <t>1 po 60 ml (500 mg/5 ml)</t>
  </si>
  <si>
    <t>3021602</t>
  </si>
  <si>
    <t>J01CR02</t>
  </si>
  <si>
    <t>amoksicilin, klavulanska kiselina</t>
  </si>
  <si>
    <t>PANKLAV</t>
  </si>
  <si>
    <t>bočica staklena, 1 po 100 ml (125 mg/5 ml + 31,25 mg/5 ml)</t>
  </si>
  <si>
    <t>1,2g</t>
  </si>
  <si>
    <t>3021606</t>
  </si>
  <si>
    <t>PANKLAV FORTE</t>
  </si>
  <si>
    <t>3021608</t>
  </si>
  <si>
    <t>PANKLAV 2X</t>
  </si>
  <si>
    <t>bočica staklena, 1 po 70 ml (400 mg/5 ml + 57 mg/5 ml)</t>
  </si>
  <si>
    <t>3021609</t>
  </si>
  <si>
    <t>bočica staklena, 1 po 140 ml (400 mg/5 ml + 57 mg/5 ml)</t>
  </si>
  <si>
    <t>3021568</t>
  </si>
  <si>
    <t>AMOKSIKLAV 2X</t>
  </si>
  <si>
    <t>bočica staklena, 1 po 70 ml (400 mg+57 mg)/5 ml</t>
  </si>
  <si>
    <t>J01DB01</t>
  </si>
  <si>
    <t>cefaleksin</t>
  </si>
  <si>
    <t>PALITREX</t>
  </si>
  <si>
    <t>bočica, 1 po 100 ml (250 mg/5 ml)</t>
  </si>
  <si>
    <t>1321872</t>
  </si>
  <si>
    <t>granule za oralnu suspenziju</t>
  </si>
  <si>
    <t>1321711</t>
  </si>
  <si>
    <t>3321951</t>
  </si>
  <si>
    <t>J01DC10</t>
  </si>
  <si>
    <t>CEFZIL</t>
  </si>
  <si>
    <t>bočica, 1 po 60 ml (250 mg/5 ml)</t>
  </si>
  <si>
    <t>3321621</t>
  </si>
  <si>
    <t>J01DD08</t>
  </si>
  <si>
    <t>cefiksim</t>
  </si>
  <si>
    <t>PANCEF</t>
  </si>
  <si>
    <t>bočica, 1 po 100 ml (100 mg/5 ml)</t>
  </si>
  <si>
    <t xml:space="preserve">Alkaloid a.d. </t>
  </si>
  <si>
    <t>0,4 g</t>
  </si>
  <si>
    <t>3321623</t>
  </si>
  <si>
    <t>3321525</t>
  </si>
  <si>
    <t>J01DD13</t>
  </si>
  <si>
    <t>cefpodoksim</t>
  </si>
  <si>
    <t>TRIDOX</t>
  </si>
  <si>
    <t>bočica 1 po 64,8 g (40 mg/5 ml)</t>
  </si>
  <si>
    <t>J01EE01</t>
  </si>
  <si>
    <t>sulfametoksazol, trimetoprim</t>
  </si>
  <si>
    <t xml:space="preserve">BACTRIM </t>
  </si>
  <si>
    <t>1,92 g</t>
  </si>
  <si>
    <t>1026211</t>
  </si>
  <si>
    <t>blister, 20 po (400 mg + 80 mg)</t>
  </si>
  <si>
    <t>1325152</t>
  </si>
  <si>
    <t>J01FA01</t>
  </si>
  <si>
    <t>eritromicin</t>
  </si>
  <si>
    <t>blister, 20 po 250 mg</t>
  </si>
  <si>
    <t>1325153</t>
  </si>
  <si>
    <t>20 po 500 mg</t>
  </si>
  <si>
    <t>Krka Tovarna Zdravil d.d.</t>
  </si>
  <si>
    <t>3325483</t>
  </si>
  <si>
    <t>J01FA10</t>
  </si>
  <si>
    <t>azitromicin</t>
  </si>
  <si>
    <t>HEMOMYCIN</t>
  </si>
  <si>
    <t>bočica staklena, 1 po 20 ml (100 mg/5 ml)</t>
  </si>
  <si>
    <t>3325482</t>
  </si>
  <si>
    <t>bočica staklena, 1 po 30 ml (200 mg/5 ml)</t>
  </si>
  <si>
    <t>Pliva Hrvatska d.o.o.</t>
  </si>
  <si>
    <t>J01MA02</t>
  </si>
  <si>
    <t>ciprofloksacin</t>
  </si>
  <si>
    <t>CIPROCINAL</t>
  </si>
  <si>
    <t>1329192</t>
  </si>
  <si>
    <t>blister, 10 po 500 mg</t>
  </si>
  <si>
    <t xml:space="preserve">MAROCEN  </t>
  </si>
  <si>
    <t>blister, 10 po 250 mg</t>
  </si>
  <si>
    <t>1329411</t>
  </si>
  <si>
    <t>1329400</t>
  </si>
  <si>
    <t>CITERAL</t>
  </si>
  <si>
    <t>1329401</t>
  </si>
  <si>
    <t>1329511</t>
  </si>
  <si>
    <t>1329510</t>
  </si>
  <si>
    <t>1132350</t>
  </si>
  <si>
    <t>J01MA06</t>
  </si>
  <si>
    <t>norfloksacin</t>
  </si>
  <si>
    <t>URICIN</t>
  </si>
  <si>
    <t>0,8 g</t>
  </si>
  <si>
    <t>1025859</t>
  </si>
  <si>
    <t>J04AB02</t>
  </si>
  <si>
    <t>rifampicin</t>
  </si>
  <si>
    <t>RIFAMOR</t>
  </si>
  <si>
    <t>blister, 16 po 300 mg</t>
  </si>
  <si>
    <t>0,6 g</t>
  </si>
  <si>
    <t>1328230</t>
  </si>
  <si>
    <t>J05AB01</t>
  </si>
  <si>
    <t>aciklovir</t>
  </si>
  <si>
    <t>blister, 25 po 200 mg</t>
  </si>
  <si>
    <t>1,8 g</t>
  </si>
  <si>
    <t>1,2 g</t>
  </si>
  <si>
    <t>Velika Britanija; Španija</t>
  </si>
  <si>
    <t>Janssen-Cilag S.P.A.</t>
  </si>
  <si>
    <t>1328376</t>
  </si>
  <si>
    <t>J05AF05</t>
  </si>
  <si>
    <t>lamivudin</t>
  </si>
  <si>
    <t xml:space="preserve">ZEFFIX </t>
  </si>
  <si>
    <t xml:space="preserve"> 28 po 100 mg</t>
  </si>
  <si>
    <t>Poljska; Velika Britanija</t>
  </si>
  <si>
    <t>1328375</t>
  </si>
  <si>
    <t xml:space="preserve">EPIVIR </t>
  </si>
  <si>
    <t>bočica plastična, 60 po 150 mg</t>
  </si>
  <si>
    <t>Velika Britanija</t>
  </si>
  <si>
    <t>1328500</t>
  </si>
  <si>
    <t>J05AF07</t>
  </si>
  <si>
    <t>tenofovir</t>
  </si>
  <si>
    <t>VIREAD</t>
  </si>
  <si>
    <t>boca, 30 po 245 mg</t>
  </si>
  <si>
    <t>Gilead Sciences Ltd.</t>
  </si>
  <si>
    <t>Irska</t>
  </si>
  <si>
    <t>0,245 g</t>
  </si>
  <si>
    <t>Boehringer Ingelheim Pharma GmbH</t>
  </si>
  <si>
    <t>Poljska</t>
  </si>
  <si>
    <t>1328601</t>
  </si>
  <si>
    <t>J05AR02</t>
  </si>
  <si>
    <t>abakavir, lamivudin</t>
  </si>
  <si>
    <t>KIVEXA</t>
  </si>
  <si>
    <t>blister, 30 po (600 mg + 300 mg)</t>
  </si>
  <si>
    <t>1328660</t>
  </si>
  <si>
    <t>J05AX08</t>
  </si>
  <si>
    <t>raltegravir</t>
  </si>
  <si>
    <t>ISENTRESS</t>
  </si>
  <si>
    <t>bočica, 60 po 400 mg</t>
  </si>
  <si>
    <t>Merck Sharp &amp; Dohme B.V.</t>
  </si>
  <si>
    <t>1328657</t>
  </si>
  <si>
    <t>J05AX09</t>
  </si>
  <si>
    <t>maravirok</t>
  </si>
  <si>
    <t>CELSENTRI</t>
  </si>
  <si>
    <t>blister, 60 po 150 mg</t>
  </si>
  <si>
    <t>L01CB01</t>
  </si>
  <si>
    <t>etopozid</t>
  </si>
  <si>
    <t>Nippon Kayaku Co. Ltd.</t>
  </si>
  <si>
    <t>Japan</t>
  </si>
  <si>
    <t>LASTET CAP.50</t>
  </si>
  <si>
    <t>blister, 10 po 100 mg</t>
  </si>
  <si>
    <t>L01XX05</t>
  </si>
  <si>
    <t>hidroksikarbamid</t>
  </si>
  <si>
    <t>LITALIR ◊</t>
  </si>
  <si>
    <t>Corden Pharma Latina S.P.A</t>
  </si>
  <si>
    <t>Pfizer Italia S.R.L.</t>
  </si>
  <si>
    <t>L02AB01</t>
  </si>
  <si>
    <t>megestrol</t>
  </si>
  <si>
    <t>MEGACE</t>
  </si>
  <si>
    <t>boca plastična, 1 po 240 ml (40 mg/ml)</t>
  </si>
  <si>
    <t>160 mg</t>
  </si>
  <si>
    <t>1048913</t>
  </si>
  <si>
    <t>bočica, 30 po 160 mg</t>
  </si>
  <si>
    <t>MEGOXI</t>
  </si>
  <si>
    <t>L02BA01</t>
  </si>
  <si>
    <t>tamoksifen</t>
  </si>
  <si>
    <t>1037076</t>
  </si>
  <si>
    <t>L02BB03</t>
  </si>
  <si>
    <t>bikalutamid</t>
  </si>
  <si>
    <t>BICADEX</t>
  </si>
  <si>
    <t>L02BG03</t>
  </si>
  <si>
    <t>anastrozol</t>
  </si>
  <si>
    <t>1039326</t>
  </si>
  <si>
    <t>TRASOLETTE</t>
  </si>
  <si>
    <t>blister, 28 po 1 mg</t>
  </si>
  <si>
    <t>1039720</t>
  </si>
  <si>
    <t>AREMED</t>
  </si>
  <si>
    <t>1039331</t>
  </si>
  <si>
    <t>L02BG04</t>
  </si>
  <si>
    <t>letrozol</t>
  </si>
  <si>
    <t>FEMOZOL</t>
  </si>
  <si>
    <t>L02BG06</t>
  </si>
  <si>
    <t>eksemestan</t>
  </si>
  <si>
    <t>AROMASIN</t>
  </si>
  <si>
    <t>L04AA06</t>
  </si>
  <si>
    <t>mikofenolna kiselina</t>
  </si>
  <si>
    <t>CELLCEPT</t>
  </si>
  <si>
    <t>blister, 300 po 250 mg</t>
  </si>
  <si>
    <t>blister, 150 po 500 mg</t>
  </si>
  <si>
    <t>mikofenolat natrijum</t>
  </si>
  <si>
    <t>MYFORTIC</t>
  </si>
  <si>
    <t>blister, 120 po 180 mg</t>
  </si>
  <si>
    <t>Novartis Pharma Stein AG</t>
  </si>
  <si>
    <t>blister, 120 po 360 mg</t>
  </si>
  <si>
    <t>sirolimus</t>
  </si>
  <si>
    <t>RAPAMUNE</t>
  </si>
  <si>
    <t>3 mg</t>
  </si>
  <si>
    <t>1014051</t>
  </si>
  <si>
    <t>L04AA18</t>
  </si>
  <si>
    <t>everolimus</t>
  </si>
  <si>
    <t>CERTICAN</t>
  </si>
  <si>
    <t>blister, 60 po 0,25 mg</t>
  </si>
  <si>
    <t>1014052</t>
  </si>
  <si>
    <t>blister, 60 po 0,5 mg</t>
  </si>
  <si>
    <t>L04AD01</t>
  </si>
  <si>
    <t>SANDIMMUN NEORAL</t>
  </si>
  <si>
    <t>blister, 50 po 25 mg</t>
  </si>
  <si>
    <t>0,25 g</t>
  </si>
  <si>
    <t>blister, 50 po 50 mg</t>
  </si>
  <si>
    <t>blister, 50 po 100 mg</t>
  </si>
  <si>
    <t xml:space="preserve">Novartis Pharma GMBH </t>
  </si>
  <si>
    <t>L04AD02</t>
  </si>
  <si>
    <t>takrolimus</t>
  </si>
  <si>
    <t>PROGRAF</t>
  </si>
  <si>
    <t>60 po 1 mg</t>
  </si>
  <si>
    <t>Astellas</t>
  </si>
  <si>
    <t>Irska </t>
  </si>
  <si>
    <t>30 po 5 mg</t>
  </si>
  <si>
    <t>30 po 0,5 mg</t>
  </si>
  <si>
    <t>ADVAGRAF</t>
  </si>
  <si>
    <t>Astellas Ireland Co. Ltd.</t>
  </si>
  <si>
    <t>1014245</t>
  </si>
  <si>
    <t>L04AX01</t>
  </si>
  <si>
    <t>azatioprin</t>
  </si>
  <si>
    <t xml:space="preserve">IMURAN </t>
  </si>
  <si>
    <t xml:space="preserve"> 100 po 50 mg</t>
  </si>
  <si>
    <t>metotreksat</t>
  </si>
  <si>
    <t>METHOTREXAT "EBEWE"</t>
  </si>
  <si>
    <t>M01AE01</t>
  </si>
  <si>
    <t>ibuprofen</t>
  </si>
  <si>
    <t xml:space="preserve">BRUFEN </t>
  </si>
  <si>
    <t>plastična bočica, 1 po 100 ml (100 mg/5 ml)</t>
  </si>
  <si>
    <t>AbbVie S.r.l.</t>
  </si>
  <si>
    <t>3162325</t>
  </si>
  <si>
    <t>IBALGIN BABY</t>
  </si>
  <si>
    <t>Zentiva K.S.</t>
  </si>
  <si>
    <t>M03BX02</t>
  </si>
  <si>
    <t>tizanidin</t>
  </si>
  <si>
    <t xml:space="preserve">SIRDALUD </t>
  </si>
  <si>
    <t>Novartis Urunleri</t>
  </si>
  <si>
    <t>Turska</t>
  </si>
  <si>
    <t>12 mg</t>
  </si>
  <si>
    <t>M04AA01</t>
  </si>
  <si>
    <t>alopurinol</t>
  </si>
  <si>
    <t>blister, 40 po 100 mg</t>
  </si>
  <si>
    <t>N02AA01</t>
  </si>
  <si>
    <t>morfin-sulfat</t>
  </si>
  <si>
    <t>ORAMORPH</t>
  </si>
  <si>
    <t>L. Molteni &amp; C. Dei F. LLI Alitti Societa Di Esercizio S.P.A.</t>
  </si>
  <si>
    <t>3087301</t>
  </si>
  <si>
    <t>bočica sa kapaljkom, 1 po 20 ml (20 mg/ml)</t>
  </si>
  <si>
    <t>Janssen Pharmaceutica N.V.</t>
  </si>
  <si>
    <t>N02AB03</t>
  </si>
  <si>
    <t>fentanil</t>
  </si>
  <si>
    <t>DUROGESIC</t>
  </si>
  <si>
    <t>transdermalni flaster</t>
  </si>
  <si>
    <t>1,2 mg</t>
  </si>
  <si>
    <t>9087568</t>
  </si>
  <si>
    <t xml:space="preserve">Janssen Pharmaceutica N.V. </t>
  </si>
  <si>
    <t>9087201</t>
  </si>
  <si>
    <t>VICTANYL</t>
  </si>
  <si>
    <t>kesica, 5 po 25 mcg/h (5 po 4,125 mg/7,5 cm²)</t>
  </si>
  <si>
    <t>9087202</t>
  </si>
  <si>
    <t>kesica, 5 po 50 mcg/h (5 po 8,25 mg/15 cm²)</t>
  </si>
  <si>
    <t>9087203</t>
  </si>
  <si>
    <t>kesica, 5 po 75 mcg/h (5 po 12,375 mg/22,5 cm²)</t>
  </si>
  <si>
    <t>9087200</t>
  </si>
  <si>
    <t>kesica, 5 po 100 mcg/h (5 po 16,5 mg/30 cm²)</t>
  </si>
  <si>
    <t>N02AX02</t>
  </si>
  <si>
    <t>tramadol</t>
  </si>
  <si>
    <t>TRODON</t>
  </si>
  <si>
    <t xml:space="preserve"> blister, 20 po 50 mg</t>
  </si>
  <si>
    <t>1087650</t>
  </si>
  <si>
    <t>TRAMAFORT</t>
  </si>
  <si>
    <t>blister, 20 po 100 mg</t>
  </si>
  <si>
    <t>1087651</t>
  </si>
  <si>
    <t>blister, 20 po 150 mg</t>
  </si>
  <si>
    <t>oralna disperzibilna tableta</t>
  </si>
  <si>
    <t>1087553</t>
  </si>
  <si>
    <t>blister, 10 po 200 mg</t>
  </si>
  <si>
    <t>N02BE01</t>
  </si>
  <si>
    <t>paracetamol</t>
  </si>
  <si>
    <t>3086742</t>
  </si>
  <si>
    <t>PANATERM</t>
  </si>
  <si>
    <t>bočica plastična, 1 po 125 ml (120 mg/5 ml)</t>
  </si>
  <si>
    <t>N03AA02</t>
  </si>
  <si>
    <t>fenobarbital (fenobarbiton)</t>
  </si>
  <si>
    <t xml:space="preserve">PHENOBARBITON </t>
  </si>
  <si>
    <t>blister, 30 po 15 mg</t>
  </si>
  <si>
    <t>N03AD01</t>
  </si>
  <si>
    <t>etosuksimid</t>
  </si>
  <si>
    <t>SUXINUTIN</t>
  </si>
  <si>
    <t>bočica od tamnog stakla, 1 po 200 ml (250 mg/5 ml)</t>
  </si>
  <si>
    <t>Famar Orleans</t>
  </si>
  <si>
    <t>1,25 g</t>
  </si>
  <si>
    <t>N03AE01</t>
  </si>
  <si>
    <t>klonazepam</t>
  </si>
  <si>
    <t xml:space="preserve">RIVOTRIL </t>
  </si>
  <si>
    <t>8 mg</t>
  </si>
  <si>
    <t>1084255</t>
  </si>
  <si>
    <t>Remedica Ltd.</t>
  </si>
  <si>
    <t>Kipar</t>
  </si>
  <si>
    <t>N03AF01</t>
  </si>
  <si>
    <t>karbamazepin</t>
  </si>
  <si>
    <t>GALEPSIN</t>
  </si>
  <si>
    <t xml:space="preserve">KARBAPIN </t>
  </si>
  <si>
    <t>blister,  50 po 200 mg</t>
  </si>
  <si>
    <t>TEGRETOL</t>
  </si>
  <si>
    <t xml:space="preserve">TEGRETOL CR </t>
  </si>
  <si>
    <t>film tableta sa modifikovanim oslobađanjem</t>
  </si>
  <si>
    <t>blister, 30 po 400 mg</t>
  </si>
  <si>
    <t>N03AG01</t>
  </si>
  <si>
    <t>EFTIL</t>
  </si>
  <si>
    <t xml:space="preserve">tableta sa produženim oslobađanjem </t>
  </si>
  <si>
    <t>1084817</t>
  </si>
  <si>
    <t>valproinska kiselina, natrijum valproat</t>
  </si>
  <si>
    <t>VALPROIX</t>
  </si>
  <si>
    <t>blister, 30 po (145 mg + 333 mg)</t>
  </si>
  <si>
    <t>N03AX09</t>
  </si>
  <si>
    <t>lamotrigin</t>
  </si>
  <si>
    <t>LAMICTAL</t>
  </si>
  <si>
    <t>LAMAL</t>
  </si>
  <si>
    <t>30 po 100 mg</t>
  </si>
  <si>
    <t>N03AX11</t>
  </si>
  <si>
    <t>topiramat</t>
  </si>
  <si>
    <t>TOPAMAX</t>
  </si>
  <si>
    <t>blister, 28 po 100 mg</t>
  </si>
  <si>
    <t>1084750</t>
  </si>
  <si>
    <t>N03AX12</t>
  </si>
  <si>
    <t>gabapentin</t>
  </si>
  <si>
    <t>KATENA</t>
  </si>
  <si>
    <t>1084612</t>
  </si>
  <si>
    <t>NEURONTIN</t>
  </si>
  <si>
    <t>N03AX14</t>
  </si>
  <si>
    <t>levetiracetam</t>
  </si>
  <si>
    <t>KEPPRA</t>
  </si>
  <si>
    <t>blister, 60 po 250 mg</t>
  </si>
  <si>
    <t>blister, 60 po 500 mg</t>
  </si>
  <si>
    <t>blister, 60 po 1000 mg</t>
  </si>
  <si>
    <t>3084823</t>
  </si>
  <si>
    <t>bočica staklena, 1 po 300 ml (100 mg/ml)</t>
  </si>
  <si>
    <t>Nextpharma SAS</t>
  </si>
  <si>
    <t>EPILEV</t>
  </si>
  <si>
    <t>LYVAM</t>
  </si>
  <si>
    <t>1084736</t>
  </si>
  <si>
    <t>N03AX16</t>
  </si>
  <si>
    <t>pregabalin</t>
  </si>
  <si>
    <t>LYRICA</t>
  </si>
  <si>
    <t>56 po 75 mg</t>
  </si>
  <si>
    <t>1084738</t>
  </si>
  <si>
    <t>56 po 150 mg</t>
  </si>
  <si>
    <t>1084745</t>
  </si>
  <si>
    <t>56 po 300 mg</t>
  </si>
  <si>
    <t>N04BA02</t>
  </si>
  <si>
    <t>levodopa, benzerazid</t>
  </si>
  <si>
    <t xml:space="preserve">MADOPAR </t>
  </si>
  <si>
    <t>boca staklena,100 po 250 mg (200 mg + 50 mg)</t>
  </si>
  <si>
    <t>Galenika a.d., Srbija u saradnji sa F. Hoffmann-La Roche Ltd.</t>
  </si>
  <si>
    <t>MADOPAR  ROCHE</t>
  </si>
  <si>
    <t>bočica,100 po 250 mg (200 mg + 50 mg)</t>
  </si>
  <si>
    <t>N04BB01</t>
  </si>
  <si>
    <t>bromokriptin</t>
  </si>
  <si>
    <t>BROMOKRIPTIN</t>
  </si>
  <si>
    <t>N05AA01</t>
  </si>
  <si>
    <t>hlorpromazin</t>
  </si>
  <si>
    <t xml:space="preserve">film tableta </t>
  </si>
  <si>
    <t>N05AB02</t>
  </si>
  <si>
    <t>flufenazin</t>
  </si>
  <si>
    <t>METOTEN</t>
  </si>
  <si>
    <t>25 po 1 mg</t>
  </si>
  <si>
    <t xml:space="preserve"> 25 po 5 mg</t>
  </si>
  <si>
    <t>N05AD01</t>
  </si>
  <si>
    <t>haloperidol</t>
  </si>
  <si>
    <t>plastična bočica,  25 po 2 mg</t>
  </si>
  <si>
    <t>blister, 25 po 2 mg</t>
  </si>
  <si>
    <t>1070018</t>
  </si>
  <si>
    <t>N05AH03</t>
  </si>
  <si>
    <t>olanzapin</t>
  </si>
  <si>
    <t>TREANA</t>
  </si>
  <si>
    <t>1070017</t>
  </si>
  <si>
    <t>1070025</t>
  </si>
  <si>
    <t>ONZAPIN</t>
  </si>
  <si>
    <t>1070023</t>
  </si>
  <si>
    <t>1070015</t>
  </si>
  <si>
    <t>ZALASTA</t>
  </si>
  <si>
    <t>1070016</t>
  </si>
  <si>
    <t>1070979</t>
  </si>
  <si>
    <t>ZALASTA Q-Tab</t>
  </si>
  <si>
    <t>1070975</t>
  </si>
  <si>
    <t>1070976</t>
  </si>
  <si>
    <t>1070977</t>
  </si>
  <si>
    <t>1070093</t>
  </si>
  <si>
    <t>OLPIN</t>
  </si>
  <si>
    <t>1070092</t>
  </si>
  <si>
    <t>1070920</t>
  </si>
  <si>
    <t>N05AX08</t>
  </si>
  <si>
    <t>risperidon</t>
  </si>
  <si>
    <t>RISPOLEPT</t>
  </si>
  <si>
    <t>1070921</t>
  </si>
  <si>
    <t>blister, 20 po 2 mg</t>
  </si>
  <si>
    <t>1070922</t>
  </si>
  <si>
    <t>blister, 20 po 3 mg</t>
  </si>
  <si>
    <t>blister, 20 po 4 mg</t>
  </si>
  <si>
    <t>1070034</t>
  </si>
  <si>
    <t>RISPERIDON</t>
  </si>
  <si>
    <t>1070035</t>
  </si>
  <si>
    <t>1070036</t>
  </si>
  <si>
    <t>1070037</t>
  </si>
  <si>
    <t>1070063</t>
  </si>
  <si>
    <t>TORENDO</t>
  </si>
  <si>
    <t>1070066</t>
  </si>
  <si>
    <t>RISSAR</t>
  </si>
  <si>
    <t>1070670</t>
  </si>
  <si>
    <t>AVERIDON</t>
  </si>
  <si>
    <t>boca staklena,100 ml (1 mg/ml)</t>
  </si>
  <si>
    <t>N002592</t>
  </si>
  <si>
    <t>N05BA01</t>
  </si>
  <si>
    <t>diazepam</t>
  </si>
  <si>
    <t>DIAZEPAM</t>
  </si>
  <si>
    <t>rastvor za rektalnu primenu</t>
  </si>
  <si>
    <t>5 po 5 mg/2,5 ml</t>
  </si>
  <si>
    <t>BENSEDIN</t>
  </si>
  <si>
    <t>1072762</t>
  </si>
  <si>
    <t>N06AA09</t>
  </si>
  <si>
    <t>amitriptilin</t>
  </si>
  <si>
    <t>blister, 100 po 10 mg</t>
  </si>
  <si>
    <t>1072763</t>
  </si>
  <si>
    <t>N06AA21</t>
  </si>
  <si>
    <t>maprotilin</t>
  </si>
  <si>
    <t>MAPROTILIN</t>
  </si>
  <si>
    <t>N06AB03</t>
  </si>
  <si>
    <t>fluoksetin</t>
  </si>
  <si>
    <t>FLUNIRIN</t>
  </si>
  <si>
    <t>FLUNISAN</t>
  </si>
  <si>
    <t>1072062</t>
  </si>
  <si>
    <t>N06AB04</t>
  </si>
  <si>
    <t>citalopram</t>
  </si>
  <si>
    <t>CITALEX</t>
  </si>
  <si>
    <t>1072061</t>
  </si>
  <si>
    <t>1072067</t>
  </si>
  <si>
    <t>blister, 50 po 10 mg</t>
  </si>
  <si>
    <t>1072060</t>
  </si>
  <si>
    <t>blister, 50 po 20 mg</t>
  </si>
  <si>
    <t>N06AB05</t>
  </si>
  <si>
    <t>paroksetin</t>
  </si>
  <si>
    <t>N06AB06</t>
  </si>
  <si>
    <t>sertralin</t>
  </si>
  <si>
    <t>SIDATA</t>
  </si>
  <si>
    <t>1072635</t>
  </si>
  <si>
    <t>ASENTRA</t>
  </si>
  <si>
    <t>1072627</t>
  </si>
  <si>
    <t>N06AB10</t>
  </si>
  <si>
    <t>escitalopram</t>
  </si>
  <si>
    <t>ELICEA</t>
  </si>
  <si>
    <t>1072625</t>
  </si>
  <si>
    <t>LATA</t>
  </si>
  <si>
    <t>1073190</t>
  </si>
  <si>
    <t>N06BA04</t>
  </si>
  <si>
    <t>metilfenidat</t>
  </si>
  <si>
    <t>CONCERTA</t>
  </si>
  <si>
    <t>1073191</t>
  </si>
  <si>
    <t>N07AA02</t>
  </si>
  <si>
    <t>piridostigmin</t>
  </si>
  <si>
    <t>MESTINON</t>
  </si>
  <si>
    <t>0,18 g</t>
  </si>
  <si>
    <t>N07BB01</t>
  </si>
  <si>
    <t>disulfiram</t>
  </si>
  <si>
    <t xml:space="preserve">ESPERAL </t>
  </si>
  <si>
    <t>N07BC02</t>
  </si>
  <si>
    <t>metadon</t>
  </si>
  <si>
    <t xml:space="preserve">METADON </t>
  </si>
  <si>
    <t>kapi</t>
  </si>
  <si>
    <t>bočica, 1 po 10 ml (10 mg/ml)</t>
  </si>
  <si>
    <t>2087505</t>
  </si>
  <si>
    <t>METADON ALKALOID</t>
  </si>
  <si>
    <t>P01AB01</t>
  </si>
  <si>
    <t>P02CA01</t>
  </si>
  <si>
    <t>mebendazol</t>
  </si>
  <si>
    <t>SOLTRIK</t>
  </si>
  <si>
    <t xml:space="preserve"> bočica,1 po 30 ml (100 mg/5 ml)</t>
  </si>
  <si>
    <t>7110311</t>
  </si>
  <si>
    <t>R01AD09</t>
  </si>
  <si>
    <t>mometazon</t>
  </si>
  <si>
    <t>NASONEX</t>
  </si>
  <si>
    <t>sprej za nos, suspenzija</t>
  </si>
  <si>
    <t>200 mcg</t>
  </si>
  <si>
    <t>R01AD12</t>
  </si>
  <si>
    <t>flutikazonfuroat</t>
  </si>
  <si>
    <t>AVAMYS</t>
  </si>
  <si>
    <t>110 mcg</t>
  </si>
  <si>
    <t>R03AC02</t>
  </si>
  <si>
    <t>salbutamol</t>
  </si>
  <si>
    <t xml:space="preserve">SPALMOTIL </t>
  </si>
  <si>
    <t>rastvor za raspršivanje</t>
  </si>
  <si>
    <t>VENTOLIN</t>
  </si>
  <si>
    <t xml:space="preserve">suspenzija za inhalaciju pod pritiskom </t>
  </si>
  <si>
    <t>0,8 mg</t>
  </si>
  <si>
    <t>R03AC12</t>
  </si>
  <si>
    <t>salmeterol</t>
  </si>
  <si>
    <t>SEREVENT Inhaler CFC-Free</t>
  </si>
  <si>
    <t>inhalator pod pritiskom sa dozerom, 1 po 120 doza (25 mcg/doza)</t>
  </si>
  <si>
    <t>100 mcg</t>
  </si>
  <si>
    <t>4 inh.</t>
  </si>
  <si>
    <t>7114162</t>
  </si>
  <si>
    <t>R03AC13</t>
  </si>
  <si>
    <t>formoterol</t>
  </si>
  <si>
    <t>OXIS TURBUHALER</t>
  </si>
  <si>
    <t>prašak za inhalaciju</t>
  </si>
  <si>
    <t>kontejner višedozni, 1 po 60 doza (4,5 mcg/doza)</t>
  </si>
  <si>
    <t>AstraZeneca AB</t>
  </si>
  <si>
    <t>24 mcg</t>
  </si>
  <si>
    <t>7114163</t>
  </si>
  <si>
    <t>kontejner višedozni, 1 po 60 doza (9 mcg/doza)</t>
  </si>
  <si>
    <t>R03AK03</t>
  </si>
  <si>
    <t>fenoterol, ipratropijum bromid</t>
  </si>
  <si>
    <t>BERODUAL N</t>
  </si>
  <si>
    <t>rastvor za inhalaciju pod pritiskom</t>
  </si>
  <si>
    <t>inhalator pod pritiskom sa dozerom,1 po 200 doza (0,05 mg + 0,021 mg)/ doza</t>
  </si>
  <si>
    <t>6 inh.</t>
  </si>
  <si>
    <t xml:space="preserve">BERODUAL </t>
  </si>
  <si>
    <t>bočica od tamnog stakla,1 po 20 ml ( 0,5 mg/ml + 0,25 mg/ml )</t>
  </si>
  <si>
    <t>Istituto De Angeli S.R.L.</t>
  </si>
  <si>
    <t>R03AK06</t>
  </si>
  <si>
    <t>SERETIDE DISCUS</t>
  </si>
  <si>
    <t>prašak za inhalaciju, podeljen</t>
  </si>
  <si>
    <t>2 inh.</t>
  </si>
  <si>
    <t>R03AK07</t>
  </si>
  <si>
    <t>budesonid, formoterol</t>
  </si>
  <si>
    <t>SYMBICORT TURBUHALER</t>
  </si>
  <si>
    <t>R03BA01</t>
  </si>
  <si>
    <t>beklometazon</t>
  </si>
  <si>
    <t>BECLOFORTE CFC-FREE INHALER</t>
  </si>
  <si>
    <t>inhalator pod pritiskom sa dozerom, 1 po 200 doza (250 mcg/1 doza)</t>
  </si>
  <si>
    <t>800 mcg</t>
  </si>
  <si>
    <t>R03BA02</t>
  </si>
  <si>
    <t>PULMICORT TURBUHALER</t>
  </si>
  <si>
    <t>inhaler, 1 po 100 doza (200 mcg/doza)</t>
  </si>
  <si>
    <t>7114576</t>
  </si>
  <si>
    <t>PULMICORT</t>
  </si>
  <si>
    <t>suspenzija za raspršivanje</t>
  </si>
  <si>
    <t>ampula, 20 po 2 ml (0,25 mg/ml)</t>
  </si>
  <si>
    <t>7114577</t>
  </si>
  <si>
    <t>ampula, 20 po 2 ml (0,5 mg/ml)</t>
  </si>
  <si>
    <t>R03BA05</t>
  </si>
  <si>
    <t>FLIXOTIDE</t>
  </si>
  <si>
    <t>kontejner pod pritiskom, 1 po 120 doza (50 mcg/1 doza)</t>
  </si>
  <si>
    <t>0,6 mg</t>
  </si>
  <si>
    <t>flutikazon</t>
  </si>
  <si>
    <t>kontejner pod pritiskom, 1 po 60 doza (125 mcg/1 doza)</t>
  </si>
  <si>
    <t>kontejner pod pritiskom, 1 po 60 doza (250 mcg/1 doza)</t>
  </si>
  <si>
    <t>7114744</t>
  </si>
  <si>
    <t>R03BA08</t>
  </si>
  <si>
    <t>ciklesonid</t>
  </si>
  <si>
    <t>0,16 mg</t>
  </si>
  <si>
    <t>7114741</t>
  </si>
  <si>
    <t>R03CC02</t>
  </si>
  <si>
    <t>boca,1 po 200 ml (2 mg/5 ml)</t>
  </si>
  <si>
    <t>blister, 60 po 2 mg</t>
  </si>
  <si>
    <t>R03DA04</t>
  </si>
  <si>
    <t>teofilin</t>
  </si>
  <si>
    <t>DUROFILIN</t>
  </si>
  <si>
    <t>blister, 40 po 125 mg</t>
  </si>
  <si>
    <t>blister, 40 po 250 mg</t>
  </si>
  <si>
    <t>R03DA05</t>
  </si>
  <si>
    <t>aminofilin</t>
  </si>
  <si>
    <t>R03DC03</t>
  </si>
  <si>
    <t>montelukast</t>
  </si>
  <si>
    <t>SINGULAIR</t>
  </si>
  <si>
    <t>tableta za žvakanje</t>
  </si>
  <si>
    <t>3114644</t>
  </si>
  <si>
    <t>granule</t>
  </si>
  <si>
    <t>kesica, 28 po 4 mg</t>
  </si>
  <si>
    <t>1114646</t>
  </si>
  <si>
    <t>blister, 28 po 4 mg</t>
  </si>
  <si>
    <t>1114552</t>
  </si>
  <si>
    <t>ALVOKAST</t>
  </si>
  <si>
    <t>1114553</t>
  </si>
  <si>
    <t>1114554</t>
  </si>
  <si>
    <t>TELUKA</t>
  </si>
  <si>
    <t>1114645</t>
  </si>
  <si>
    <t>R05CB13</t>
  </si>
  <si>
    <t>dornaza alfa</t>
  </si>
  <si>
    <t>PULMOZYME</t>
  </si>
  <si>
    <t xml:space="preserve"> 6 po 2,5 ml  (2500 i.j./2,5 ml)</t>
  </si>
  <si>
    <t>S01AA01</t>
  </si>
  <si>
    <t>hloramfenikol</t>
  </si>
  <si>
    <t>mast za oči</t>
  </si>
  <si>
    <t>tuba, 1 po 5 g (1%)</t>
  </si>
  <si>
    <t xml:space="preserve">Hemomont d.o.o. </t>
  </si>
  <si>
    <t>Republika Crna Gora</t>
  </si>
  <si>
    <t>HLORAMFENIKOL ALKALOID</t>
  </si>
  <si>
    <t>S01AA11</t>
  </si>
  <si>
    <t>gentamicin</t>
  </si>
  <si>
    <t>GENTOKULIN</t>
  </si>
  <si>
    <t>kapi za oči, rastvor</t>
  </si>
  <si>
    <t>bočica, 1 po 10 ml (0,3%)</t>
  </si>
  <si>
    <t>4150250</t>
  </si>
  <si>
    <t>S01AA30</t>
  </si>
  <si>
    <t>bacitracin, neomicin</t>
  </si>
  <si>
    <t xml:space="preserve">ENBECIN </t>
  </si>
  <si>
    <t>S01AX13</t>
  </si>
  <si>
    <t>MAROCEN</t>
  </si>
  <si>
    <t>bočica staklena, 1 po 5 ml 0,3%</t>
  </si>
  <si>
    <t>S01BA02</t>
  </si>
  <si>
    <t>hidrokortizon</t>
  </si>
  <si>
    <t>S01EB01</t>
  </si>
  <si>
    <t>pilokarpin</t>
  </si>
  <si>
    <t xml:space="preserve">MIOKARPIN </t>
  </si>
  <si>
    <t>kapi za oči</t>
  </si>
  <si>
    <t>bočica, 1 po 10 ml 2%</t>
  </si>
  <si>
    <t>0,4 ml</t>
  </si>
  <si>
    <t>S01EC03</t>
  </si>
  <si>
    <t>dorzolamid</t>
  </si>
  <si>
    <t>0,3 ml</t>
  </si>
  <si>
    <t>7096070</t>
  </si>
  <si>
    <t>OPTODROP</t>
  </si>
  <si>
    <t>bočica sa kapaljkom, 1 po 5 ml (20 mg/ml)</t>
  </si>
  <si>
    <t>Rafarm S.A.</t>
  </si>
  <si>
    <t>Grčka</t>
  </si>
  <si>
    <t>S01EC04</t>
  </si>
  <si>
    <t>brinzolamid</t>
  </si>
  <si>
    <t>0,2 ml</t>
  </si>
  <si>
    <t>S01ED01</t>
  </si>
  <si>
    <t>timolol</t>
  </si>
  <si>
    <t>GLAUMOL</t>
  </si>
  <si>
    <t>UNITIMOLOL  0.5%</t>
  </si>
  <si>
    <t>bočica, 1 po 10 ml 0,5%</t>
  </si>
  <si>
    <t>Unimed Pharma S.R.O.</t>
  </si>
  <si>
    <t xml:space="preserve">Slovačka </t>
  </si>
  <si>
    <t>S01ED51</t>
  </si>
  <si>
    <t>timolol, latanoprost</t>
  </si>
  <si>
    <t>0,1 ml</t>
  </si>
  <si>
    <t>Aeropharm GmbH</t>
  </si>
  <si>
    <t>S01EE01</t>
  </si>
  <si>
    <t>latanoprost</t>
  </si>
  <si>
    <t>7099001</t>
  </si>
  <si>
    <t>LANOPROGAL</t>
  </si>
  <si>
    <t>bočica sa kapaljkom, 1 po 2,5 ml (50 mcg/ml)</t>
  </si>
  <si>
    <t>N002303</t>
  </si>
  <si>
    <t>V06DX..</t>
  </si>
  <si>
    <t>bezglutensko brašno</t>
  </si>
  <si>
    <t>MIX B I MIX C BRAŠNO</t>
  </si>
  <si>
    <t>prašak</t>
  </si>
  <si>
    <t>1 kg</t>
  </si>
  <si>
    <t>Dr Schär GmbH</t>
  </si>
  <si>
    <t>N003582</t>
  </si>
  <si>
    <t>namirnice za enteralnu ishranu</t>
  </si>
  <si>
    <t>NUTRIDRINK</t>
  </si>
  <si>
    <t>rastvor za enteralnu ishranu</t>
  </si>
  <si>
    <t>bočica, 200 ml (1,5 kcal/ml)</t>
  </si>
  <si>
    <t>N.V.Nutricia Zoetermeer</t>
  </si>
  <si>
    <t>N003590</t>
  </si>
  <si>
    <t>NUTRISON</t>
  </si>
  <si>
    <t>boca, 500 ml (1 kcal/ml)</t>
  </si>
  <si>
    <t>N003814</t>
  </si>
  <si>
    <t>hrana za posebne medicinske namene</t>
  </si>
  <si>
    <t>NEOCATE LCP</t>
  </si>
  <si>
    <t>prah</t>
  </si>
  <si>
    <t>limenka, 400 g</t>
  </si>
  <si>
    <t>SHS International Ltd.</t>
  </si>
  <si>
    <t>Galenika a.d. u saradnji sa F. Hoffmann-La Roche Ltd.</t>
  </si>
  <si>
    <t>inhalator pod pritiskom sa dozerom, 200 po 100mcg/doza</t>
  </si>
  <si>
    <t>Glaxo Operations UK Limited; Glaxo Wellcome S.A.</t>
  </si>
  <si>
    <t xml:space="preserve"> boca plastična, 100 po 500 mg</t>
  </si>
  <si>
    <t>1102471</t>
  </si>
  <si>
    <t>izosorbid mononitrat</t>
  </si>
  <si>
    <t>ISOCARD</t>
  </si>
  <si>
    <t>blister, 50 po 60 mg</t>
  </si>
  <si>
    <t>1107048</t>
  </si>
  <si>
    <t>BISPROL</t>
  </si>
  <si>
    <t>1107049</t>
  </si>
  <si>
    <t>1402878</t>
  </si>
  <si>
    <t>VAZOTAL</t>
  </si>
  <si>
    <t>1402877</t>
  </si>
  <si>
    <t>ENAP</t>
  </si>
  <si>
    <t>Hemofarm a.d</t>
  </si>
  <si>
    <t>1103550</t>
  </si>
  <si>
    <t>IRUMED</t>
  </si>
  <si>
    <t xml:space="preserve"> blister, 30 po 5 mg</t>
  </si>
  <si>
    <t>Belupo, Lijekovi i kozmetika d.d.</t>
  </si>
  <si>
    <t>1103551</t>
  </si>
  <si>
    <t>1103867</t>
  </si>
  <si>
    <t>LIZOPRIL</t>
  </si>
  <si>
    <t>Bosnalijek D.D.</t>
  </si>
  <si>
    <t>1103866</t>
  </si>
  <si>
    <t>1103865</t>
  </si>
  <si>
    <t>1401503</t>
  </si>
  <si>
    <t>PRILENAP H</t>
  </si>
  <si>
    <t>blister, 30 po (10 mg + 25 mg)</t>
  </si>
  <si>
    <t>1401499</t>
  </si>
  <si>
    <t>PRILENAP HL</t>
  </si>
  <si>
    <t>blister, 30 po (10 mg + 12.5 mg)</t>
  </si>
  <si>
    <t>1401140</t>
  </si>
  <si>
    <t>ENAP- H</t>
  </si>
  <si>
    <t>ENAP- HL</t>
  </si>
  <si>
    <t>1401931</t>
  </si>
  <si>
    <t>PRILINDA PLUS</t>
  </si>
  <si>
    <t>1401932</t>
  </si>
  <si>
    <t xml:space="preserve">AMPRIL- HL </t>
  </si>
  <si>
    <t>1104512</t>
  </si>
  <si>
    <t>1104513</t>
  </si>
  <si>
    <t>1104794</t>
  </si>
  <si>
    <t>TOREZ</t>
  </si>
  <si>
    <t>1104793</t>
  </si>
  <si>
    <t>1104792</t>
  </si>
  <si>
    <t xml:space="preserve"> rastvor za injekciju u ulošku</t>
  </si>
  <si>
    <t>Sandoz GMBH</t>
  </si>
  <si>
    <t>0044664</t>
  </si>
  <si>
    <t>0044661</t>
  </si>
  <si>
    <t>3021147</t>
  </si>
  <si>
    <t>SINACILIN baby</t>
  </si>
  <si>
    <t>OMNITROPE</t>
  </si>
  <si>
    <t>3021637</t>
  </si>
  <si>
    <t>AUGMENTIN</t>
  </si>
  <si>
    <t>1321010</t>
  </si>
  <si>
    <t>CEFALEXIN ALKALOID</t>
  </si>
  <si>
    <t>3321012</t>
  </si>
  <si>
    <t>1329200</t>
  </si>
  <si>
    <t>CIPRINOL</t>
  </si>
  <si>
    <t>1329201</t>
  </si>
  <si>
    <t>2,5mg</t>
  </si>
  <si>
    <t>Hemofarm AD</t>
  </si>
  <si>
    <t>3162519</t>
  </si>
  <si>
    <t>NUROFEN ZA DECU SA UKUSOM NARANDŽE</t>
  </si>
  <si>
    <t>boca plastična, 1 po 100 ml (100 mg/5 ml)</t>
  </si>
  <si>
    <t>Reckitt Benckiser Healthcare (UK) Limited</t>
  </si>
  <si>
    <t>TIZAX</t>
  </si>
  <si>
    <t>PharmaS d.o.o</t>
  </si>
  <si>
    <t>1084818</t>
  </si>
  <si>
    <t>1084819</t>
  </si>
  <si>
    <t>1084824</t>
  </si>
  <si>
    <t>EPICA</t>
  </si>
  <si>
    <t>1084302</t>
  </si>
  <si>
    <t>1084305</t>
  </si>
  <si>
    <t xml:space="preserve">oralna disperzibilna tableta </t>
  </si>
  <si>
    <t>OPTODROP-CO</t>
  </si>
  <si>
    <t>kapi za oči,rastvor</t>
  </si>
  <si>
    <t>1014240</t>
  </si>
  <si>
    <t>blister, 30 po 0,5 mg</t>
  </si>
  <si>
    <t>1014242</t>
  </si>
  <si>
    <t>1014247</t>
  </si>
  <si>
    <t>N04AA02</t>
  </si>
  <si>
    <t>biperiden</t>
  </si>
  <si>
    <t>MENDILEX</t>
  </si>
  <si>
    <t>blister, 50 po 2 mg</t>
  </si>
  <si>
    <t>MANINIL 3,5</t>
  </si>
  <si>
    <t xml:space="preserve">uložak, 1 po 1,5 ml (10mg/1,5ml) </t>
  </si>
  <si>
    <t>uložak, 1 po 1,5 ml (15mg/1,5ml)</t>
  </si>
  <si>
    <t>Bayer Weimar GmbH &amp; CO.KG</t>
  </si>
  <si>
    <t xml:space="preserve">ALVESCO </t>
  </si>
  <si>
    <t>kontejner pod pritiskom, 1 po 10 ml (120 doza po 80 mcg)</t>
  </si>
  <si>
    <t>kontejner pod pritiskom,1 po 5 ml  (60 doza po 160 mcg)</t>
  </si>
  <si>
    <t>strip, 30 po 10 mg</t>
  </si>
  <si>
    <t>Meda Manufacturing; Meda Pharma GmbH &amp; Co.KG</t>
  </si>
  <si>
    <t>Francuska; Nemačka</t>
  </si>
  <si>
    <t>ICN Polfa Rzeszow S.A</t>
  </si>
  <si>
    <t>SAIZEN</t>
  </si>
  <si>
    <t>uložak, 1 po 1.03 ml (5.83 mg/ml)</t>
  </si>
  <si>
    <t>Merck Serono S.P.A</t>
  </si>
  <si>
    <t>uložak, 1 po 1.5 ml (8 mg/ml)</t>
  </si>
  <si>
    <t>uložak, 1 po 2.5 ml (8 mg/ml)</t>
  </si>
  <si>
    <t>PRILINDA</t>
  </si>
  <si>
    <t>Hemofarm A.D</t>
  </si>
  <si>
    <t>Alkaloid d.o.o Beograd</t>
  </si>
  <si>
    <t>NOLICIN</t>
  </si>
  <si>
    <t>Krka Tovarna Zdravil d.d</t>
  </si>
  <si>
    <t>ELORYQA</t>
  </si>
  <si>
    <t>VISUS PLUS</t>
  </si>
  <si>
    <t>bočica, 1 po 2,5 ml (5mg/ml+50mcg/ml)</t>
  </si>
  <si>
    <t>Stada Arzneimitel AG</t>
  </si>
  <si>
    <t>Krka, Tovarna Zdravil d.d</t>
  </si>
  <si>
    <t>MODITEN</t>
  </si>
  <si>
    <t>Španija</t>
  </si>
  <si>
    <t>CORACE</t>
  </si>
  <si>
    <t>CORACE PLUS</t>
  </si>
  <si>
    <t>Alkaloid AD Skoplje</t>
  </si>
  <si>
    <t>MELPAMID</t>
  </si>
  <si>
    <t>Bosnalijek
 D.D.</t>
  </si>
  <si>
    <t xml:space="preserve">Bosna i Hercegovina </t>
  </si>
  <si>
    <t>1042314</t>
  </si>
  <si>
    <t>1042315</t>
  </si>
  <si>
    <t>1042316</t>
  </si>
  <si>
    <t>1103286</t>
  </si>
  <si>
    <t>1103287</t>
  </si>
  <si>
    <t>1103285</t>
  </si>
  <si>
    <t>0044100</t>
  </si>
  <si>
    <t>0044101</t>
  </si>
  <si>
    <t>0044102</t>
  </si>
  <si>
    <t>3048915</t>
  </si>
  <si>
    <t>1070205</t>
  </si>
  <si>
    <t>1107659</t>
  </si>
  <si>
    <t>37.5 mg</t>
  </si>
  <si>
    <t>1107658</t>
  </si>
  <si>
    <t>1103256</t>
  </si>
  <si>
    <t>Krka, Tovarna Zdravil, d.d.</t>
  </si>
  <si>
    <t>2.5 mg</t>
  </si>
  <si>
    <t>1103260</t>
  </si>
  <si>
    <t>1103264</t>
  </si>
  <si>
    <t>LAMOTRIX</t>
  </si>
  <si>
    <t>0.3 g</t>
  </si>
  <si>
    <t>G04BE03</t>
  </si>
  <si>
    <t>sildenafil</t>
  </si>
  <si>
    <t>REVATIO</t>
  </si>
  <si>
    <t>blister, 90 po 20 mg</t>
  </si>
  <si>
    <t>ROSUVASTATIN SANDOZ</t>
  </si>
  <si>
    <t>Lek Farmaceutska družba d.d</t>
  </si>
  <si>
    <t>EXEDRAL 25</t>
  </si>
  <si>
    <t>QUETRA 500</t>
  </si>
  <si>
    <t>1084830</t>
  </si>
  <si>
    <t>QUETRA 250</t>
  </si>
  <si>
    <t xml:space="preserve">QUETRA 1000 </t>
  </si>
  <si>
    <t>1072914</t>
  </si>
  <si>
    <t>ARKETIS</t>
  </si>
  <si>
    <t>APAURIN</t>
  </si>
  <si>
    <t>1071172</t>
  </si>
  <si>
    <t>1071175</t>
  </si>
  <si>
    <t>BLOKMAX® ZA DECU</t>
  </si>
  <si>
    <t>Galenika a.d. u saradnji sa F. Hoffmann-La Roche Ltd, Švajcarska</t>
  </si>
  <si>
    <t xml:space="preserve">Krka Tovarna Zdravil d.d. </t>
  </si>
  <si>
    <t>bočica, 1 po 10 ml (100 j./ml )</t>
  </si>
  <si>
    <t>40 j.</t>
  </si>
  <si>
    <t>pen sa uloškom, 5 po 3 ml (100 j./ml )</t>
  </si>
  <si>
    <t>pen sa uloskom, 5 po 3 ml (100 j./1 ml )</t>
  </si>
  <si>
    <t>pen sa uloškom, 5 po 3 ml (100 j./1 ml )</t>
  </si>
  <si>
    <t>bočica sa praškom i napunjeni injekcioni špric sa rastvaračem, 1 po 1 ml (1 mg/1 ml)</t>
  </si>
  <si>
    <t>Delpharm Lille Sas; Bayer Weimar GmbH &amp; CO.KG</t>
  </si>
  <si>
    <t xml:space="preserve">sulfadiazin </t>
  </si>
  <si>
    <t>Francuska; Španija; Nemačka; Austrija; Francuska</t>
  </si>
  <si>
    <t>kontejner za tablete, 20 po 5 mg</t>
  </si>
  <si>
    <t>Alkaloid d.o.o. Beograd; Alkaloid ad Skopje</t>
  </si>
  <si>
    <t>Republika Srbija; Republika Makedonija</t>
  </si>
  <si>
    <t>bočica staklena, 150 po 60 mg</t>
  </si>
  <si>
    <t>blister,  20 po 400 mg</t>
  </si>
  <si>
    <t>inhaler, 1 po 60 doza (320 mcg + 9 mcg)</t>
  </si>
  <si>
    <t>tuba, 1 po 5 g (500 i.j./g + 3,3 mg/g)</t>
  </si>
  <si>
    <t>JGL D.O.O. BEOGRAD-SOPOT</t>
  </si>
  <si>
    <t>HLORPROMAZIN</t>
  </si>
  <si>
    <t>Remedica Ltd</t>
  </si>
  <si>
    <t xml:space="preserve">Krka, Tovarna, Zdravil, d.d. </t>
  </si>
  <si>
    <t xml:space="preserve">Krka, Tovarna Zdravil, d.d, </t>
  </si>
  <si>
    <t xml:space="preserve">Krka, Tovarna Zdravil, d.d. </t>
  </si>
  <si>
    <t>ONDA</t>
  </si>
  <si>
    <t>blister, 15 po 8 mg</t>
  </si>
  <si>
    <t>Vianex S.A. - Plant B'</t>
  </si>
  <si>
    <t>0041666</t>
  </si>
  <si>
    <t>TOUJEO</t>
  </si>
  <si>
    <t>rastvor za injekciju u penu sa uloškom</t>
  </si>
  <si>
    <t>pen sa uloškom Solostar, 3 po 1,5ml (300j./ml)</t>
  </si>
  <si>
    <t>A12BA01</t>
  </si>
  <si>
    <t>kalijum-hlorid</t>
  </si>
  <si>
    <t xml:space="preserve">KALII CHLORIDI </t>
  </si>
  <si>
    <t>kesica, 10 po 1g</t>
  </si>
  <si>
    <t>Ufar d.o.o</t>
  </si>
  <si>
    <t>1102101</t>
  </si>
  <si>
    <t>C01DA02</t>
  </si>
  <si>
    <t>gliceriltrinitrat</t>
  </si>
  <si>
    <t>NITROGLICERIN</t>
  </si>
  <si>
    <t>sublingvalna tableta</t>
  </si>
  <si>
    <t>bočica staklena, 40 po 0,5 mg</t>
  </si>
  <si>
    <t>Jaka-80 Radoviš a.d.</t>
  </si>
  <si>
    <t>blister, 20 po 8 mg</t>
  </si>
  <si>
    <t>FUROSEMID BELUPO</t>
  </si>
  <si>
    <t>blister, 20 po 40 mg</t>
  </si>
  <si>
    <t>CONCOR COR</t>
  </si>
  <si>
    <t>Merck S.L; Merck KGaA&amp;Co.WERK SPITTAL; Merck KGaA</t>
  </si>
  <si>
    <t>SOBYCOR</t>
  </si>
  <si>
    <t>Krka tovarna Zdravil d.d.</t>
  </si>
  <si>
    <t>1104540</t>
  </si>
  <si>
    <t>PARAVANO</t>
  </si>
  <si>
    <t>Hemofarm A.D Vršac</t>
  </si>
  <si>
    <t>1104541</t>
  </si>
  <si>
    <t>1104542</t>
  </si>
  <si>
    <t>Malta</t>
  </si>
  <si>
    <t>C10AX09</t>
  </si>
  <si>
    <t>ezetimib</t>
  </si>
  <si>
    <t>EZOLETA</t>
  </si>
  <si>
    <t>ROJAZOL</t>
  </si>
  <si>
    <t>tuba, 1 po 30 g (20 mg/g)</t>
  </si>
  <si>
    <t>bočica staklena, 15 po (500mg + 125mg)</t>
  </si>
  <si>
    <t>1021610</t>
  </si>
  <si>
    <t>teglica, 10 po (875mg + 125mg)</t>
  </si>
  <si>
    <t xml:space="preserve">J01CR02 </t>
  </si>
  <si>
    <t>BETAKLAV</t>
  </si>
  <si>
    <t>1021600</t>
  </si>
  <si>
    <t>bočica staklena, 15 po 375 mg (250 mg + 125 mg)</t>
  </si>
  <si>
    <t>1021601</t>
  </si>
  <si>
    <t>bočica staklena, 20 po 625 mg (500 mg + 125 mg)</t>
  </si>
  <si>
    <t>1021607</t>
  </si>
  <si>
    <t>teglica, 14 po 1000 mg (875 mg + 125 mg)</t>
  </si>
  <si>
    <t>1021566</t>
  </si>
  <si>
    <t xml:space="preserve">AMOKSIKLAV 2X </t>
  </si>
  <si>
    <t>blister, 10 po 
(500 mg + 125 mg)</t>
  </si>
  <si>
    <t>1021567</t>
  </si>
  <si>
    <t>blister, 10 po
 (875 mg + 125 mg)</t>
  </si>
  <si>
    <t>1021560</t>
  </si>
  <si>
    <t xml:space="preserve">AMOKSIKLAV </t>
  </si>
  <si>
    <t>1021632</t>
  </si>
  <si>
    <t>14 po (875 mg + 125 mg)</t>
  </si>
  <si>
    <t>3321904</t>
  </si>
  <si>
    <t>J01DB05</t>
  </si>
  <si>
    <t>cefadroksil</t>
  </si>
  <si>
    <t>VALDOCEF</t>
  </si>
  <si>
    <t xml:space="preserve"> boca staklena, 1 po 100mL (250mg/5ml)</t>
  </si>
  <si>
    <t>1321976</t>
  </si>
  <si>
    <t>J01DC02</t>
  </si>
  <si>
    <t>cefuroksim</t>
  </si>
  <si>
    <t>CEROXIM</t>
  </si>
  <si>
    <t>1321977</t>
  </si>
  <si>
    <t>cefprozil</t>
  </si>
  <si>
    <t>1321620</t>
  </si>
  <si>
    <t>blister, 10 po 400 mg</t>
  </si>
  <si>
    <t>Alkaloid a.d. Skopje</t>
  </si>
  <si>
    <t>1321622</t>
  </si>
  <si>
    <t>blister, 5 po 400 mg</t>
  </si>
  <si>
    <t>1321521</t>
  </si>
  <si>
    <t>1321523</t>
  </si>
  <si>
    <t>1325300</t>
  </si>
  <si>
    <t>J01FA06</t>
  </si>
  <si>
    <t>roksitromicin</t>
  </si>
  <si>
    <t>ROXIMISAN</t>
  </si>
  <si>
    <t>blister, 10 po 150 mg</t>
  </si>
  <si>
    <t>2325625</t>
  </si>
  <si>
    <t>J01FA09</t>
  </si>
  <si>
    <t>klaritromicin</t>
  </si>
  <si>
    <t>KLACID</t>
  </si>
  <si>
    <t>boca, 1 po 60 ml (125 mg/5 ml)</t>
  </si>
  <si>
    <t>1325611</t>
  </si>
  <si>
    <t>FROMILID</t>
  </si>
  <si>
    <t>blister, 14 po 500 mg</t>
  </si>
  <si>
    <t>1325651</t>
  </si>
  <si>
    <t>FROMILID UNO</t>
  </si>
  <si>
    <t>blister, 7 po 500 mg</t>
  </si>
  <si>
    <t xml:space="preserve"> Krka, Tovarna Zdravil, d.d </t>
  </si>
  <si>
    <t>1325653</t>
  </si>
  <si>
    <t>1325525</t>
  </si>
  <si>
    <t>1325527</t>
  </si>
  <si>
    <t>KLACID MR</t>
  </si>
  <si>
    <t>1325480</t>
  </si>
  <si>
    <t>blister, 6 po 250 mg</t>
  </si>
  <si>
    <t>1325482</t>
  </si>
  <si>
    <t>blister, 3 po 500 mg</t>
  </si>
  <si>
    <t>1325470</t>
  </si>
  <si>
    <t>SUMAMED KAPSULE</t>
  </si>
  <si>
    <t>1325472</t>
  </si>
  <si>
    <t>1325541</t>
  </si>
  <si>
    <t>AZIBIOT</t>
  </si>
  <si>
    <t>1326226</t>
  </si>
  <si>
    <t>J01FF01</t>
  </si>
  <si>
    <t>klindamicin</t>
  </si>
  <si>
    <t>CLINDAMYCIN-MIP</t>
  </si>
  <si>
    <t>blister, 12 po 300 mg</t>
  </si>
  <si>
    <t>1326228</t>
  </si>
  <si>
    <t>blister, 12 po 600 mg</t>
  </si>
  <si>
    <t>1326222</t>
  </si>
  <si>
    <t>blister, 30 po 600 mg</t>
  </si>
  <si>
    <t>BRUFEN</t>
  </si>
  <si>
    <t xml:space="preserve"> Krka Polska Spolka z.o.o.</t>
  </si>
  <si>
    <t>N05AX12</t>
  </si>
  <si>
    <t>aripiprazol</t>
  </si>
  <si>
    <t>TREFERO</t>
  </si>
  <si>
    <t>Hemofarm a.d  Vršac</t>
  </si>
  <si>
    <t>30 po 10 mg</t>
  </si>
  <si>
    <t>BIPODIS</t>
  </si>
  <si>
    <t>MOMENSA</t>
  </si>
  <si>
    <t xml:space="preserve">bočica,  1 po 140 doza (50 mcg/doza) </t>
  </si>
  <si>
    <t>7114673</t>
  </si>
  <si>
    <t>salmeterol, flutikazon</t>
  </si>
  <si>
    <t>AIRFLUSAL FORSPIRO</t>
  </si>
  <si>
    <t>7114674</t>
  </si>
  <si>
    <t>R06AE07</t>
  </si>
  <si>
    <t>cetirizin</t>
  </si>
  <si>
    <t xml:space="preserve">Slaviamed d.o.o </t>
  </si>
  <si>
    <t>R06AE09</t>
  </si>
  <si>
    <t>levocetirizin</t>
  </si>
  <si>
    <t>ROBENAN</t>
  </si>
  <si>
    <t>5mg</t>
  </si>
  <si>
    <t>3058278</t>
  </si>
  <si>
    <t>R06AX27</t>
  </si>
  <si>
    <t>desloratadin</t>
  </si>
  <si>
    <t>AEROGAL</t>
  </si>
  <si>
    <t>Galenika AD</t>
  </si>
  <si>
    <t>LATANOX</t>
  </si>
  <si>
    <t>Jadran galenski laboratorij d.d</t>
  </si>
  <si>
    <t>LATANDROPS</t>
  </si>
  <si>
    <t>Vianex S.A-Plant  A'</t>
  </si>
  <si>
    <t>N003897</t>
  </si>
  <si>
    <t xml:space="preserve">BIOPROCEL I PROCEL </t>
  </si>
  <si>
    <t>Aroma začini d.o.o. Prehrambena industrija</t>
  </si>
  <si>
    <t>Rafarm S.A</t>
  </si>
  <si>
    <t>boca steklena, 1 po 100 ml (100 mg/5 ml)</t>
  </si>
  <si>
    <t>boca staklena, 1 po 60 ml (100 mg/5 ml)</t>
  </si>
  <si>
    <t>Krka Polska Spolka z.o.o.;
Krka, tovarna zdravil, d.d.</t>
  </si>
  <si>
    <t>Poljska;
Slovenija</t>
  </si>
  <si>
    <t xml:space="preserve"> Actavis Ltd.</t>
  </si>
  <si>
    <t>1045084</t>
  </si>
  <si>
    <t>MINIRIN MELT</t>
  </si>
  <si>
    <t>oralni liofilizat</t>
  </si>
  <si>
    <t>blister, 30 po 60 mcg</t>
  </si>
  <si>
    <t>Ferring GmbH</t>
  </si>
  <si>
    <t>240 mcg</t>
  </si>
  <si>
    <t>1045082</t>
  </si>
  <si>
    <t>blister, 30 po 120 mcg</t>
  </si>
  <si>
    <t>J05AR03</t>
  </si>
  <si>
    <t>tenofovir, emtricitabin</t>
  </si>
  <si>
    <t>TRUVADA</t>
  </si>
  <si>
    <t>boca, 30 po (245mg+200mg)</t>
  </si>
  <si>
    <t>1328659</t>
  </si>
  <si>
    <t>dolutegravir</t>
  </si>
  <si>
    <t>TIVICAY</t>
  </si>
  <si>
    <t>Glaxo Wellcome S.A.</t>
  </si>
  <si>
    <t>NUROFEN JUNIOR NARANDŽA</t>
  </si>
  <si>
    <t>R03AK10</t>
  </si>
  <si>
    <t>vilanterol, flutikazonfuroat</t>
  </si>
  <si>
    <t>RELVAR ELLIPTA</t>
  </si>
  <si>
    <t>inhaler, 1 po 30 doza (22mcg+92mcg)</t>
  </si>
  <si>
    <t>1 doza</t>
  </si>
  <si>
    <t>7114006</t>
  </si>
  <si>
    <t>inhaler, 1 po 30 doza (22mcg+184mcg)</t>
  </si>
  <si>
    <t>boca staklena, 1 po 100 ml (250 mg/5 ml)</t>
  </si>
  <si>
    <t>Andersonbrecon (UK) Ltd.;
PharmaSwiss d.o.o. Ljubljana</t>
  </si>
  <si>
    <t>Velika Britanija;
Slovenija</t>
  </si>
  <si>
    <t>Galenika AD Beograd</t>
  </si>
  <si>
    <t>boca, 100 po 500 mg</t>
  </si>
  <si>
    <t>1124533</t>
  </si>
  <si>
    <t>2053247</t>
  </si>
  <si>
    <t>3021569</t>
  </si>
  <si>
    <t>1321950</t>
  </si>
  <si>
    <t>1328442</t>
  </si>
  <si>
    <t>3058053</t>
  </si>
  <si>
    <t>C02KX01</t>
  </si>
  <si>
    <t>bosentan</t>
  </si>
  <si>
    <t>Rumunija</t>
  </si>
  <si>
    <t>1103432</t>
  </si>
  <si>
    <t>7114714</t>
  </si>
  <si>
    <t>DUORESP SPIROMAX</t>
  </si>
  <si>
    <t>inhaler, 1 po 120 doza (4,5mcg/doza + 160mcg/doza)</t>
  </si>
  <si>
    <t>7114713</t>
  </si>
  <si>
    <t>inhaler, 1 po 60  doza (9mcg/doza + 320mcg/doza)</t>
  </si>
  <si>
    <t>Alkaloid AD Skopje</t>
  </si>
  <si>
    <t>1121163</t>
  </si>
  <si>
    <t>KREON 25000</t>
  </si>
  <si>
    <t>kutija, 20 po 300 mg</t>
  </si>
  <si>
    <t>Abbott Laboratories GmbH</t>
  </si>
  <si>
    <t>PRAGIOLA</t>
  </si>
  <si>
    <t>kapsula tvrda</t>
  </si>
  <si>
    <t>Slovenija, Nemačka</t>
  </si>
  <si>
    <t>1084105</t>
  </si>
  <si>
    <t>1084108</t>
  </si>
  <si>
    <t>1084134</t>
  </si>
  <si>
    <t>blister, 56 po 150 mg</t>
  </si>
  <si>
    <t>1084143</t>
  </si>
  <si>
    <t>BLOKMAX ZA DECU</t>
  </si>
  <si>
    <t>1107501</t>
  </si>
  <si>
    <t>BISOPROLOL ATB</t>
  </si>
  <si>
    <t>S.C. Antibiotice S.A.</t>
  </si>
  <si>
    <t>1107502</t>
  </si>
  <si>
    <t>1103873</t>
  </si>
  <si>
    <t>LIZINOPRIL ATB</t>
  </si>
  <si>
    <t>1103874</t>
  </si>
  <si>
    <t>EPRI</t>
  </si>
  <si>
    <t>1104667</t>
  </si>
  <si>
    <t>1321124</t>
  </si>
  <si>
    <t>CEFALEXIN REMEDICA</t>
  </si>
  <si>
    <t>1021912</t>
  </si>
  <si>
    <t>AMOXICILLIN REMEDICA</t>
  </si>
  <si>
    <t>7114610</t>
  </si>
  <si>
    <t>formoterol, budesonid</t>
  </si>
  <si>
    <t>1058047</t>
  </si>
  <si>
    <t>XYZAL</t>
  </si>
  <si>
    <t>Aesica Pharmaceuticals S.R.L</t>
  </si>
  <si>
    <t>1026131</t>
  </si>
  <si>
    <t>ESBESUL</t>
  </si>
  <si>
    <t>Bosnalijek DD</t>
  </si>
  <si>
    <t>1107062</t>
  </si>
  <si>
    <t>1084742</t>
  </si>
  <si>
    <t>Aleksandrija Fruška gora d.o.o.</t>
  </si>
  <si>
    <t>GILESTRA</t>
  </si>
  <si>
    <t>boca plastična, 30 po 245 mg</t>
  </si>
  <si>
    <t>Remedica LTD</t>
  </si>
  <si>
    <t>GILESTRA DUO</t>
  </si>
  <si>
    <t>Krka D.D.</t>
  </si>
  <si>
    <t>Haupt Pharma Amareg GmbH;
PharmaSwiss d.o.o.</t>
  </si>
  <si>
    <t>Nemačka;
Slovenija</t>
  </si>
  <si>
    <t>R03AL01</t>
  </si>
  <si>
    <t>AMINOFILIN RETARD</t>
  </si>
  <si>
    <t>ZINNAT</t>
  </si>
  <si>
    <t>Galenika a.d Beograd</t>
  </si>
  <si>
    <t xml:space="preserve">Lilly France;
 Eli Lilly Italia S.P.A. </t>
  </si>
  <si>
    <t>PREMIUM UNIVERZAL MIX</t>
  </si>
  <si>
    <t>Sopharma AD</t>
  </si>
  <si>
    <t>XALATAN</t>
  </si>
  <si>
    <t xml:space="preserve">flutikazon </t>
  </si>
  <si>
    <t>CIPROFLOXACIN  REMEDICA</t>
  </si>
  <si>
    <t>KLONAZEPAM REMEDICA</t>
  </si>
  <si>
    <t>boca staklena,1 po 10 ml (5 mg/ml)</t>
  </si>
  <si>
    <t>N003939</t>
  </si>
  <si>
    <t>blister, 50 po 250 mg</t>
  </si>
  <si>
    <t xml:space="preserve"> blister, 40 po 25 mg</t>
  </si>
  <si>
    <t xml:space="preserve"> blister, 40 po 50 mg</t>
  </si>
  <si>
    <t>blister, 20 po 400 mg</t>
  </si>
  <si>
    <t>Remedica Ltd.;
Rontis Hellas Medical and Pharmaceutical Products S.A.</t>
  </si>
  <si>
    <t>Kipar;
Grčka</t>
  </si>
  <si>
    <t>Recipharm Uppsala AB</t>
  </si>
  <si>
    <t>ABASAGLAR</t>
  </si>
  <si>
    <t>uložak, 5 po 3 ml (100 j./ml)</t>
  </si>
  <si>
    <t>Lilly France</t>
  </si>
  <si>
    <t>40 i.j</t>
  </si>
  <si>
    <t>0041667</t>
  </si>
  <si>
    <t>DIGOXICOR</t>
  </si>
  <si>
    <t>blister, 50 po 0,25 mg</t>
  </si>
  <si>
    <t>Sopharma Pharmaceuticals AD</t>
  </si>
  <si>
    <t>NITROGLICERIN UNION</t>
  </si>
  <si>
    <t>MOLICOR</t>
  </si>
  <si>
    <t>blister, 14 po 100 mg</t>
  </si>
  <si>
    <t>ENALAPRIL REMEDICA</t>
  </si>
  <si>
    <t>HYPOLIP</t>
  </si>
  <si>
    <t>EZACT</t>
  </si>
  <si>
    <t>J05AR13</t>
  </si>
  <si>
    <t>lamivudin, abakavir, dolutegravir</t>
  </si>
  <si>
    <t>TRIUMEQ</t>
  </si>
  <si>
    <t>J05AR14</t>
  </si>
  <si>
    <t>darunavir, kobicistat</t>
  </si>
  <si>
    <t>REZOLSTA</t>
  </si>
  <si>
    <t>bočica plastična, 30  po (800mg+150mg)</t>
  </si>
  <si>
    <t>Janssen-Cilag S.P.A</t>
  </si>
  <si>
    <t>ZYLAXERA</t>
  </si>
  <si>
    <t>Krka, Tovarna Zdravil, d.d; TAD Pharma Gmbh</t>
  </si>
  <si>
    <t>Slovenija; Nemačka</t>
  </si>
  <si>
    <t>15 mg</t>
  </si>
  <si>
    <t>1070132</t>
  </si>
  <si>
    <t>1070134</t>
  </si>
  <si>
    <t>30 po 15 mg</t>
  </si>
  <si>
    <t>1070136</t>
  </si>
  <si>
    <t>30 po 30 mg</t>
  </si>
  <si>
    <t>AZOLAR</t>
  </si>
  <si>
    <t>1058050</t>
  </si>
  <si>
    <t>boca staklena, 1 po 200ml (0.5mg/ml)</t>
  </si>
  <si>
    <t xml:space="preserve">Aesica Pharmaceuticals S.R.L </t>
  </si>
  <si>
    <t>N003954</t>
  </si>
  <si>
    <t>APTAMIL ALLERGY DIGESTIVE CARE</t>
  </si>
  <si>
    <t>limenka, 400g</t>
  </si>
  <si>
    <t>Nutricia Cuijk B.V.</t>
  </si>
  <si>
    <t>boca staklena, 5mg/5ml, 200ml</t>
  </si>
  <si>
    <t>bočica staklena, 1 po 60 ml (0.5 mg/ml )</t>
  </si>
  <si>
    <t>1321900</t>
  </si>
  <si>
    <t>kesica, 5 po 75 mcg/h (5 po 12,6 mg)</t>
  </si>
  <si>
    <t>boca plastična, 30 po 18 mg</t>
  </si>
  <si>
    <t>boca plastična, 30 po 36 mg</t>
  </si>
  <si>
    <t>bočica sa kapaljkom, 1 po 5ml, (5mg/ml+20mg/ml)</t>
  </si>
  <si>
    <t>FUROSEMIDUM POLFARMEX</t>
  </si>
  <si>
    <t>Polfarmex S.A.</t>
  </si>
  <si>
    <t>AKSEF</t>
  </si>
  <si>
    <t>Nobel Ilac Sanayii ve Ticaret A.S.</t>
  </si>
  <si>
    <t>Union-Medic d.o.o Novi Sad</t>
  </si>
  <si>
    <t>CASCATA</t>
  </si>
  <si>
    <t>blister, 56 po 62,5 mg</t>
  </si>
  <si>
    <t>Hemofarm AD Vršac</t>
  </si>
  <si>
    <t>blister, 56 po 125 mg</t>
  </si>
  <si>
    <t>ROSUVASTATIN ATB</t>
  </si>
  <si>
    <t>FIUMIN</t>
  </si>
  <si>
    <t>FORTECORTIN</t>
  </si>
  <si>
    <t>Merck KGaA &amp; CO. Werk Spittal</t>
  </si>
  <si>
    <t>blister deljiv na pojedinačne doze, 56 po 75 mg</t>
  </si>
  <si>
    <t>blister deljiv na pojedinačne doze, 56 po 150 mg</t>
  </si>
  <si>
    <t>UNILAT</t>
  </si>
  <si>
    <t>bočica sa kapaljkom 1 po 2,5 ml (50 mcg/ml)</t>
  </si>
  <si>
    <t>Slovačka</t>
  </si>
  <si>
    <t>bočica plastična, 30 po 50 mg</t>
  </si>
  <si>
    <t>30 po 2,5 mg</t>
  </si>
  <si>
    <t>blister, 30 po 1,25 mg</t>
  </si>
  <si>
    <t xml:space="preserve"> Krka Polska SP. Z.O.O.</t>
  </si>
  <si>
    <t>Facta Farmaceutici S.P.A.</t>
  </si>
  <si>
    <t>Pencef Pharma GMBH</t>
  </si>
  <si>
    <t>DOKSICIKLIN HF</t>
  </si>
  <si>
    <t>ERITROMICIN HF</t>
  </si>
  <si>
    <t>HALOPERIDOL HF</t>
  </si>
  <si>
    <t>LAKTULOZA RP</t>
  </si>
  <si>
    <t>norgestrel, estradiolvalerat</t>
  </si>
  <si>
    <t>Excella GmbH &amp; CO.KG</t>
  </si>
  <si>
    <t xml:space="preserve">Novartis Pharma GmbH </t>
  </si>
  <si>
    <t>Galenika a.d. Beograd</t>
  </si>
  <si>
    <t xml:space="preserve">Galenika a.d </t>
  </si>
  <si>
    <t>tuba, 1 po 5 g (2,5%)</t>
  </si>
  <si>
    <t>boca staklena, 1 po 250 ml (100 mg/5 ml)</t>
  </si>
  <si>
    <t>1100252</t>
  </si>
  <si>
    <t>1100254</t>
  </si>
  <si>
    <t>1101130</t>
  </si>
  <si>
    <t>1101131</t>
  </si>
  <si>
    <t>1101402</t>
  </si>
  <si>
    <t>1102102</t>
  </si>
  <si>
    <t>1102060</t>
  </si>
  <si>
    <t>1102082</t>
  </si>
  <si>
    <t>1102450</t>
  </si>
  <si>
    <t>1102452</t>
  </si>
  <si>
    <t>1102302</t>
  </si>
  <si>
    <t>1102300</t>
  </si>
  <si>
    <t>1102520</t>
  </si>
  <si>
    <t>1102519</t>
  </si>
  <si>
    <t>1103379</t>
  </si>
  <si>
    <t>1103378</t>
  </si>
  <si>
    <t>1400410</t>
  </si>
  <si>
    <t>1400473</t>
  </si>
  <si>
    <t>1400001</t>
  </si>
  <si>
    <t>1400041</t>
  </si>
  <si>
    <t>1400440</t>
  </si>
  <si>
    <t>1400441</t>
  </si>
  <si>
    <t>1400400</t>
  </si>
  <si>
    <t>1107183</t>
  </si>
  <si>
    <t>1107496</t>
  </si>
  <si>
    <t>1107750</t>
  </si>
  <si>
    <t>1107751</t>
  </si>
  <si>
    <t>1107170</t>
  </si>
  <si>
    <t>1107605</t>
  </si>
  <si>
    <t>1107060</t>
  </si>
  <si>
    <t>1107061</t>
  </si>
  <si>
    <t>1402139</t>
  </si>
  <si>
    <t>1402142</t>
  </si>
  <si>
    <t>1103578</t>
  </si>
  <si>
    <t>1103579</t>
  </si>
  <si>
    <t>1103200</t>
  </si>
  <si>
    <t>1103202</t>
  </si>
  <si>
    <t>1103026</t>
  </si>
  <si>
    <t>1103025</t>
  </si>
  <si>
    <t>1401175</t>
  </si>
  <si>
    <t>1401130</t>
  </si>
  <si>
    <t>1103028</t>
  </si>
  <si>
    <t>1103027</t>
  </si>
  <si>
    <t>1104787</t>
  </si>
  <si>
    <t>1104788</t>
  </si>
  <si>
    <t>1104789</t>
  </si>
  <si>
    <t>1104735</t>
  </si>
  <si>
    <t>1104666</t>
  </si>
  <si>
    <t>1104381</t>
  </si>
  <si>
    <t>1104380</t>
  </si>
  <si>
    <t>1104480</t>
  </si>
  <si>
    <t>1104477</t>
  </si>
  <si>
    <t>4137000</t>
  </si>
  <si>
    <t>1139800</t>
  </si>
  <si>
    <t>1139117</t>
  </si>
  <si>
    <t>1047144</t>
  </si>
  <si>
    <t>1047145</t>
  </si>
  <si>
    <t>1040190</t>
  </si>
  <si>
    <t>0341340</t>
  </si>
  <si>
    <t>1021611</t>
  </si>
  <si>
    <t>1321956</t>
  </si>
  <si>
    <t>1321807</t>
  </si>
  <si>
    <t>1132181</t>
  </si>
  <si>
    <t>1328501</t>
  </si>
  <si>
    <t>1328502</t>
  </si>
  <si>
    <t>1328666</t>
  </si>
  <si>
    <t>1328613</t>
  </si>
  <si>
    <t>1030222</t>
  </si>
  <si>
    <t>1039285</t>
  </si>
  <si>
    <t>3048912</t>
  </si>
  <si>
    <t>1039395</t>
  </si>
  <si>
    <t>1039390</t>
  </si>
  <si>
    <t>1039377</t>
  </si>
  <si>
    <t>1014083</t>
  </si>
  <si>
    <t>1014260</t>
  </si>
  <si>
    <t>1014261</t>
  </si>
  <si>
    <t>1014270</t>
  </si>
  <si>
    <t>1014990</t>
  </si>
  <si>
    <t>1014992</t>
  </si>
  <si>
    <t>1014991</t>
  </si>
  <si>
    <t>3014999</t>
  </si>
  <si>
    <t>1014250</t>
  </si>
  <si>
    <t>1014251</t>
  </si>
  <si>
    <t>1014252</t>
  </si>
  <si>
    <t>1014020</t>
  </si>
  <si>
    <t>1034330</t>
  </si>
  <si>
    <t>3162033</t>
  </si>
  <si>
    <t>3162001</t>
  </si>
  <si>
    <t>3162101</t>
  </si>
  <si>
    <t>3162089</t>
  </si>
  <si>
    <t>3162328</t>
  </si>
  <si>
    <t>1165122</t>
  </si>
  <si>
    <t>1165121</t>
  </si>
  <si>
    <t>1168089</t>
  </si>
  <si>
    <t>9087565</t>
  </si>
  <si>
    <t>9087566</t>
  </si>
  <si>
    <t>9087567</t>
  </si>
  <si>
    <t>1087530</t>
  </si>
  <si>
    <t>1084210</t>
  </si>
  <si>
    <t>1084521</t>
  </si>
  <si>
    <t>3084513</t>
  </si>
  <si>
    <t>1084402</t>
  </si>
  <si>
    <t>1084070</t>
  </si>
  <si>
    <t>1084060</t>
  </si>
  <si>
    <t>3084532</t>
  </si>
  <si>
    <t>1084530</t>
  </si>
  <si>
    <t>3084501</t>
  </si>
  <si>
    <t>1084500</t>
  </si>
  <si>
    <t>1084550</t>
  </si>
  <si>
    <t>1084551</t>
  </si>
  <si>
    <t>1084552</t>
  </si>
  <si>
    <t>1084080</t>
  </si>
  <si>
    <t>1084081</t>
  </si>
  <si>
    <t>1084082</t>
  </si>
  <si>
    <t>1084083</t>
  </si>
  <si>
    <t>1084230</t>
  </si>
  <si>
    <t>1084231</t>
  </si>
  <si>
    <t>1084232</t>
  </si>
  <si>
    <t>1084233</t>
  </si>
  <si>
    <t>1084700</t>
  </si>
  <si>
    <t>1084701</t>
  </si>
  <si>
    <t>1084702</t>
  </si>
  <si>
    <t>1084832</t>
  </si>
  <si>
    <t>1084833</t>
  </si>
  <si>
    <t>1084518</t>
  </si>
  <si>
    <t>1084517</t>
  </si>
  <si>
    <t>1084519</t>
  </si>
  <si>
    <t>1084841</t>
  </si>
  <si>
    <t>1084842</t>
  </si>
  <si>
    <t>1084300</t>
  </si>
  <si>
    <t>1084144</t>
  </si>
  <si>
    <t>1084145</t>
  </si>
  <si>
    <t>1085320</t>
  </si>
  <si>
    <t>1085212</t>
  </si>
  <si>
    <t>1085307</t>
  </si>
  <si>
    <t>1085350</t>
  </si>
  <si>
    <t>1149040</t>
  </si>
  <si>
    <t>1070056</t>
  </si>
  <si>
    <t>1070850</t>
  </si>
  <si>
    <t>1070851</t>
  </si>
  <si>
    <t>1070254</t>
  </si>
  <si>
    <t>1070256</t>
  </si>
  <si>
    <t>1070841</t>
  </si>
  <si>
    <t>1070840</t>
  </si>
  <si>
    <t>1070800</t>
  </si>
  <si>
    <t>1070801</t>
  </si>
  <si>
    <t>1070202</t>
  </si>
  <si>
    <t>1070005</t>
  </si>
  <si>
    <t>1070008</t>
  </si>
  <si>
    <t>1070923</t>
  </si>
  <si>
    <t>1070935</t>
  </si>
  <si>
    <t>1070928</t>
  </si>
  <si>
    <t>1070929</t>
  </si>
  <si>
    <t>2070924</t>
  </si>
  <si>
    <t>1070101</t>
  </si>
  <si>
    <t>1070103</t>
  </si>
  <si>
    <t>1070044</t>
  </si>
  <si>
    <t>1070045</t>
  </si>
  <si>
    <t>1070046</t>
  </si>
  <si>
    <t>1070130</t>
  </si>
  <si>
    <t>1070170</t>
  </si>
  <si>
    <t>1070171</t>
  </si>
  <si>
    <t>1071121</t>
  </si>
  <si>
    <t>1071122</t>
  </si>
  <si>
    <t>1071701</t>
  </si>
  <si>
    <t>1071702</t>
  </si>
  <si>
    <t>1072730</t>
  </si>
  <si>
    <t>1072731</t>
  </si>
  <si>
    <t>1072700</t>
  </si>
  <si>
    <t>1072930</t>
  </si>
  <si>
    <t>1072724</t>
  </si>
  <si>
    <t>1072723</t>
  </si>
  <si>
    <t>1072636</t>
  </si>
  <si>
    <t>1072628</t>
  </si>
  <si>
    <t>1072000</t>
  </si>
  <si>
    <t>1072001</t>
  </si>
  <si>
    <t>1072003</t>
  </si>
  <si>
    <t>1088055</t>
  </si>
  <si>
    <t>1075091</t>
  </si>
  <si>
    <t>2087310</t>
  </si>
  <si>
    <t>1029082</t>
  </si>
  <si>
    <t>3028300</t>
  </si>
  <si>
    <t>7110313</t>
  </si>
  <si>
    <t>7110033</t>
  </si>
  <si>
    <t>7114462</t>
  </si>
  <si>
    <t>7114550</t>
  </si>
  <si>
    <t>7114591</t>
  </si>
  <si>
    <t>7114725</t>
  </si>
  <si>
    <t>7114129</t>
  </si>
  <si>
    <t>7114670</t>
  </si>
  <si>
    <t>7114671</t>
  </si>
  <si>
    <t>7114672</t>
  </si>
  <si>
    <t>7114710</t>
  </si>
  <si>
    <t>7114711</t>
  </si>
  <si>
    <t>7114712</t>
  </si>
  <si>
    <t>7114005</t>
  </si>
  <si>
    <t>7114562</t>
  </si>
  <si>
    <t>7114572</t>
  </si>
  <si>
    <t>7114597</t>
  </si>
  <si>
    <t>7114595</t>
  </si>
  <si>
    <t>7114596</t>
  </si>
  <si>
    <t>3114460</t>
  </si>
  <si>
    <t>1114461</t>
  </si>
  <si>
    <t>1114220</t>
  </si>
  <si>
    <t>1114221</t>
  </si>
  <si>
    <t>1114293</t>
  </si>
  <si>
    <t>1114640</t>
  </si>
  <si>
    <t>1114643</t>
  </si>
  <si>
    <t>7112250</t>
  </si>
  <si>
    <t>1058318</t>
  </si>
  <si>
    <t>1058317</t>
  </si>
  <si>
    <t>2058048</t>
  </si>
  <si>
    <t>4090121</t>
  </si>
  <si>
    <t>4090816</t>
  </si>
  <si>
    <t>7090801</t>
  </si>
  <si>
    <t>7090010</t>
  </si>
  <si>
    <t>4090620</t>
  </si>
  <si>
    <t>7094033</t>
  </si>
  <si>
    <t>7093020</t>
  </si>
  <si>
    <t>7099172</t>
  </si>
  <si>
    <t>7096052</t>
  </si>
  <si>
    <t>7099141</t>
  </si>
  <si>
    <t>7099149</t>
  </si>
  <si>
    <t>7099148</t>
  </si>
  <si>
    <t>7099002</t>
  </si>
  <si>
    <t>7099140</t>
  </si>
  <si>
    <t>7099155</t>
  </si>
  <si>
    <t>1014081</t>
  </si>
  <si>
    <t>boca staklena, 1 po 70 ml (125mg/5ml)</t>
  </si>
  <si>
    <t>boca staklena, 1 po 70 ml (250mg/5ml)</t>
  </si>
  <si>
    <t xml:space="preserve"> J01DC02</t>
  </si>
  <si>
    <t>N02AA05</t>
  </si>
  <si>
    <t>oksikodon</t>
  </si>
  <si>
    <t>CODEXY</t>
  </si>
  <si>
    <t>J05AR08</t>
  </si>
  <si>
    <t>EVIPLERA</t>
  </si>
  <si>
    <t>boca plastična, 30 po (200mg + 245mg + 25mg)</t>
  </si>
  <si>
    <t>Gilead Sciences Ireland UC</t>
  </si>
  <si>
    <t>N02AA55</t>
  </si>
  <si>
    <t>oksikodon, nalokson</t>
  </si>
  <si>
    <t>TARGINACT</t>
  </si>
  <si>
    <t>Mundipharmab GmBH; Bard Pharmaceuticals Limited</t>
  </si>
  <si>
    <t>Nemačka, Velika Britanija</t>
  </si>
  <si>
    <t>Alkaloid a.d. u saradnji sa Sanofi-Aventis, Francuska</t>
  </si>
  <si>
    <t>blister, 1 po 21 (0,5 mg + 2 mg; 2 mg)</t>
  </si>
  <si>
    <t>GINO-DAKTANOL</t>
  </si>
  <si>
    <t>boca plastična, 1 po 500 ml (66,7 g/100 ml)</t>
  </si>
  <si>
    <t>strip, 7 po 200 mg</t>
  </si>
  <si>
    <t>prašak i rastvarač za rastvor za injekciju u napunjenom injekcionom penu</t>
  </si>
  <si>
    <t xml:space="preserve"> blister, 50 po 40 mg</t>
  </si>
  <si>
    <t xml:space="preserve"> blister, 28 po 2,5 mg</t>
  </si>
  <si>
    <t xml:space="preserve"> blister, 28 po 5 mg</t>
  </si>
  <si>
    <t>strip, 10 po 500 mg</t>
  </si>
  <si>
    <t>boca staklena, 1 po 50 ml (100 mg/ml)</t>
  </si>
  <si>
    <t>blister, 30 po 350 mg</t>
  </si>
  <si>
    <t>Novartis Pharma Stein AG; Novartis  Pharma GmbH</t>
  </si>
  <si>
    <t>Švajcarska; Nemačka</t>
  </si>
  <si>
    <t>Novartis Pharma Stein AG; Novartis  Farma S.P.A.</t>
  </si>
  <si>
    <t>Švajcarska; Italija</t>
  </si>
  <si>
    <t>Indikacija</t>
  </si>
  <si>
    <t>Napomena</t>
  </si>
  <si>
    <t xml:space="preserve">  Zollinger Elisonov sindrom trajno (E16.8).   </t>
  </si>
  <si>
    <t>Lek se u terapiju uvodi na osnovu mišljenja gastroenterologa ili endokrinologa na osnovu patohistološkog nalaza.</t>
  </si>
  <si>
    <t xml:space="preserve">  Lek se u terapiju uvodi na osnovu mišljenja gastroenterologa ili endokrinologa na osnovu patohistološkog nalaza.</t>
  </si>
  <si>
    <t xml:space="preserve"> Za suzbijanje mučnine i povraćanja uz radio i hemioterapiju.</t>
  </si>
  <si>
    <t xml:space="preserve">  1. Primarna bilijarna ciroza dijagnostikovana u zdravstvenoj ustanovi koja obavlja zdravstvenu delatnost na tercijarnom nivou zdravstvene zaštite  (K74.3)</t>
  </si>
  <si>
    <t xml:space="preserve">  Lek se  u terapiju uvodi na osnovu mišljenja gastroenterologa ili infektologa/hepatologa.</t>
  </si>
  <si>
    <t xml:space="preserve"> Za indikaciju pod tačkom 1. lek se u terapiju uvodi na osnovu mišljenja gastroenterologa ili infektologa/hepatologa.</t>
  </si>
  <si>
    <t xml:space="preserve">  Za indikaciju pod tačkom 1. lek se u terapiju uvodi na osnovu mišljenja gastroenterologa ili infektologa/hepatologa.</t>
  </si>
  <si>
    <t xml:space="preserve">  1. Crohnova bolest (K50),
  2. Ulcerozni kolitis (K51). </t>
  </si>
  <si>
    <t xml:space="preserve">   Za  indikacije pod tačkom 1. i 2.  lek se u terapiju uvodi na osnovu mišljenja gastroenterologa.</t>
  </si>
  <si>
    <t>1. Poremećaj egzokrine funkcije pankreasa uzrokovan cističnom fibrozom (E84).
2. Steatorrhoea pancreatica (K90.3), dokazana odgovarajućim dijagnostičkim testom, kvalitativnim ili kvantitativnim ili odgovarajućim morfološkim vizuelizacionim metodama, uz pothranjenost pacijenta (ITM &lt; 20).</t>
  </si>
  <si>
    <t>Za indikaciju pod tačkom 1. lek se uvodi u terapiju na osnovu mišljenja pedijatra ili gastroenterologa ili pulmologa zdravstvene ustanove koja obavlja zdravstvenu delatnost na tercijarnom nivou zdravstvene zaštite, a za indikaciju pod tačkom 2. lek se uvodi u terapiju na osnovu mišljenja gastroenterologa.</t>
  </si>
  <si>
    <t>Lek se u terapiju uvodi na osnovu mišljenja endokrinologa ili interniste ili pedijatra.</t>
  </si>
  <si>
    <t>Pacijenti na  terapiji  subkutanom insulinskom infuzijom pomoću insulinske pumpe, na osnovu mišljenja  endokrinologa ili interniste ili pedijatra.</t>
  </si>
  <si>
    <t xml:space="preserve"> Lek se u terapiju uvodi na osnovu mišljenja endokrinologa ili interniste ili pedijatra.</t>
  </si>
  <si>
    <t>Uz diuretike Henleove petlje, nakon bolničkog lečenja, na osnovu mišljenja iz otpusne liste i kod preosetljivosti ili kontraindikacije na spironolakton.</t>
  </si>
  <si>
    <t>Lek se u terapiju uvodi na osnovu mišljenja interniste ili ginekologa.</t>
  </si>
  <si>
    <t xml:space="preserve">  Lek se u terapiju uvodi na osnovu mišljenja interniste ili kardiologa.</t>
  </si>
  <si>
    <t xml:space="preserve">  Hipertenzija u trudnoći (O10; O11; O13-O15).</t>
  </si>
  <si>
    <t xml:space="preserve">  Lek se u terapiju uvodi na osnovu mišljenja interniste ili kardiologa ili ginekologa.</t>
  </si>
  <si>
    <t>Terapija stanja koja se karakterišu retencijom tečnosti i za terapiju blage do umerene hipertenzije bilo kao monoterapija ili kao adjuvantna terapija.</t>
  </si>
  <si>
    <t xml:space="preserve">  Srčana insuficijencija (I50).    </t>
  </si>
  <si>
    <t xml:space="preserve">  Lek se uvodi u terapiju na osnovu mišljenja kardiologa.</t>
  </si>
  <si>
    <t>Za lečenje esencijalne arterijske hipertenzije (I10) ukoliko se tromesečno lečenje pojedinačnim lekovima koji se koriste za lečenje hipertenzije, uključujući lečenje sa više pojedinačnih lekova istovremeno, pokazalo nedovoljno efikasno.</t>
  </si>
  <si>
    <t xml:space="preserve">  1. Angina pektoris (I20),
  2. Arterijska hipertenzija ( I10; I11; I12; I13; I15  ).</t>
  </si>
  <si>
    <t xml:space="preserve"> Za lečenje arterijske hipertenzije ( I10 i I11 ) ukoliko se tromesečno lečenje pojedinačnim lekovima koji se koriste za lečenje hipertenzije, uključujući lečenje sa više pojedinačnih lekova istovremeno, pokazalo nedovoljno efikasno.</t>
  </si>
  <si>
    <t>Za lečenje arterijske hipertenzije ( I10 i I11 ) ukoliko se tromesečno lečenje pojedinačnim lekovima koji se koriste za lečenje hipertenzije, uključujući lečenje sa više pojedinačnih lekova istovremeno, pokazalo nedovoljno efikasno.</t>
  </si>
  <si>
    <t xml:space="preserve"> Porodična forma hiperlipidemije ( E78.4 ).       </t>
  </si>
  <si>
    <t xml:space="preserve"> Porodična forma hiperlipidemije (E78.4).       </t>
  </si>
  <si>
    <t>Porodična forma hiperlipidemije (E78.4)</t>
  </si>
  <si>
    <t xml:space="preserve">  Atopijski dermatitis ( L20 ).</t>
  </si>
  <si>
    <t xml:space="preserve">Samo za decu. 
  Lek se uvodi u terapiju na osnovu mišljenja dermatologa  zdravstvene ustanove koja obavlja zdravstvenu delatnost na tercijarnom nivou.  </t>
  </si>
  <si>
    <t xml:space="preserve">  Vaginalna infekcija (N76). </t>
  </si>
  <si>
    <t xml:space="preserve">  Lek  se uvodi u terapiju na osnovu mišljenja ginekologa.</t>
  </si>
  <si>
    <t xml:space="preserve">  1. Neoznačen pobačaj (O06);
  2. Krvarenje posle porođaja (O72). </t>
  </si>
  <si>
    <t xml:space="preserve"> 1.  Primarni ili sekundarni sterilitet, usled parcijalne ili totalne progesteronske insuficijencije (N97);
 2.  Potpora  lutealne  faze u toku IVF kao i u  programu donacije oocita (N98);
 3.  Preteći pobačaj (O20.0);
 4.  Prevremeni  porođaj (O60).</t>
  </si>
  <si>
    <t xml:space="preserve">  Lek  se uvodi u terapiju na osnovu mišljenja urologa ili ginekologa ili endokrinologa.</t>
  </si>
  <si>
    <t xml:space="preserve">1. Primarna amenoreja (N91.0);
  2. Sekundarna amenoreja (N91.1). </t>
  </si>
  <si>
    <t>Lek  se uvodi u terapiju na osnovu mišljenja ginekologa ili endokrinologa.</t>
  </si>
  <si>
    <t>Organski i izuzetno funkcionalni hiperandrogenizam (N91.4 i L68.0).</t>
  </si>
  <si>
    <t xml:space="preserve"> Lek se uvodi u terapiju na osnovu mišljenja ginekologa  ili urologa ili endokrinologa zdravstvene ustanove koja obavlja zdravstvenu delatnost na sekundarnom nivou.</t>
  </si>
  <si>
    <t>Plućna hipertenzija (I27.0; I27.2)</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</si>
  <si>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 E23.0 ),
  4.  Deca rođena mala za određeno gestaciono doba ( SGA ), intrauterusni zastoj u rastenju ( P05.1 ).</t>
  </si>
  <si>
    <t xml:space="preserve">   Lek se u terapiju uvodi na osnovu mišljenja endokrinologa.</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</si>
  <si>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E23.0 ),
 4.  Deca rođena mala za određeno gestaciono doba ( SGA ), intrauterusni zastoj u rastenju ( P05.1 ), 
 5.  Prader - Willi sindrom ( Q87.1 ).</t>
  </si>
  <si>
    <t>Lek se u terapiju uvodi na osnovu mišljenja endokrinologa.</t>
  </si>
  <si>
    <t>Samo za decu</t>
  </si>
  <si>
    <t>1.  Infekcije gornjeg i donjeg respiratornog trakta ( J00- J06.8; J20; J32; J40; J41; J42 ),
 2.  Infekcije urogenitalnog trakta  ( N30, N34; N36; N37; N39 ),
 3.  Infekcije srednjeg uha ( H65; H66 ).</t>
  </si>
  <si>
    <t xml:space="preserve"> 1.  Infekcije gornjeg i donjeg respiratornog trakta (J00- J06.8; J20; J32; J40; J41; J42),
 2.  Infekcije urogenitalnog trakta  ( N30, N34; N36; N37; N39 ),
 3.  Infekcije srednjeg uha ( H65; H66 ).</t>
  </si>
  <si>
    <t>Samo za decu.</t>
  </si>
  <si>
    <t xml:space="preserve"> 1.  Infekcije gornjeg i donjeg respiratornog trakta (J00- J06.8; J20; J32; J40; J41; J42),
 2.  Infekcije urogenitalnog trakta  ( N30, N34; N36; N37; N39),
 3.  Infekcije srednjeg uha ( H65; H66 ).</t>
  </si>
  <si>
    <t xml:space="preserve"> 1.  Infekcije gornjeg i donjeg respiratornog trakta (J00- J06.8; J20; J32; J40; J41; J42),
 2.  Infekcije urogenitalnog trakta  (N30, N34; N36; N37; N39),
 3.  Infekcije srednjeg uha ( H65; H66 ).</t>
  </si>
  <si>
    <t>1. Infekcije gornjeg i donjeg respiratornog trakta (J00-J06.8; J20; J32; J40; J41; J42),
2. Infekcije  urinarnog takta (N30; N34; N36; N37; N39),
3. Infekcije uzrokovane uzročnicima koji ne reaguju na polusintetske peniciline (E.Coli, H.influenzae, Proteus).</t>
  </si>
  <si>
    <t xml:space="preserve"> 1. Infekcije donjeg respiratornog trakta (J13; J14; J15; J20; J32; J40; J41; J42),
  2. Infekcije kože i i mekog tkiva ( L00-L08 ),
  3. Infekcije mokraćne bešike i mokraćnih puteva (N30; N34), 
  4. Lajmska bolest (A69.2).</t>
  </si>
  <si>
    <t>1. Infekcije gornjeg i donjeg respiratornog trakta (J00-J06.8; J13; J14; J15; J20; J32; J40; J41; J42), 
2. Infekcije kože i mekog tkiva ( L00-L08 ), 
3. Infekcije mokraćne bešike i mokraćnih puteva ( N30; N34 ), 
4. Zapaljenje srednjeg uha (H65;H66).</t>
  </si>
  <si>
    <t>1. Infekcije gornjeg i donjeg respiratornog trakta (J01-J03; J13; J14; J15; J20; J32; J40; J41; J42); 
2. Zapaljenje srednjeg uha (H65; H66); 
3. Urinarne infekcije (N00; N10; N30; N34).</t>
  </si>
  <si>
    <t>1. Infekcije gornjeg i donjeg respiratornog trakta (J01-J03; J13; J14; J15; J20; J32; J40; J41; J42);
 2. Zapaljenje srednjeg uha (H65;H66); 
3. Urinarne infekcije (N00; N10; N30; N34).</t>
  </si>
  <si>
    <t>1. Infekcije respiratornog trakta ( J00-J06; J15.7; J16.0; J20-J32; J40; J41-J42 ),
 2. Zarazne bolesti creva izazvane uzročnikom Campylobacter ( A04.5 ),
 3. Bolest legionara  ( A48.1; A48.2 ), 
 4. Infekcije kože i imekog tkiva ( L00-L08 ),
 5. Infekcije mokraćnih puteva ( N34 ),
 6. Infekcije sa gram pozitivnim uzročnicima kod bolesnika alergičnih na penicilin ( Y40.0 ).</t>
  </si>
  <si>
    <t>1. Infekcije respiratornog trakta ( J00-J06; J15.7; J16.0; J20-J32; J40; J41-J42 ),
 2. Zarazne bolesti creva izazvane uzročnikom Campylobacter ( A04.5 ),
 3. Bolest legionara  ( A48.1; A48.2 ), 
 4. Infekcije kože i i mekog tkiva ( L00-L08 ),
 5. Infekcije mokraćnih puteva ( N34 ),
 6. Infekcije sa gram pozitivnim uzročnicima kod bolesnika alergičnih na penicilin ( Y40.0 ).</t>
  </si>
  <si>
    <t>1. Infekcije respiratornog trakta (J00-J06;J15.7;J16.0; J20-J32, J40; J41-J42);
2. Infekcije srednjeg uha (H65;H66);
3. Infekcije kože i mekog tkiva (L00-L08);
4. Infekcije mokraćnih puteva (N34).</t>
  </si>
  <si>
    <t xml:space="preserve"> 1. Infekcije respiratornog trakta (J00-J06; J15.7; J16.0; J20-J32; J40; J41-J42), 
 2. Infekcije srednjeg uha (H65; H66),
 3. Infekcije kože i  mekog tkiva (L00-L08).</t>
  </si>
  <si>
    <t>Samo za decu. 
Samo za osobe sa poremećenim aktom gutanja.</t>
  </si>
  <si>
    <t>1. Infekcije respiratornog trakta ( J00-J06; J15.7; J16.0; J20-J32; J41-J42 ), 
 2. Infekcije srednjeg uha ( H65; H66 ),
 3. Infekcije kože i i mekog tkiva ( L00-L08 ),
 4. Infekcije želuca i dvanaestopalačnog creva sa Helicobacter pylori (K29),
 5. Infekcije izazvane Mycobacterium ( A31 ).</t>
  </si>
  <si>
    <t>1. Infekcije respiratornog trakta (J00-J06; J15.7; J16.0; J20-J32; J40; J41-J42),
 2. Infekcije srednjeg uha (H65; H66),
 3. Infekcije kože i i mekog tkiva (L00-L08),
 4. Infekcije izazvane Chlamydia-ma (A55; A56),
 5. Negonokokni uretritis (N34.1),
 6. Cervicitis (N72).</t>
  </si>
  <si>
    <t>Samo za decu.
  Samo za osobe sa poremećenim aktom gutanja.</t>
  </si>
  <si>
    <t>1. Infekcije respiratornog trakta (J00-J06; J15.7; J16.0; J20-J32; J40; J41-J42),
 2. Infekcije srednjeg uha (H65; H66),
 3. Infekcije kože i  mekog tkiva (L00-L08),
 4. Infekcije izazvane Chlamydia-ma (A55; A56),
 5. Negonokokni uretritis (N34.1),
 6. Cervicitis (N72).</t>
  </si>
  <si>
    <t>1. Infekcije respiratornog trakta (J00-J06; J15.7; J16.0; J20-J32; J40; J41-J42),
 2. Infekcije srednjeg uha (H65; H66),
 3. Infekcije kože i i mekog tkiva (L00-L08),
 4. Infekcije izazvane Chlamydia-ma (A55;  A56),
 5. Negonokokni uretritis (N34.1),
 6. Cervicitis (N72).</t>
  </si>
  <si>
    <t xml:space="preserve">  1. Zarazne bolesti creva izazvane uzročnikom  Salmonellae (A02), Shigellae (A03),
  2. Infekcije izazvane uzročnikom Mycobacterium tuberculosis  (A15-A19),
  3. Infekcija respiratornog trakta izazvana uzročnikom Mycoplasma pneumoniae (J15.7),
  4. Infekcije urogenitalnog trakta (N30; N34; N36; N37; N39; N72),
  5. Zapaljenje srednjeg uha (H66).</t>
  </si>
  <si>
    <t xml:space="preserve">  Lek se uvodi u terapiju pod tačkom 1. na osnovu mišljenja oftalmologa,  pod tačkom 2. na osnovu mišljenja zdravstvene ustanove koja obavlja zdravstvenu delatnost na tercijarnom nivou a pod tačkom 3. na osnovu mišljenja infektologa ili dermatologa.</t>
  </si>
  <si>
    <t xml:space="preserve"> HIV infekcija ( B20; B21; B22; B23; B24  )</t>
  </si>
  <si>
    <t>Lek se uvodi u terapiju na osnovu mišljenja infektologa ili hepatologa ili gastroenterologa.</t>
  </si>
  <si>
    <t xml:space="preserve"> 1. Hronični hepatitis B (B16.2; B16.9; B18.1);
    2. HIV infekcija - za bolesnike kod kojih je dokazana rezistencija virusa humane imunodeficijencije na postojeće antiretrovirusne lekove (B20; B21; B22; B23; B24)</t>
  </si>
  <si>
    <t xml:space="preserve"> HIV infekcija (B20; B21; B22; B23; B24)</t>
  </si>
  <si>
    <t xml:space="preserve">   HIV infekcija- za bolesnike kod kojih je dokazana rezistencija virusa humane imunodeficijencije na postojeće antiretrovirusne lekove, koji imaju dokazani tropizam virusa za CCR5 koreceptor (B20; B21; B22; B23; B24)</t>
  </si>
  <si>
    <t>HIV infekcija-za bolesnike kod kojih je dokazana rezistencija virusa humane imunodeficijecije na postojeće antiretrovirusne lekove (B20; B21; B22; B23; B24)</t>
  </si>
  <si>
    <t>Hronične mijeloproliferativne bolesti (hronična granulocitna leukemija, esencijalna trombocitemija, primarna mijelofibroza, prava policitemija).</t>
  </si>
  <si>
    <t xml:space="preserve">Terapija nevoljnog značajnog gubitka telesne težine kod pacijenata sa nehematološkim malignitetima (solidnim tumorima). 
Pacijenti moraju imati odmaklu malignu bolest i to hormon-nezavisnu bolest ili hormon-zavisnu ali u hormon-refraktarnoj fazi, očekivano preživljavanje preko 2 meseca, PS 0-2, kao i značajan gubitak apetita i/ili značajan nevoljni gubitak telesne mase, veći od 10% za poslednjih 6 meseci. </t>
  </si>
  <si>
    <t xml:space="preserve"> Lek se primenjuje u kompletnoj androgenoj blokadi uz medikamentoznu (LH-RH analozima) ili hiruršku kastraciju (C61).</t>
  </si>
  <si>
    <t xml:space="preserve"> Lek se uvodi u terapiju na osnovu mišljenja tri lekara - urologa zdravstvene ustanove koja obavlja zdravstvenu delatnost na tercijarnom nivou. </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</si>
  <si>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</si>
  <si>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Lek se uvodi u terapiju na osnovu mišljenja tri lekara zdravstvene ustanove koja obavlja zdravstvenu delatnost na tercijarnom nivou zdravstvene zaštite, a nastavak terapije na osnovu mišljenja lekara specijaliste zdravstvene ustanove koja obavlja zdravstvenu delatnost na sekundarnom ili tercijarnom nivou zdravstvene zaštite.</t>
  </si>
  <si>
    <t>Lek se koristi kod transplantacije bubrega, srca ili jetre (Z94.0; Z94.1 ili Z94.4).</t>
  </si>
  <si>
    <t xml:space="preserve">Lek se uvodi u terapiju na osnovu mišljenja tri lekara zdravstvene ustanove koja obavlja zdravstvenu delatnost na tercijarnom nivou. </t>
  </si>
  <si>
    <t>Lek se koristi kod transplantacije bubrega (Z94.0).</t>
  </si>
  <si>
    <t>Kod bolesnika sa pogoršanom bubrežnom funkcijom kalema, kod pojave izražene fibroze dokazane na bioptičkom materijalu ili ehosonografski, sa ciljem usporenja progresije hronične alograft nefropatije (Z94.0).</t>
  </si>
  <si>
    <t xml:space="preserve">Lek se uvodi u terapiju na osnovu mišljenja tri lekara, subspecijaliste odgovarajuće grane medicine, zdravstvene ustanove tercijarnog nivoa zdravstvene zaštite. </t>
  </si>
  <si>
    <t>Profilaksa odbacivanja organa kod odraslih pacijenata sa malim ili umerenim imunološkim rizikom koji su dobili alogeni transplantat bubrega ili srca (Z94.0; Z94.1).</t>
  </si>
  <si>
    <t xml:space="preserve"> 1. Samo za bolesnike nakon transplantacije pojedinih organa ( Z94 ),                                                                                                                                                                                                                
  2. Isključivo za najteže autoimune bolesti, ukoliko postoji rezistencija na druge imunosupresivne lekove.</t>
  </si>
  <si>
    <t>Lek se koristi kod transplantacije bubrega, srca ili jetre i lečenja odbacivanja alogenih transplantata pri postojanju rezistencije na primenu drugih imunosupresivnih lekova (Z94).</t>
  </si>
  <si>
    <t>Samo kod dece i osoba sa poremećenim aktom gutanja.</t>
  </si>
  <si>
    <t>Lečenje patološki povišenog tonusa skeletnih mišića u okviru organskih neuroloških poremećaja (oštećenje piramidnog trakta, multipla skleroza, cerebrovaskularni poremećaj, mielopatija, encefalomijelitis, itd.)</t>
  </si>
  <si>
    <t>Lek se uvodi na osnovu mišljenja neurologa ili neuropsihijatra ili fizijatra.</t>
  </si>
  <si>
    <t xml:space="preserve">Za lečenje umereno jakog do jakog hroničnog bola ( ≥ 5 na NRS od 0-10) kod bolesnika sa malignim oboljenjem. </t>
  </si>
  <si>
    <t xml:space="preserve"> 1. Za lečenje hroničnog, umereno jakog do jakog  kancerskog bola na tzv. trećoj analgetičkoj stepenici ( C00-C97 )
   (ne sme se koristiti u akutnim pogoršanjima hroničnog kancerskog bola), i to:
  - kao opioid druge linije kod bolesnika kod kojih su se u toku lečenja oralnim morfinom razvila neželjena dejstva koja se teško kontrolišu 
    i nisu prihvatljiva za bolesnika;
  -kao opioid prve linije kod bolesnika sa simptomima i komplikacijama maligne bolesti koje onemogućavaju oralnu primenu morfina 
    (često povraćanje, kompletna mehanička opstrukcija creva, disfagija);
  -kao opioid prve linije kod bolesnika sa simptomima i komplikacijama maligne bolesti koje sprečavaju primenu morfina 
    i otežavaju njegovo titriranje do optimalne doze ( mučnina, povraćanje, opstipacija,nekompletna mehanička opstrukcija creva);
  -kao opioid prve linije kod bolesnika sa oštećenjem bubrežne funkcije. </t>
  </si>
  <si>
    <t>Pri primeni transdermalnog flastera sa fentanilom za kontrolu proboja bola povremeno je neophodna terapija lekovima sa sadržajem morfina koji se brzo oslobađa.</t>
  </si>
  <si>
    <t xml:space="preserve">  Lek se uvodi u terapiju na osnovu mišljenja neurologa/neuropsihijatra.</t>
  </si>
  <si>
    <t xml:space="preserve">  1. Epilepsija  (G40-G41);
  2. Bipolarni poremećaj (F31.7).</t>
  </si>
  <si>
    <t>Za indikaciju pod tačkom 1. lek se uvodi u terapiju za bolesnike sa epilepsijom  na osnovu  mišljenja neurologa ili neuropsihijatra ili pedijatra.
   Za indikaciju pod tačkom 2. lek se uvodi u terapiju na osnovu mišljenja psihijatra ili neurologa ili neuropsihijatra.</t>
  </si>
  <si>
    <t xml:space="preserve">Epilepsija  ( G40-G41 ). </t>
  </si>
  <si>
    <t xml:space="preserve">   Samo za bolesnike sa epilepsijom refraktarnom na druge antiepileptike na osnovu mišljenja neurologa/neuropsihijatra ili pedijatra.</t>
  </si>
  <si>
    <t xml:space="preserve">  1. Epilepsija - kao monoterapija za bolesnike starije od 16 godina sa refrakternim parcijalnim napadima sa ili bez  sekundarne generalizacije (G40); 
   2. Epilepsija - kao dodatna terapija za bolesnike sa rezistentnom parcijalnom epilepsijom kod odraslih i dece iznad 1 meseca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</si>
  <si>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 xml:space="preserve">  1. Epilepsija - kao monoterapija za bolesnike starije od 16 godina sa refrakternim parcijalnim napadima sa ili bez  sekundarne generalizacije (G40); 
   2. Epilepsija - kao dodatna terapija za bolesnike sa rezistentnom parcijalnom epilepsijom kod odraslih i dece iznad 4 godine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</si>
  <si>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1.  Adjuvantna terapija parcijalnih konvuzija sa ili bez sekundarne generalizacije kod odraslih bolesnika (G 40).  
2. Generalizovani anksiozni poremećaj (F41.1) kod odraslih posle nezadovoljavajućeg odgovora na dva prethodno primenjena antidepresiva.</t>
  </si>
  <si>
    <t xml:space="preserve">  Za indikaciju pod tačkom 1.  lek se uvodi u terapiju na osnovu mišljenja neurologa/neuropsihijatra, a za indikaciju pod tačkom 2. na osnovu mišljenja psihijatra/neuropsihijatra</t>
  </si>
  <si>
    <t xml:space="preserve"> Lek se uvodi u terapiju na osnovu mišljenja neurologa ili neuropsihijatra ili psihijatra.</t>
  </si>
  <si>
    <t>Parkinsonova bolest ( G20; G21; G22 ).</t>
  </si>
  <si>
    <t>Lek se uvodi u terapiju na osnovu mišljenja neurologa/neuropsihijatra.</t>
  </si>
  <si>
    <t xml:space="preserve"> Lek se uvodi u terapiju na osnovu mišljenja neurologa/neuropsihijatra.</t>
  </si>
  <si>
    <t xml:space="preserve"> Lek se uvodi u terapiju na osnovu mišljenja neurologa/neuropsihijatra ili endokrinologa.</t>
  </si>
  <si>
    <t xml:space="preserve"> Lek se uvodi u terapiju na osnovu mišljenja psihijatra/neuropsihijatra.</t>
  </si>
  <si>
    <t>1. Šizofrenija, šizotipski poremećaji i poremećaji sa sumanutošću ( F20 - F29 ),
 2. Manična epizoda sa psihotičnim simptomima ( F30.2 ),
 3. Bipolarni afektivni poremećaj, manična epizoda sa psihotičnim simptomima ( F31.2 ),
 4. Bipolarni afektivni poremećaj u remisiji ( F31.7 ).</t>
  </si>
  <si>
    <t xml:space="preserve"> Lek se uvodi u terapiju na osnovu mišljenja psihijatra ili neuropsihijatra.</t>
  </si>
  <si>
    <t>1. Šizofrenija, šizotipski poremećaji i poremećaji sa sumanutošću (F20 - F29),
 2. Bipolarni afektivni poremećaj (F31),
 3. Prolazna psihotična stanja kod organskih poremećaja (F00.0, F06.0; F06.2; F06.9).</t>
  </si>
  <si>
    <t>Lek se uvodi u terapiju  na osnovu mišljenja  psihijatra ili neuropsihijatra ili neurologa.</t>
  </si>
  <si>
    <t>1. Šizofrenija, šizotipski poremećaji i poremećaji sa sumanutošću (F20 - F29),
 2. Bipolarni afektivni poremećaj (F31)
 3. Prolazna psihotična stanja kod organskih poremećaja ( F00.0, F06.0; F06.2; F06.9 ).
 4. Mentalna retardacija sa značajnim poremećajem ponašanja koji zahteva pažnju ili tretman (F70; F71; F72; F73; F78; F79),
 5. Hiperkinetički poremećaj ponašanja (F90.1),
 6. Poremećaji ponašanja (F91).</t>
  </si>
  <si>
    <t>Za indikaciju pod tačkom 1. i 2. samo za odrasle osobe sa poremećenim aktom gutanja. 
Za indikaciju pod tačkom 3, 4, 5. i 6. samo za decu stariju od 5 godina i odrasle osobe sa poremećenim aktom gutanja.
Prilikom propisivanja leka za pacijente sa poremećenim aktom gutanja, izabrani lekar je u obavezi da na lekarskom receptu  u delu  „dijagnoza" posle odgovarajuće šifre, u skladu sa MKB-10 klasifikacijom, upiše slovo A, što ukazuje da se lek nalazi na Listi A.
Lek se uvodi u terapiju na osnovu mišljenja psihijatra ili neuropsihijatra ili neurologa.</t>
  </si>
  <si>
    <t>1. Šizofrenija, šizotipski poremećaji i poremećaji sa sumanutošću ( F20 - F29 ),
 2. Manična epizoda sa psihotičnim simptomima ( F30.2 ), 
3. Bipolarni afektivni poremećaj, manična epizoda sa psihotičnim simptomima ( F31.2 ),
 4. Bipolarni afektivni poremećaj u remisiji ( F31.7 ).</t>
  </si>
  <si>
    <t xml:space="preserve"> Lek se uvodi u terapiju na osnovu mišljenja psihijatra ili neuropsihijatra"</t>
  </si>
  <si>
    <t>1. Šizofrenija, šizotipski poremećaji i poremećaji sa sumanutošću ( F20 - F29 ),
 2. Manična epizoda sa psihotičnim simptomima ( F30.2),
 3. Bipolarni afektivni poremećaj, manična epizoda sa psihotičnim simptomima ( F31.2 ),
 4. Bipolarni afektivni poremećaj u remisiji ( F31.7 ).</t>
  </si>
  <si>
    <t xml:space="preserve"> Lek se uvodi u terapiju na osnovu mišljenja psihijatra ili neuropsihijatra</t>
  </si>
  <si>
    <t>Lek propisuje izabrani lekar bez mišljenja lekara specijaliste određene grane medicine  do tri meseca u toku 12 meseci, a nastavak terapije uz mišljenje lekara specijaliste određene grane medicine  (psihijatra ili neuropsihijatra ili neurologa ).</t>
  </si>
  <si>
    <t>Lek se uvodi u terapiju na osnovu mišljenja  psihijatra ili neuropsihijatra ili neurologa.</t>
  </si>
  <si>
    <t xml:space="preserve">1. Depresivna  epizoda   (F32),
 2. Rekurentni depresivni poremećaj  (F33),
 3. Opsesivno - kompulsivni poremećaj (F42),
 4. Bulimija nervosa (F50.2). </t>
  </si>
  <si>
    <t>Za indikaciju pod tačkom 1. samo za osobe starije od 8 godina.
Za indikaciju pod tačkom 2, 3 i 4. samo za osobe starije od 18 godina.
 Lek se uvodi u terapiju  na osnovu mišljenja  psihijatra ili neuropsihijatra ili neurologa.</t>
  </si>
  <si>
    <t>1. Depresivna epizoda (F32),
 2. Rekurentni depresivni poremećaj  (F33),
 3. Agorafobija (F40.0),
 4. Socijalna fobija (F40.1)
 5. Drugi anksiozni poremećaji (F41),
 6. Organski poremećaji raspoloženja (F06.3).</t>
  </si>
  <si>
    <t xml:space="preserve"> Samo za osobe starije od 18 godina.
  Lek se uvodi u terapiju  na osnovu mišljenja  psihijatra ili neuropsihijatra ili neurologa.</t>
  </si>
  <si>
    <t xml:space="preserve"> 1. Depresivna epizoda (F32),
 2. Rekurentni depresivni poremećaj (F33),
 3. Agorafobija (F40.0),
 4. Drugi anksiozni poremećaji (F41),
 5. Opsesivno - kompulsivni  poremećaji  (F42),
 6. Posttraumatski stresni poremećaj (F43.1),
 7. Organski anksiozni poremećaj (F06.4).</t>
  </si>
  <si>
    <t>Samo za osobe starije od 18 godina.
  Lek se uvodi u terapiju  na osnovu mišljenja  psihijatra ili neuropsihijatra ili neurologa.</t>
  </si>
  <si>
    <t xml:space="preserve"> 1. Depresivna epizoda (F32),
 2. Rekurentni depresivni poremećaj (F33),
 3. Agorafobija (F40.0),
 4. Drugi anksiozni poremećaji (F41),
 5. Opsesivno - kompulsivni  poremećaji (F42),
 6. Posttraumatski stresni poremećaj (F43.1),
 7. Organski anksiozni poremećaj (F06.4).</t>
  </si>
  <si>
    <t>Za indikaciju pod tačkom 1, 2, 3, 4, 6. i 7. samo za osobe starije od 18 godina.
Za indikaciju pod tačkom 5. samo za osobe starije od 6 godina.
Lek se uvodi u terapiju na osnovu mišljenja psihijatra ili neuropsihijatra ili neurologa.</t>
  </si>
  <si>
    <t xml:space="preserve"> 1. Depresivna epizoda  (F32),
  2. Rekurentni depresevni poremećaj (F33),
  3. Panični poremećaj (F 41.0),
  4. Socijalna fobija (F40.1);
  5. Opsesivno- kompulsivni poremećaj (F42).</t>
  </si>
  <si>
    <t>Samo za osobe starije od 18 godina.
Lek se uvodi u terapiju  na osnovu mišljenja  psihijatra ili neuropsihijatra ili neurologa.</t>
  </si>
  <si>
    <t>Hiperkinetski sindrom sa poremećajem pažnje</t>
  </si>
  <si>
    <t xml:space="preserve">  Lek se uvodi u terapiju na osnovu mišljenja psihijatra/neuropsihijatra.</t>
  </si>
  <si>
    <t>1. Lečenje zavisnosti od opijata (F11);
2. Suzbijanje snažnog bola (bola uzrokovanog karcinomom) (C00-C97).</t>
  </si>
  <si>
    <t>Za indikaciju pod tačkom 1.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indikaciju pod tačkom 2. lek se uvodi kao simptomatska  terapija bola u službi kućnog lečenja ili u zdravstvenim ustanovama koje obavljaju zdravstvenu delatnost na sekundarnom ili tercijarnom nivou.</t>
  </si>
  <si>
    <t xml:space="preserve">  1.  Infekcije trihomonasom (A59),
  2.  Infekcije usta (peri i paradentalni apcesi-K12.2, gingivitis-K05),
  3. Amebiaza (A06),
  4.  Helicobacter pylori infekcija (K25; K26; K27; K28; K29)
  5. Infekcija creva uzrokovana Clostridium Difficile (A04.7)</t>
  </si>
  <si>
    <t>Samo za decu  na osnovu mišljenja dečjeg alergologa ili dečjeg pulmologa ili otorinolaringologa  ili lekara pedijatra u službi pulmologije.</t>
  </si>
  <si>
    <t>Samo za decu na osnovu mišljenja dečjeg alergologa ili dečjeg pulmologa ili otorinolaringologa  ili lekara pedijatra u službi pulmologije.</t>
  </si>
  <si>
    <t xml:space="preserve"> Bronhijalna astma  (J45).</t>
  </si>
  <si>
    <t xml:space="preserve"> Bronhijalna astma, samo uz terapiju inhalacionim kortikosteroidima (J45).</t>
  </si>
  <si>
    <t>Samo za decu.
    Lek se uvodi u terapiju  na osnovu mišljenja pulmologa ili pneumoftiziologa ili alergologa ili interniste ili pedijatra u službi pulmologije.</t>
  </si>
  <si>
    <t xml:space="preserve">  Bronhijalna astma  (J45).</t>
  </si>
  <si>
    <t>Samo za decu.
    Lek se uvodi u terapiju  na osnovu  mišljenja  pulmologa ili  pneumoftiziologa ili alergologa ili interniste ili pedijatra u službi pulmologije.</t>
  </si>
  <si>
    <t>Samo za decu.
 Lek se uvodi u terapiju  na osnovu  mišljenja  pulmologa ili  pneumoftiziologa ili alergologa ili interniste ili pedijatra u službi pulmologije.</t>
  </si>
  <si>
    <t>Samo za decu.
    Lek se uvodi u terapiju  na osnovu  mišljenja  pulmologa ili pneumoftiziologa ili alergologa ili interniste ili pedijatra u službi pulmologije.</t>
  </si>
  <si>
    <t>Bronhijalna astma (J45)</t>
  </si>
  <si>
    <t>Lek se uvodi u terapiju na osnovu mišljenja pulmologa ili pneumoftiziologa ili alergologa ili interniste ili pedijatra u službi pulmologije.</t>
  </si>
  <si>
    <t>Samo za decu i trudnice.
    Lek se uvodi u terapiju  na osnovu  mišljenja   pulmologa ili  pneumoftiziologa ili alergologa ili interniste ili  pedijatra u službi pulmologije.</t>
  </si>
  <si>
    <t xml:space="preserve"> Samo za decu. </t>
  </si>
  <si>
    <t xml:space="preserve"> Samo za decu stariju od 4 godine .
    Lek se uvodi u terapiju  na osnovu  mišljenja   pulmologa ili  pneumoftiziologa ili alergologa ili interniste ili  pedijatra u službi pulmologije.</t>
  </si>
  <si>
    <t>Samo za decu stariju od 12 godina.
    Lek se uvodi u terapiju  na osnovu  mišljenja pulmologa ili  pneumoftiziologa ili alergologa ili interniste ili pedijatra u službi pulmologije.</t>
  </si>
  <si>
    <t xml:space="preserve"> Bronhijalna astma  (J45). </t>
  </si>
  <si>
    <t xml:space="preserve">Samo za decu. Lek se uvodi u terapiju kao dodatna  terapija kada primena inhalacionih kortikosteroida ne obezbeđuje odgovarajuću kontrolu bolesti.
Lek se uvodi u terapiju na osnovu mišljenja pulmologa ili pneumoftiziologa  ili alergologa ili imunologa ili pedijatra u službi pulmologije. </t>
  </si>
  <si>
    <t xml:space="preserve">Samo za decu. Lek se uvodi u terapiju kao dodatna  terapija kada primena inhalacionih kortikosteroida ne obezbeđuje odgovarajuću kontrolu bolesti.
 Može se koristiti kao alternativa niskim dozama inhalacionih kortikosteroida samo za decu do 5 godina starosti.
Lek se uvodi u terapiju na osnovu mišljenja pulmologa ili pneumoftiziologa  ili alergologa ili imunologa ili pedijatra u službi pulmologije. </t>
  </si>
  <si>
    <t xml:space="preserve"> Cistična fibroza pluća sa forsiranim vitalnim kapacitetom većim od 40% (E84.0).</t>
  </si>
  <si>
    <t>Lek se uvodi u terapiju kod bolesnika starosne dobi od 5 godina i više na osnovu mišljenja pulmologa u referentnom centru za cističnu fibrozu.</t>
  </si>
  <si>
    <t>1. Alergijski rinitis (J30.4)
2. Hronična idiopatska urtikarija (L50)</t>
  </si>
  <si>
    <t>Samo za decu stariju od 2 godine. Za indikaciju pod tačkom 1. lek se uvodi u terapiju na osnovu mišljenja pedijatra ili otorinolaringologa, a za indikaciju pod tačkom 2. na osnovu mišljenja pedijatra ili dermatologa.</t>
  </si>
  <si>
    <t xml:space="preserve">1. Alergijski rinitis (J30.4) 
2. Hronična idiopatska urtikarija (L50) </t>
  </si>
  <si>
    <t>Samo za decu stariju od 6 godine. Za indikaciju pod tačkom 1. lek se uvodi u terapiju na osnovu mišljenja pedijatra ili otorinolaringologa, a za indikaciju pod tačkom 2. na osnovu mišljenja pedijatra ili dermatologa.</t>
  </si>
  <si>
    <t>Samo za decu stariju od 6 godina na osnovu mišljenja pedijatra ili otorinolaringologa.</t>
  </si>
  <si>
    <t>Hronična idiopatska urtikarija (L50).</t>
  </si>
  <si>
    <t>Samo za decu stariju od 2 godine. Lek se uvodi u terapiju na osnovu mišljenja pedijatra ili dermatologa.</t>
  </si>
  <si>
    <t>Samo za decu stariju od 1 godine na osnovu mišljenja pedijatra ili otorinolaringologa.</t>
  </si>
  <si>
    <t xml:space="preserve"> 1. Bakterijski keratitis ( H16 ),
 2. Bakterijski konjuktivitis ( H10.0 ),
 3. Bakterijski blefaritis ( H01.0).              </t>
  </si>
  <si>
    <t>1. Za lečenje glaukoma (H40) kao druga ili treća terapijska linija (odnosno prva ili druga kada postoji kontraindikacija na primenu beta-adrenergičkih blokatora).
2. Za lečenje glaukoma (H40) kod obolelih kod kojih je ranije dijagnostikovana bolest i koji se već nalaze na lečenju kao nastavak terapije ovim lekom, na osnovu mišljenja oftalmologa.</t>
  </si>
  <si>
    <t>Lek se uvodi u terapiju  na osnovu mišljenja oftalmologa.</t>
  </si>
  <si>
    <t xml:space="preserve"> Lek se uvodi u terapiju  na osnovu mišljenja oftalmologa.</t>
  </si>
  <si>
    <t>Za lečenje novootkrivenih obolelih od glaukoma kao prva terapijska linija, kao i za lečenje obolelilh kod kojih je ranije dijagnostikovana bolest.</t>
  </si>
  <si>
    <t xml:space="preserve"> Lek se uvodi u terapiju na osnovu mišljenja oftalmologa. </t>
  </si>
  <si>
    <t>1. Za lečenje glaukoma (H40) kao druga ili treća terapijska linija.
 2. Za lečenje glaukoma (H40) kod obolelih kod kojih je ranije dijagnostikovana bolest i koji se već nalaze na lečenju kao nastavak terapije ovim lekom, na osnovu mišljenja oftalmologa.</t>
  </si>
  <si>
    <t xml:space="preserve">Lek se uvodi u terapiju na osnovu mišljenja oftalmologa. </t>
  </si>
  <si>
    <t>Celijačna bolest ( K90.0 )</t>
  </si>
  <si>
    <t>1. Progresivna mioklonična epilepsija - LaForina epilepsija (G40)
2. Mitohondrijalna (metahromatska) leukodistrofija (G31.9)
3. Spinalna mišićna distrofija (G12)
4. Batenova bolest (E75.4)                                                                                                                                                                                                                                                                                                                                                                                                                                                                                                                       5. Druge retke bolesti na predlog Republičke stručne komisije za retke bolesti.</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</si>
  <si>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</si>
  <si>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1. Progresivna mioklonična epilepsija - LaForina epilepsija (G40)
2. Mitohondrijalna (metahromatska) leukodistrofija (G31.9)
3. Spinalna mišićna distrofija (G12)
4. Batenova bolest (E75.4)  
5. Druge retke bolesti na predlog Republičke stručne komisije za retke bolesti.</t>
  </si>
  <si>
    <t xml:space="preserve">1. Intolerancija proteina kravljeg mleka
2. Multipla alergija na hranu </t>
  </si>
  <si>
    <t>Intolerancija proteina kravljeg mleka (К90.4,Т78.0, Т78.1).</t>
  </si>
  <si>
    <t xml:space="preserve"> Lek se uvodi u terapiju na osnovu mišljenja pedijatra gastroenterologa/imunologa koja obavlja zdravstvenu delatnost na tercijarnom nivou zdravstvene zaštite.</t>
  </si>
  <si>
    <t>HIV infekcija (B20; B21; B22; B23; B24)</t>
  </si>
  <si>
    <t>Za lečenje umereno jakog do jakog hroničnog bola ( ≥ 5 na NRS od 0-10) kod bolesnika sa malignim oboljenjem.</t>
  </si>
  <si>
    <t>Cena leka na veliko za pakovanje</t>
  </si>
  <si>
    <t>Cena leka na veliko po DDD</t>
  </si>
  <si>
    <t>1.  Adjuvantna terapija parcijalnih konvuzija sa ili bez sekundarne generalizacije kod odraslih bolesnika (G40).  
2. Generalizovani anksiozni poremećaj (F41.1) kod odraslih posle nezadovoljavajućeg odgovora na dva prethodno primenjena antidepresiva.</t>
  </si>
  <si>
    <t xml:space="preserve">  Za indikaciju pod tačkom 1.  lek se uvodi u terapiju na osnovu mišljenja neurologa/neuropsihijatra, a za indikaciju pod tačkom 2. na osnovu mišljenja psihijatra/neuropsihijatra.</t>
  </si>
  <si>
    <t>1. Plućna arterijska hipertenzija udružena sa kongenitalnim sistemsko-pulmonalnim šantom i Eisenmengerovom fiziologijom (I27.8);
2. Primarne (idiopatske i nasledne) plućne arterijske hipertenzije (I27.0; I27.2; I27.8);
3. Plućna arterijska hipertenzija kao posledica sklerodermije, bez značajne intersticijalne bolesti pluća (I27.0; I27.2)</t>
  </si>
  <si>
    <t>Lek se uvodi u terapiju na osnovu mišljenja tri lekara zdravstvene ustanove tercijarnog nivoa zdravstvene zaštite.</t>
  </si>
  <si>
    <t xml:space="preserve"> 1. Portosistemske encefalopatije (K72),
2.  Prevencija i terapija opstipacije izazvane opioidima.</t>
  </si>
  <si>
    <t xml:space="preserve"> 1. Bolesti oka izazvane virusom Herpes zoster (B02.3),
  2. U pripremi bolesnika za transplantaciju bubrega ili drugih organa (Z94),
  3. Infekcije uzrokovane virusima Herpes simplex (B00), Herpes zoster (B02) i Varicella (B01).  </t>
  </si>
  <si>
    <t xml:space="preserve">   1. Epilepsija  (G40-G41). </t>
  </si>
  <si>
    <t>4 g</t>
  </si>
  <si>
    <t>boca plastična, 30 po (300mg + 600mg + 50mg)</t>
  </si>
  <si>
    <t>emtricitabin, tenofovir, rilpivirin</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</si>
  <si>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</si>
  <si>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 xml:space="preserve">   1.  Bronhijalna astma  (J45).
   2.  Hronična opstruktivna bolest pluća kod odraslih za umereno teške,  teške i veoma teške (II, III ili IV stadijum ) oblike bolesti (J44).</t>
  </si>
  <si>
    <t>Alergijski rinitis (J30.4)</t>
  </si>
  <si>
    <t xml:space="preserve">Lek se uvodi u terapiju na osnovu mišljenja pedijatra gastroenterologa/imunologa koja obavlja zdravstvenu delatnost na tercijarnom nivou zdravstvene zaštite.                                                                  </t>
  </si>
  <si>
    <t>1. Infekcije gornjeg i donjeg respiratornog trakta (J00-J06.8; J13; J14; J15; J20; J32; J40; J41; J42), 
2. Infekcije kože i mekog tkiva (L00-L08), 
3. Infekcije mokraćne bešike i mokraćnih puteva (N30; N34), 
4. Zapaljenje srednjeg uha (H65;H66),
5.Lajmska bolest (A69.2)</t>
  </si>
  <si>
    <t>1. Infekcije gornjeg i donjeg respiratornog trakta (J00-J06.8; J13; J14; J15; J20; J32; J40; J41; J42), 
2. Infekcije kože i mekog tkiva (L00-L08), 
3. Infekcije mokraćne bešike i mokraćnih puteva (N30; N34), 
4. Zapaljenje srednjeg uha (H65;H66),
5. Lajmska bolest (A69.2)</t>
  </si>
  <si>
    <t>HALOPERIDOL KRKA</t>
  </si>
  <si>
    <t>bočica staklena, 25 po 2 mg</t>
  </si>
  <si>
    <t>Krka d.d.</t>
  </si>
  <si>
    <t>bočica staklena, 30 po 10 mg</t>
  </si>
  <si>
    <t>Cilag A; Janssen Cilag S.P.A.</t>
  </si>
  <si>
    <t xml:space="preserve">oralni rastvor </t>
  </si>
  <si>
    <t>inhalator, 1 po 60 doza (4.5mcg/doza+80mcg/doza)</t>
  </si>
  <si>
    <t>inhalator, 1 po 60 doza (4.5mcg/doza+160mcg/doza)</t>
  </si>
  <si>
    <t>inhalator, 1 po 120 doza (4.5mcg/doza+160mcg/doza)</t>
  </si>
  <si>
    <t>kapi za oči, suspenzija</t>
  </si>
  <si>
    <t>0041206</t>
  </si>
  <si>
    <t>A10AE06</t>
  </si>
  <si>
    <t>insulin degludek</t>
  </si>
  <si>
    <t>TRESIBA FLEXTOUCH</t>
  </si>
  <si>
    <t>pen sa uloškom, 5 po 3 ml (100j./ml)</t>
  </si>
  <si>
    <t>40 j</t>
  </si>
  <si>
    <t>0041207</t>
  </si>
  <si>
    <t>pen sa uloškom, 3 po 3 ml (200j./ml)</t>
  </si>
  <si>
    <t>1107606</t>
  </si>
  <si>
    <t>blister, 30 po 3,75 mg</t>
  </si>
  <si>
    <t>Merck S.L.; Merck KGaA &amp; Co. Werk Spittal; Merck KGaA</t>
  </si>
  <si>
    <t>Španija; Austrija; Nemačka</t>
  </si>
  <si>
    <t>1104007</t>
  </si>
  <si>
    <t>RUSOVAS</t>
  </si>
  <si>
    <t>EMS, S.A.</t>
  </si>
  <si>
    <t>Brazil</t>
  </si>
  <si>
    <t>1104008</t>
  </si>
  <si>
    <t>TENOFOVIR DISOPROXIL MYLAN</t>
  </si>
  <si>
    <t>Mylan Hungary KFT.;
Mcdermott Laboratoires Ltd T/A Gerard Laboratoires T/A Mylan Dublin</t>
  </si>
  <si>
    <t>Mađarska; Irska</t>
  </si>
  <si>
    <t xml:space="preserve"> 1. Hronični hepatitis B (B16.2; B16.9; B18.1);
 2. HIV infekcija - za bolesnike kod kojih je dokazana rezistencija virusa humane imunodeficijencije na postojeće antiretrovirusne lekove (B20; B21; B22; B23; B24)</t>
  </si>
  <si>
    <t xml:space="preserve">    1. Hronični hepatitis B (B16.2; B16.9; B18.1);
    2. HIV infekcija - za bolesnike kod kojih je dokazana rezistencija virusa humane imunodeficijencije na postojeće antiretrovirusne lekove (B20; B21; B22; B23; B24)</t>
  </si>
  <si>
    <t>1328503</t>
  </si>
  <si>
    <t>TENOFOVIRDIZOPROKSIL/EMTRICITABIN KRKA</t>
  </si>
  <si>
    <t>Krka d.d., Novo Mesto;
Tad pharma GmbH</t>
  </si>
  <si>
    <t>1014904</t>
  </si>
  <si>
    <t>ciklosporin</t>
  </si>
  <si>
    <t>SIGMASPORIN</t>
  </si>
  <si>
    <t>Germed Farmaceutica, LTDA</t>
  </si>
  <si>
    <t>1014908</t>
  </si>
  <si>
    <t>1014913</t>
  </si>
  <si>
    <t>7114150</t>
  </si>
  <si>
    <t>R03AL02</t>
  </si>
  <si>
    <t>3 inh.</t>
  </si>
  <si>
    <t>Hronična opstruktivna bolest pluća kod odraslih za umereno teške, teške i veoma teške (II, III ili IV stadijum ) oblike bolesti (J44).</t>
  </si>
  <si>
    <t>3014900</t>
  </si>
  <si>
    <t>boca staklena, 1 po 50 ml (100mg/ml)</t>
  </si>
  <si>
    <t>KYTRIL</t>
  </si>
  <si>
    <t xml:space="preserve"> IL CSM Clinical Supplies Management; Waymade PLC.</t>
  </si>
  <si>
    <t>Nemačka; Velika Britanija</t>
  </si>
  <si>
    <t>1328661</t>
  </si>
  <si>
    <t>boca plastična, 60 po 600 mg</t>
  </si>
  <si>
    <t>3162329</t>
  </si>
  <si>
    <t>IBUMAX RP</t>
  </si>
  <si>
    <t>Hemofarm a.d. Vršac</t>
  </si>
  <si>
    <t>1.2 g</t>
  </si>
  <si>
    <t>AMOKSICILIN HF</t>
  </si>
  <si>
    <t>CEFALEKSIN HF</t>
  </si>
  <si>
    <t>DIAZEPAM HF</t>
  </si>
  <si>
    <t>blister, 56 po 25 mg</t>
  </si>
  <si>
    <t>blister, 56 po 100 mg</t>
  </si>
  <si>
    <t>blister, 56 po 300 mg</t>
  </si>
  <si>
    <t>Alkaloid d.o.o. Beograd; Alkaloid a.d. Skopje</t>
  </si>
  <si>
    <t>prašak za oralni rastvor</t>
  </si>
  <si>
    <t>LATIDROP</t>
  </si>
  <si>
    <t>Glaxo Wellcome Production</t>
  </si>
  <si>
    <t xml:space="preserve"> Glaxo Wellcome S.A.</t>
  </si>
  <si>
    <t xml:space="preserve">    Španija</t>
  </si>
  <si>
    <t xml:space="preserve"> Glaxo Wellcome Production</t>
  </si>
  <si>
    <t xml:space="preserve"> Francuska</t>
  </si>
  <si>
    <t>N004143</t>
  </si>
  <si>
    <t>NUTRINIDRINK MF CHOCOLATE</t>
  </si>
  <si>
    <t>N.V.Nutricia</t>
  </si>
  <si>
    <t>N004150</t>
  </si>
  <si>
    <t>V06DX03</t>
  </si>
  <si>
    <t>FREBINI ENERGY DRINK Banana</t>
  </si>
  <si>
    <t>emulzija</t>
  </si>
  <si>
    <t>plastična boca, EasyBottle, 1 po 200ml</t>
  </si>
  <si>
    <t>Fresenius Kabi Deutschland GmBH</t>
  </si>
  <si>
    <t>N004168</t>
  </si>
  <si>
    <t>FREBINI ENERGY DRINK Strawbery</t>
  </si>
  <si>
    <t>N004176</t>
  </si>
  <si>
    <t>FREBINI ENERGY FIBRE DRINK Chocolate</t>
  </si>
  <si>
    <t>FREBINI ENERGY FIBRE DRINK Vanilla</t>
  </si>
  <si>
    <t>NOVALAC ALLERNOVA AR</t>
  </si>
  <si>
    <t>UP Industries</t>
  </si>
  <si>
    <t>Lek se uvodi u terapiju na osnovu mišljenja pedijatra gastroenterologa/imunologa koja obavlja zdravstvenu delatnost na tercijarnom nivou zdravstvene zaštite.</t>
  </si>
  <si>
    <t>N004184</t>
  </si>
  <si>
    <t>N004192</t>
  </si>
  <si>
    <t>bočica sa kapaljkom, 1 po 10 ml (20000 i.j./ml)</t>
  </si>
  <si>
    <t>blister, 60 po 75 mg</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</si>
  <si>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E23.0 ),
 4.  Deca rođena mala za određeno gestaciono doba ( SGA ), intrauterusni zastoj u rastenju ( P05.1 ), 
 5.  Prader - Willi sindrom ( Q87.1 )
  6.  Usporeni rast kod dece u prepubertetu usled hroničnog oboljenja bubrega (N18.2-N18.9).</t>
  </si>
  <si>
    <t>20 mcg</t>
  </si>
  <si>
    <t>1. Crohnova bolest terminalnog ileuma ili ascedentnog kolona (K50).
2. Autoimuni hepatitis (К75.4)</t>
  </si>
  <si>
    <t>Za indikaciju pod tačkom 1. lek se u terapiju uvodi do tri meseca u toku 12 meseci na osnovu mišljenja gastroenterologa, a nastavak terapije još do tri meseca u toku 12 meseci na osnovu mišljenja gastroenterologa zdravstvene ustanove koja obavlja zdravstvenu delatnost na tercijarnom nivou zdravstvene zaštite.
Za indikaciju pod tačkom 2. lek se u terapiju uvodi na osnovu mišljenja lekara specijaliste interne medicine ili infektivnih i tropskih bolesti sa užom specijalizacijom iz gastroenterohepatologije zdravstvene ustanove sekundarnog ili tercijarnog nivoa zdravstvene zaštite.</t>
  </si>
  <si>
    <t xml:space="preserve">Actavis LTD   </t>
  </si>
  <si>
    <t xml:space="preserve">
Malta</t>
  </si>
  <si>
    <t xml:space="preserve"> Malta       </t>
  </si>
  <si>
    <t>0041560</t>
  </si>
  <si>
    <t>FIASP</t>
  </si>
  <si>
    <t>bočica staklena, 1 po 10 ml (100 j/ml)</t>
  </si>
  <si>
    <t>0041561</t>
  </si>
  <si>
    <t>FIASP FLEXTOUCH</t>
  </si>
  <si>
    <t>pen sa uloškom, 5 po 3 ml (100 j/ml)</t>
  </si>
  <si>
    <t>1061022</t>
  </si>
  <si>
    <t>Ave Pharmaceutical d.o.o. Beograd</t>
  </si>
  <si>
    <t>1107040</t>
  </si>
  <si>
    <t>Lek S.A.</t>
  </si>
  <si>
    <t>1107041</t>
  </si>
  <si>
    <t>1107050</t>
  </si>
  <si>
    <t>1103879</t>
  </si>
  <si>
    <t>1401992</t>
  </si>
  <si>
    <t>Belupo, Lijekovi i kozmetika, d.d.</t>
  </si>
  <si>
    <t>1139880</t>
  </si>
  <si>
    <t>SILDENAFIL SANDOZ</t>
  </si>
  <si>
    <t>1325563</t>
  </si>
  <si>
    <t>1087456</t>
  </si>
  <si>
    <t>N02AX06</t>
  </si>
  <si>
    <t>tapentadol</t>
  </si>
  <si>
    <t>PALEXIA SR</t>
  </si>
  <si>
    <t>Grunenthal GmbH</t>
  </si>
  <si>
    <t>1087457</t>
  </si>
  <si>
    <t>1087458</t>
  </si>
  <si>
    <t>blister, 30 po 150 mg</t>
  </si>
  <si>
    <t>1070671</t>
  </si>
  <si>
    <t>1072919</t>
  </si>
  <si>
    <t>PAKSTON</t>
  </si>
  <si>
    <t>Alkaloid ad Skopje</t>
  </si>
  <si>
    <t>1072025</t>
  </si>
  <si>
    <t>ESCITAL</t>
  </si>
  <si>
    <t xml:space="preserve"> 1. Depresivna epizoda  (F32),
  2. Rekurentni depresevni poremećaj (F33),
  3. Panični poremećaj (F 41.0),
  4. Socijalna fobija (F40.1),
  5. Opsesivno- kompulsivni poremećaj (F42).</t>
  </si>
  <si>
    <t>1072026</t>
  </si>
  <si>
    <t>1072027</t>
  </si>
  <si>
    <t>7114620</t>
  </si>
  <si>
    <t>ASARIS</t>
  </si>
  <si>
    <t>7114621</t>
  </si>
  <si>
    <t>7114622</t>
  </si>
  <si>
    <t>3058211</t>
  </si>
  <si>
    <t>DESLORATADIN SOPHARMA</t>
  </si>
  <si>
    <t>boca staklena, 1 po 120 ml (0,5mg/ml)</t>
  </si>
  <si>
    <t>3058291</t>
  </si>
  <si>
    <t>R06AX28</t>
  </si>
  <si>
    <t>rupatadin</t>
  </si>
  <si>
    <t>RUPAFIN</t>
  </si>
  <si>
    <t>boca plastična, 1 po 120 ml (1 mg/ml)</t>
  </si>
  <si>
    <t>1. Malnutricija u sklopu cistične fibroze kod dece, na predlog Republičke stručne komisije za retke bolesti (E84).
2. Malnutricija u inflamatornim bolestima creva kod dece (K50; K51).</t>
  </si>
  <si>
    <t xml:space="preserve"> Za indikaciju pod tačkom 1. kod bolesnika koji su zbog progresije bolesti izgubili refleks gutanja.
Za indikaciju pod tačkom 1. i 2. uvodi se u terapiju na osnovu mišljenja tri lekara zdravstvene ustanove koja obavlja zdravstvenu delatnost na tercijarnom nivou zdravstvene zaštite. </t>
  </si>
  <si>
    <t>1122502</t>
  </si>
  <si>
    <t>ACIPAN</t>
  </si>
  <si>
    <t>LOPERAMID ACTAVIS</t>
  </si>
  <si>
    <t>0041610</t>
  </si>
  <si>
    <t>ACTRAPID FLEXPEN</t>
  </si>
  <si>
    <t>rastvor za injekciju u napunjenom injekcionom penu</t>
  </si>
  <si>
    <t>napunjeni injekcioni pen, 5 po 3 ml (100i.j./ml)</t>
  </si>
  <si>
    <t>Novo Nordisk A/S; Novo Nordisk
Production
S.A.S -
Chartres</t>
  </si>
  <si>
    <t>0041611</t>
  </si>
  <si>
    <t>INSULATARD FLEXPEN</t>
  </si>
  <si>
    <t>suspenzija za injekciju u napunjenom injekcionom penu</t>
  </si>
  <si>
    <t>0041612</t>
  </si>
  <si>
    <t>MIXTARD 30 FLEXPEN</t>
  </si>
  <si>
    <t xml:space="preserve">Zdravlje a.d.; Actavis LTD   </t>
  </si>
  <si>
    <t xml:space="preserve">Republika Srbija; Malta       </t>
  </si>
  <si>
    <t>AMIODARON ACTAVIS</t>
  </si>
  <si>
    <t>1103366</t>
  </si>
  <si>
    <t>ENALAPRIL TEVA</t>
  </si>
  <si>
    <t>Merckle GmbH; Teva Operations Poland SP.Z.O.O.</t>
  </si>
  <si>
    <t>Nemačka; Poljska</t>
  </si>
  <si>
    <t>1103365</t>
  </si>
  <si>
    <t>Actavis LTD; Balkanpharma-Dupnitsa AD</t>
  </si>
  <si>
    <t>Malta;  Bugarska</t>
  </si>
  <si>
    <t>Malta; Bugarska</t>
  </si>
  <si>
    <t>1104555</t>
  </si>
  <si>
    <t>1104571</t>
  </si>
  <si>
    <t>ROPUIDO</t>
  </si>
  <si>
    <t>Republika Severna Makedonija</t>
  </si>
  <si>
    <t>1104572</t>
  </si>
  <si>
    <t>1104736</t>
  </si>
  <si>
    <t>COUPET</t>
  </si>
  <si>
    <t>Lek farmacevtska  družba d.d.</t>
  </si>
  <si>
    <t>1104737</t>
  </si>
  <si>
    <t>1104594</t>
  </si>
  <si>
    <t>1104104</t>
  </si>
  <si>
    <t>C10BA06</t>
  </si>
  <si>
    <t>rosuvastatin, ezetimib</t>
  </si>
  <si>
    <t>OLITOR</t>
  </si>
  <si>
    <t>blister, 30 po (10mg + 10mg)</t>
  </si>
  <si>
    <t>Egis Pharmaceuticals PLC</t>
  </si>
  <si>
    <t>Mađarska</t>
  </si>
  <si>
    <t>1104103</t>
  </si>
  <si>
    <t>blister, 30 po (20mg + 10mg)</t>
  </si>
  <si>
    <t>1047150</t>
  </si>
  <si>
    <t>DEKSAMETAZON KRKA</t>
  </si>
  <si>
    <t>Krka D.D., Novo Mesto</t>
  </si>
  <si>
    <t>1047152</t>
  </si>
  <si>
    <t>1047153</t>
  </si>
  <si>
    <t>1040080</t>
  </si>
  <si>
    <t>LETROX 50</t>
  </si>
  <si>
    <t>blister, 50 po 50 mcg</t>
  </si>
  <si>
    <t>Berlin-Chemie AG</t>
  </si>
  <si>
    <t>1040266</t>
  </si>
  <si>
    <t>LETROX 75</t>
  </si>
  <si>
    <t>blister, 50 po 75 mcg</t>
  </si>
  <si>
    <t>1040081</t>
  </si>
  <si>
    <t>LETROX 100</t>
  </si>
  <si>
    <t>1040267</t>
  </si>
  <si>
    <t>LETROX 125</t>
  </si>
  <si>
    <t>blister, 50 po 125 mcg</t>
  </si>
  <si>
    <t>1040082</t>
  </si>
  <si>
    <t>LETROX 150</t>
  </si>
  <si>
    <t>blister, 50 po 150 mcg</t>
  </si>
  <si>
    <t>AZINOCIN</t>
  </si>
  <si>
    <t>1328700</t>
  </si>
  <si>
    <t>VIRALEX</t>
  </si>
  <si>
    <t>1. Hepatitis acuta B ( B16.2; B16.9 ), teške forme akutnog hepatitisa B (fulminantni, subakutni).
  2. Hepatitis viralis chronica B ( B18.1 ),hronični hepatitis, kompenzovana ( K74.6 ) i dekompenzovana ciroza jetre ( K74.6 )
  3. Prevencija HBV infekcije kod bolesnika HBsAg pozitivnih na hemioterapiji i sa transplantiranim organima i tkivima
      - svi oblici hroničnih oboljenja jetre izazvanih virusom hepatitisa B (HBV) i HBsAg+ i 
      HBsAg¯ : hronični hepatitis, kompenzovana i dekompenzovana ciroza jetre, prevencija HBV infekcije kod bolesnika sa transplantiranim organima HBsAg+
      Hronična HBV infekcija: 
        a) HBsAg pozitivan u serumu &gt; 6 meseci
        b) prisutna replikacija virusa (HBV DNK-PCR u titru &gt;10 000 kopija/ml seruma)
        c) biohemijski povišena aktivnost transaminaza (ALT)&gt;2x iznad normalne vrednosti
        d) jedina kontraindikacija je preosetljivost na lavamudin</t>
  </si>
  <si>
    <t>TAMOXIFEN REMEDICA</t>
  </si>
  <si>
    <t>0059018</t>
  </si>
  <si>
    <t>M05BX04</t>
  </si>
  <si>
    <t>denosumab</t>
  </si>
  <si>
    <t>PROLIA</t>
  </si>
  <si>
    <t>rastvor za injekciju u napunjenom injekcionom špricu</t>
  </si>
  <si>
    <t xml:space="preserve">napunjeni injekcioni špric, 1 po 1 ml (60mg/ml) </t>
  </si>
  <si>
    <t>Amgen Europe B.V.</t>
  </si>
  <si>
    <t>0.33 mg</t>
  </si>
  <si>
    <t>Za prevenciju osteoporotičnih preloma kod novodijagnostikovanih pacijenata sa verifikovanim prelomom uzrokovanim traumom malog inteziteta, kod kojih je nakon  najmanje godinu dana upotrebe bisfosfonata (ili kraće, ako su se razvile neželjenje pojave na bisfosfonate) došlo do novog preloma i pada vrednosti DEXA nalaza u odnosu na vrednost pre početka lečenja.</t>
  </si>
  <si>
    <t>Lek se uvodi u terapiju na osnovu mišljenja tri lekara i to reumatologa, endokrinologa i ortopeda zdravstvene ustanove koja obavlja zdravstvenu delatnost na tercijarnom nivou.</t>
  </si>
  <si>
    <t xml:space="preserve">  Za indikaciju pod tačkom 1.,2.,3. i 4.,  lek se uvodi u terapiju na osnovu mišljenja neurologa/neuropsihijatra/neurohirurga/ psihijatra/dečjeg neurologa ili pedijatra  zdravstvene ustanove koja obavlja zdravstvenu delatnost na sekundarnom ili tercijarnom nivou.     </t>
  </si>
  <si>
    <t>N03AX15</t>
  </si>
  <si>
    <t>zonisamid</t>
  </si>
  <si>
    <t>Kod osoba obolelih od epilepsije koje imaju fokalne epileptičke napade ili fokalne epileptičke napade sa progresijom u bilateralne toničko-kloničke napade, kao dodatna terapija (za osobe starije od 6 godina) ili monoterapija (za osobe starije od 18 godina) (G40.0; G40.1; G40.2; G40.5; G40.8; G40.9).</t>
  </si>
  <si>
    <t xml:space="preserve"> Lek se uvodi u terapiju na osnovu mišljenja neuropsihijatra, neurologa, dečjeg neurologa ili pedijatra sa sekundarnog ili tercijarnog nivoa zdravstvene zaštite.</t>
  </si>
  <si>
    <t>blister, 98 po 100 mg</t>
  </si>
  <si>
    <t>1084748</t>
  </si>
  <si>
    <t>N03AX18</t>
  </si>
  <si>
    <t>lakozamid</t>
  </si>
  <si>
    <t>CAMISADOL</t>
  </si>
  <si>
    <t>Kod osoba obolelih od epilepsije koje imaju fokalne epileptičke napade ili fokalne epileptičke napade sa progresijom u bilateralne toničko-kloničke napade, kao dodatna terapija ili alternativna (ne inicijalna) monoterapija kod osoba starijih od 4 godine (G40.0; G40.1; G40.2; G40.5; G40.8; G40.9).</t>
  </si>
  <si>
    <t>Lek se uvodi u terapiju na osnovu mišljenja neuropsihijatra, neurologa, dečjeg neurologa ili pedijatra sa sekundarnog ili tercijarnog nivoa zdravstvene zaštite.</t>
  </si>
  <si>
    <t>1084752</t>
  </si>
  <si>
    <t>1084749</t>
  </si>
  <si>
    <t>blister, 56 po 200 mg</t>
  </si>
  <si>
    <t>AMITRIPTYLINE REMEDICA</t>
  </si>
  <si>
    <t>Farmaceutisch Analytisch Laboratorium Duiven B.V; Medochemie LTD (Factory AZ)</t>
  </si>
  <si>
    <t>1072608</t>
  </si>
  <si>
    <t>PRAMES</t>
  </si>
  <si>
    <t>Farmea</t>
  </si>
  <si>
    <t xml:space="preserve"> Češka</t>
  </si>
  <si>
    <t xml:space="preserve"> S&amp;D Pharma CZ, Spol. S.R.O.</t>
  </si>
  <si>
    <t>1058060</t>
  </si>
  <si>
    <t>ALERGOSAN</t>
  </si>
  <si>
    <t>Slaviamed d.o.o. Beograd</t>
  </si>
  <si>
    <t>7093075</t>
  </si>
  <si>
    <t>N004345</t>
  </si>
  <si>
    <t>NOVALAC AMINOVA</t>
  </si>
  <si>
    <t xml:space="preserve">Multipla alergija na hranu </t>
  </si>
  <si>
    <t>amantadin</t>
  </si>
  <si>
    <t>PK-MERZ</t>
  </si>
  <si>
    <t>Merz Pharma GmbH&amp;Co. KGaA</t>
  </si>
  <si>
    <t>SUMAMED TABLETE 500</t>
  </si>
  <si>
    <t>Merck Sante S.A.S; Merck S.L.; Merck Healthcare KGaA;  Famar Lyon</t>
  </si>
  <si>
    <t>5 po 25 mcg/h (5 po 4,2 mg)</t>
  </si>
  <si>
    <t>5 po 50 mcg/h (5 po 8,4 mg)</t>
  </si>
  <si>
    <t>5 po 100 mcg/h (5 po 16,8 mg)</t>
  </si>
  <si>
    <t xml:space="preserve"> Genepharm SA</t>
  </si>
  <si>
    <t xml:space="preserve"> Grčka</t>
  </si>
  <si>
    <t>Balkanpharma-Dupnitsa AD</t>
  </si>
  <si>
    <t>Lusomedicamenta Sociedade Tecnica Farmaceutica S.A.</t>
  </si>
  <si>
    <t>Portugalija</t>
  </si>
  <si>
    <t>Apotekarska ustanova - Apoteka "Beograd" Galenska laboratorija "Lipov lad"</t>
  </si>
  <si>
    <t>Fareva Amboise - Poce sur Cisse</t>
  </si>
  <si>
    <t>CETIRIZIN SLAVIAMED</t>
  </si>
  <si>
    <t>CHLORAMPHENICOL GALENIKA</t>
  </si>
  <si>
    <t>tuba, 1 po 5 g (10mg/g)</t>
  </si>
  <si>
    <t>HYDROCORTISON GALENIKA</t>
  </si>
  <si>
    <t>Samo za decu.
Lek se u terapiju uvodi na osnovu mišljenja endokrinologa ili interniste ili pedijatra.</t>
  </si>
  <si>
    <t>1103774</t>
  </si>
  <si>
    <t>C09DX04</t>
  </si>
  <si>
    <t>valsartan, sakubitril</t>
  </si>
  <si>
    <t>ENTRESTO</t>
  </si>
  <si>
    <t>blister, 28 po (26mg + 24mg)</t>
  </si>
  <si>
    <t>Italija; Slovenija</t>
  </si>
  <si>
    <t>Simptomatska hronična srčana insuficijencija kod bolesnika sa smanjenom ejekcionom frakcijom EF&lt;40%, koji imaju pro-BNP ≥ 600 pg/ml (ili pro-BNP &gt;400 pg/ml ako su zbog srčane insuficijencije bili hospitalizovani u poslednjih 12 meseci).</t>
  </si>
  <si>
    <t>Lek se propisuje na osnovu nalaza lekara specijaliste interne medicine ili kardiologa na vreme od 6 meseci. Nastavak lečenja je moguć samo uz dokumentovano simptomatsko poboljšanje uz niži pro BNP u odnosu na vrednost pre početka terapije.</t>
  </si>
  <si>
    <t>1103778</t>
  </si>
  <si>
    <t>blister, 56 po (51mg + 49mg)</t>
  </si>
  <si>
    <t>1103779</t>
  </si>
  <si>
    <t>blister, 56 po (103mg + 97mg)</t>
  </si>
  <si>
    <t>Za bolesnike sa tipom 2 dijabetesa sa neregulisanom glikemijom nakon primene dva oralna antihiperglikemijska agensa ili jednog oralnog antihiperglikemijskog agensa i bazalnog insulina, koji ne postižu HbA1c&lt;7% i koji uz to imaju 
•	indeks telesne mase ≥30 kg/m2 ili 
•	indeks telesne mase ≥28 kg/m2 i dokazanu kardiovaskularnu bolest.</t>
  </si>
  <si>
    <t>Nakon šestomesečnog lečenja potrebno je proceniti efekat lečenja, a nastavak lečenja moguć je isključivo ukoliko postoji pozitivan odgovor na lečenje (smanjenje HbA1c za najmanje 0,5%) i/ili gubitak na telesnoj masi od 3%.
Lek se uvodi u terapiju na osnovu mišljenja endokrinologa ili interniste.</t>
  </si>
  <si>
    <t>0341004</t>
  </si>
  <si>
    <t>A10BJ06</t>
  </si>
  <si>
    <t>semaglutid</t>
  </si>
  <si>
    <t>OZEMPIC</t>
  </si>
  <si>
    <t>napunjeni injekcioni pen, 1 po 1,5 ml (0,25 mg)</t>
  </si>
  <si>
    <t>0,11 mg</t>
  </si>
  <si>
    <t>0341005</t>
  </si>
  <si>
    <t>napunjeni injekcioni pen, 1 po 1,5 ml (0,5 mg)</t>
  </si>
  <si>
    <t>0341006</t>
  </si>
  <si>
    <t>napunjeni injekcioni pen, 1 po 3 ml (1 mg)</t>
  </si>
  <si>
    <t>A10BK01</t>
  </si>
  <si>
    <t>dapagliflozin</t>
  </si>
  <si>
    <t>FORXIGA</t>
  </si>
  <si>
    <t>blister deljiv na pojedinačne doze, 30 po 10 mg</t>
  </si>
  <si>
    <t>AstraZeneca GmbH;
AstraZeneca AB</t>
  </si>
  <si>
    <t>Nemačka;
Švedska</t>
  </si>
  <si>
    <t xml:space="preserve">Za bolesnike sa tipom 2 dijabetesa sa neregulisanom glikemijom koja perzistira na terapiji sa dva oralna antihiperglikemijska agensa ili jednog oralnog antihiperglikemijskog agensa i bazalnog insulina, tj. koji ne postižu HbA1c&lt;7% i koji uz to imaju indeks telesne mase ≥27 kg/m². </t>
  </si>
  <si>
    <t>Lek se uvodi u terapiju na osnovu mišljenja endokrinologa ili interniste.</t>
  </si>
  <si>
    <t>1341020</t>
  </si>
  <si>
    <t>A10BK03</t>
  </si>
  <si>
    <t>empagliflozin</t>
  </si>
  <si>
    <t xml:space="preserve">JARDIANCE </t>
  </si>
  <si>
    <t xml:space="preserve">Boehringer Ingelhem Ellas A.E.; 
Boehringer Ingelhem Pharma GmgH &amp; CO.KG </t>
  </si>
  <si>
    <t xml:space="preserve">Grčka, Nemačka </t>
  </si>
  <si>
    <t>1341022</t>
  </si>
  <si>
    <t xml:space="preserve"> Danska</t>
  </si>
  <si>
    <t>blister,  30 po 25 mg</t>
  </si>
  <si>
    <t>blister deljiv na pojedinačne doze, 30 po 1 mg</t>
  </si>
  <si>
    <t>Nemačka; Irska</t>
  </si>
  <si>
    <t>Actavis Group PTC EHF;
Merckle GMBH; Luye Pharma AG</t>
  </si>
  <si>
    <t>Island;
Nemačka; Nemačka</t>
  </si>
  <si>
    <t xml:space="preserve"> bočica sa kapaljkom, 1 po 2,5 ml  (50 mcg/ml)</t>
  </si>
  <si>
    <t>Lek se uvodi u terapiju na osnovu mišljenja Klinike za endokrine bolesti, dijabetes i bolesti metabolizma Univerzitetskog kliničkog centra Srbije.</t>
  </si>
  <si>
    <t>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t>
  </si>
  <si>
    <t>Za indikaciju pod tačkom 1. 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5. Vojnomedicinske akademije (VMA).
 Za indikaciju pod tačkom 2. 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t>
  </si>
  <si>
    <t xml:space="preserve">Lek se uvodi  u terapiju na osnovu mišljenja lekara specijaliste hematologa sledećih zdravstvenih ustanova:
   Institut za onkologiju i radiologiju Srbije, 
   Klinika za hematologiju UKC Srbije, 
   KBC Bežanijska Kosa, 
   Univerzitetska dečja klinika, 
   Klinika za hematologiju UKC Vojvodine, 
   Klinika za hematologiju i kliničku imunologiju UKC Niš, 
   UKC Kragujevac, 
   Institut za zdravstvenu zaštitu majke i deteta Srbije „Dr Vukan Čupić”, 
   Institut za zdravstvenu zaštitu dece i omladine Vojvodine, 
   Klinika za dečje interne bolesti UKC Niš.
</t>
  </si>
  <si>
    <t>Samo  za decu.
Lek se u terapiju uvodi na osnovu mišljenja dečijeg psihijatra ili psihijatra / neuropsihijatra koji se bavi decom i mladima ili dečijeg neurologa ili pedijatra sa edukacijom iz oblasti razvojne neurologije i psihijatrije sledećih zdravstvenih ustanova:
   1. Institut za mentalno zdravlje - Beograd,
   2. Klinika za neurologiju i psihijatriju za decu i omladinu - Beograd,
   3. Zavod za psihofiziološke poremećaje i govornu patologiju " Prof. dr. C.Brajović" - Beograd,
   4. Univerzitetski klinički centar Vojvodine,
   5. Univerzitetski klinički centar Niš,
   6. Univerzitetski klinički centar Kragujevac.</t>
  </si>
  <si>
    <t>Samo  za decu.
Lek se u terapiju uvodi na osnovu mišljenja dečijeg psihijatra ili psihijatra / neuropsihijatra koji se bavi decom i mladima ili dečijeg neurologa ili pedijatra sa edukacijom iz oblasti razvojne neurologije i psihijatrije sledećih zdravstvenih ustanova:
   1. Institut za mentalno zdravlje - Beograd,
   2. Klinika za neurologiju i psihijatriju za decu i omladinu - Beograd,
   3. Zavod za psihofiziološke poremećaje i govornu patologiju " Prof. dr. C.Brajović" - Beograd,
   4. Univerzitetski klinički centar  Vojvodine,
   5. Univerzitetski klinički centar Niš,
   6. Univerzitetski klinički centar Kragujevac.</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</si>
  <si>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</si>
  <si>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 xml:space="preserve">Republika Severna Makedonija </t>
  </si>
  <si>
    <t>Republika Srbija; Republika Severna Makedonija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</si>
  <si>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</si>
  <si>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Pacijenti na terapiji  subkutanom insulinskom infuzijom pomoću insulinske pumpe, na osnovu mišljenja  endokrinologa ili interniste ili pedijatra.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</si>
  <si>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</si>
  <si>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Samo za decu stariju od 12 godina. Za indikaciju pod tačkom 1. lek se uvodi u terapiju na osnovu mišljenja pedijatra ili otorinolaringologa, a za indikaciju pod tačkom 2. na osnovu mišljenja pedijatra ili dermatologa.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</si>
  <si>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</si>
  <si>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1. Samo za pacijente sa nezadovoljavajućom kontrolom dijabetesa na terapiji humanim insulinima u toku poslednjih 6 meseci (glikozilirani hemoglobin veći od 7%  tj. HbA1c&gt;7%) u kojih perzistiraju ponavljane hipoglikemije ( glikemija manja od 3,5 mmol/l ) i pored adekvatne korekcije doziranja insulina i komplijanse pacijenta u navedenom periodu od 6 meseci  Hipoglikemijska epizoda se utvrđuje na jedan od sledećih načina:  
- podatak o nivou glikemije u toku hipoglikemijske epizode utvrđen aparatom za samokontrolu glikemije (memorija ličnog aparata) i verifikovan nalazom u kartonu pacijenta, odnosno specijalističkim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</si>
  <si>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 xml:space="preserve">  1. Samo za pacijente sa nezadovoljavajućom kontrolom dijabetesa na terapiji humanim insulinima u toku poslednjih 6 meseci (glikozilirani hemoglobin veći od 7%,  tj. HbA1c&gt;7%) u kojih  perzistiraju ponavljane postprandijalne hiperglikemije (glikemija veca od 9mmol/l, 2h posle obroka) ili ponavljane hipoglikemije (glikemija manja od 3,5mmol/l) i pored adekvatne korekcije doziranja insulina i komplijanse pacijenta u navedenom periodu  od 6 meseci.
       Hipoglikemijska, odnosno postprandijalna hiperglikemijska epizoda se utvrđuje na jedan od sledećih načina:
              - podatak o nivou glikemije u toku hipoglikemijske, odnosno postprandijalne hiperglikemijske epizode utvrđen aparatom za samokontrolu glikemije (memorija ličnog aparata) i verifikovan nalazom u kartonu pacijenta, odnosno specijalističkim izveštajem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odnosno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lekovi Humalog Mix 25 i Humalog Mix 25 KwikPen mogu se koristiti i kao alternativa humanim insulinima u prvoj liniji terapije na osnovu mišljenja endokrinologa ili pedijatra.</t>
  </si>
  <si>
    <t>1. Samo za pacijente sa nezadovoljavajućom kontrolom dijabetesa na terapiji humanim insulinima u toku poslednjih 6 meseci (glikozilirani hemoglobin veći od 7%,  tj. HbA1c&gt;7%) u kojih  perzistiraju ponavljane postprandijalne hiperglikemije (glikemija veca od 9mmol/l, 2h posle obroka) ili ponavljane hipoglikemije (glikemija manja od 3,5mmol/l) i pored adekvatne korekcije doziranja insulina i komplijanse pacijenta u navedenom periodu  od 6 meseci.
       Hipoglikemijska, odnosno postprandijalna hiperglikemijska epizoda se utvrđuje na jedan od sledećih načina:
              - podatak o nivou glikemije u toku hipoglikemijske, odnosno postprandijalne hiperglikemijske epizode utvrđen aparatom za samokontrolu glikemije (memorija ličnog aparata) i verifikovan nalazom u kartonu pacijenta, odnosno specijalističkim izveštajem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odnosno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</si>
  <si>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1047412</t>
  </si>
  <si>
    <t>H02AB09</t>
  </si>
  <si>
    <t>HYDROCORTISON GALEPHARM</t>
  </si>
  <si>
    <t>blister deljiv na pojedinačne doze, 100 po 10 mg</t>
  </si>
  <si>
    <t>1084870</t>
  </si>
  <si>
    <t>ZOCAP</t>
  </si>
  <si>
    <t>Glenmark Pharmaceuticals S.R.O.</t>
  </si>
  <si>
    <t>Samo za pacijente sa nezadovoljavajućom kontrolom dijabetesa na terapiji humanim insulinima u toku poslednjih 6 meseci (  glikozilirani hemoglobin veći od 7%  tj. HbA1c&gt;7%) u kojih perzistiraju ponavljane hipoglikemije ( glikemija manja od 3,5 mmola /l ) i pored adekvatne korekcije doziranja insulina i komplijanse pacijenta u navedenom periodu od 6 meseci.
       Hipoglikemijska epizoda se utvrđuje na jedan od sledećih načina:
              - podatak o nivou glikemije u toku hipoglikemijske epizode utvrđen aparatom za samokontrolu glikemije (memorija ličnog aparata) i verifikovan nalazom u kartonu pacijenta, odnosno specijalističkim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</si>
  <si>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Ave &amp; Vetmedic d.o.o. Beograd</t>
  </si>
  <si>
    <t>1061055</t>
  </si>
  <si>
    <t>FOLNACID UNION</t>
  </si>
  <si>
    <t xml:space="preserve">Union medic d.o.o. Novi Sad </t>
  </si>
  <si>
    <t>Belupo d.d.</t>
  </si>
  <si>
    <t>1104770</t>
  </si>
  <si>
    <t>Pharmaswiss d.o.o. Beograd</t>
  </si>
  <si>
    <t>JARAMERA</t>
  </si>
  <si>
    <t xml:space="preserve">Hemofarm a.d. </t>
  </si>
  <si>
    <t>1104908</t>
  </si>
  <si>
    <t>ROZOR</t>
  </si>
  <si>
    <t>film tableta</t>
  </si>
  <si>
    <t>Irska; Mađarska</t>
  </si>
  <si>
    <t>ROXERA PLUS</t>
  </si>
  <si>
    <t>Krka d.d., Novo Mesto</t>
  </si>
  <si>
    <t>blister, 30 po (40mg + 10mg)</t>
  </si>
  <si>
    <t xml:space="preserve">Krka d.d., Novo Mesto        </t>
  </si>
  <si>
    <t>1104921</t>
  </si>
  <si>
    <t>EZRUSTA</t>
  </si>
  <si>
    <t>Elpen Pharmaceutical Co., INC</t>
  </si>
  <si>
    <t>1104920</t>
  </si>
  <si>
    <t>1139393</t>
  </si>
  <si>
    <t>SILDENAFIL NORMON</t>
  </si>
  <si>
    <t>blister deljiv na pojedinačne doze, 90 po 20 mg</t>
  </si>
  <si>
    <t>Laboratorios Normon S.A.</t>
  </si>
  <si>
    <t>1321623</t>
  </si>
  <si>
    <t>CEFAPAN</t>
  </si>
  <si>
    <t>EMS, S.A.;
Galenika a.d.</t>
  </si>
  <si>
    <t>Brazil;
Republika Srbija</t>
  </si>
  <si>
    <t>1329807</t>
  </si>
  <si>
    <t>CIPROAVE</t>
  </si>
  <si>
    <t>ZOMEP</t>
  </si>
  <si>
    <t>Zaklady Farmaceutyczne Polpharma S.A.</t>
  </si>
  <si>
    <t>blister, 35 po 400 mg</t>
  </si>
  <si>
    <t>GILESTRA DUO T</t>
  </si>
  <si>
    <t>boca plastična, 30 po (245mg+200mg)</t>
  </si>
  <si>
    <t>3048814</t>
  </si>
  <si>
    <t>MEGORAL</t>
  </si>
  <si>
    <t>boca plastična, 1 po 240 ml (40mg/ml)</t>
  </si>
  <si>
    <t>Vipharm S.A.</t>
  </si>
  <si>
    <t>Farmasierra Manufacturing S.L.;
Famar Nederland B.V.;
Farmalider S.A.; Edefarm S.L.</t>
  </si>
  <si>
    <t>Španija;
Holandija;
Španija; Španija</t>
  </si>
  <si>
    <t>3162330</t>
  </si>
  <si>
    <t>BLOKMAX FORTE za decu</t>
  </si>
  <si>
    <t>Alkaoid AD Skopje</t>
  </si>
  <si>
    <t>1.2g</t>
  </si>
  <si>
    <t>blister deljiv na pojedinačne doze, 30 po (5 mg + 2.5 mg)</t>
  </si>
  <si>
    <t>75 mg </t>
  </si>
  <si>
    <t>OXYDON</t>
  </si>
  <si>
    <t>1084850</t>
  </si>
  <si>
    <t>ELUMELA</t>
  </si>
  <si>
    <t>1084851</t>
  </si>
  <si>
    <t>blister, 56 po 75 mg</t>
  </si>
  <si>
    <t>1084852</t>
  </si>
  <si>
    <t>1084853</t>
  </si>
  <si>
    <t>1084919</t>
  </si>
  <si>
    <t>PREGALIX</t>
  </si>
  <si>
    <t>Pharmathen International SA; Pharmathen SA</t>
  </si>
  <si>
    <t>Grčka; Grčka</t>
  </si>
  <si>
    <t>1084920</t>
  </si>
  <si>
    <t>1084921</t>
  </si>
  <si>
    <t>1084922</t>
  </si>
  <si>
    <t>GABAPREG</t>
  </si>
  <si>
    <t>blister, 90 po 50 mg</t>
  </si>
  <si>
    <t>Pharmaten SA; Pharmaten International SA</t>
  </si>
  <si>
    <t>1084923</t>
  </si>
  <si>
    <t>1084924</t>
  </si>
  <si>
    <t>LACOMDA</t>
  </si>
  <si>
    <t>Genepharm SA</t>
  </si>
  <si>
    <t>1084760</t>
  </si>
  <si>
    <t>LOSMORID</t>
  </si>
  <si>
    <t>1084761</t>
  </si>
  <si>
    <t>1084762</t>
  </si>
  <si>
    <t>1084763</t>
  </si>
  <si>
    <t>7114168</t>
  </si>
  <si>
    <t>AIRBUFO FORSPIRO</t>
  </si>
  <si>
    <t>inhalator, 1 po 60 doza (4,5mcg/doza + 160mcg/doza)</t>
  </si>
  <si>
    <t>Aeropharm GmbH;
Salutas Pharma GmbH;
Lek Farmacevtska Družba d.d.</t>
  </si>
  <si>
    <t>Nemačka;
Nemačka;
Slovenija</t>
  </si>
  <si>
    <t xml:space="preserve"> AstraZeneca AB; Covis Pharma Europe B.V.</t>
  </si>
  <si>
    <t>Švedska;  Holandija</t>
  </si>
  <si>
    <t xml:space="preserve"> Pharmathen S.A.</t>
  </si>
  <si>
    <t>Pharmathen S.A.</t>
  </si>
  <si>
    <t xml:space="preserve"> Italfarmaco S.A.</t>
  </si>
  <si>
    <t>Zentiva k.s.</t>
  </si>
  <si>
    <t>7099010</t>
  </si>
  <si>
    <t>LATANOPROST COOPER</t>
  </si>
  <si>
    <t>bočica sa kapaljkom, 1 po 2,5 mL (0,05mg/mL)</t>
  </si>
  <si>
    <t>Cooper S.A.</t>
  </si>
  <si>
    <t>MONOPOST</t>
  </si>
  <si>
    <t>kapi za oči, rastvor u jednodoznom kontejneru</t>
  </si>
  <si>
    <t>jednodozni kontejner, 30 (3x10) po 0,2 ml  (50 mcg/ml)</t>
  </si>
  <si>
    <t>Laboratoire Unither - Coutances;
Laboratoires Thea - Clermont Ferrand</t>
  </si>
  <si>
    <t>Francuska;
Francuska</t>
  </si>
  <si>
    <t>jednodozni kontejner, 30 (6x5) po 0,2 ml  (50 mcg/ml)</t>
  </si>
  <si>
    <t>1. Infekcije gornjeg respiratornog trakta ( J02-J03); 
2. Akutno zapaljenje mokraćne bešike (N30);
3. Infekcija mokraćnih puteva neoznačene lokalizacije (N39.0);
4. Infekcije kože i mekog tkiva (L00-L08).</t>
  </si>
  <si>
    <t>J05AF10</t>
  </si>
  <si>
    <t>entekavir</t>
  </si>
  <si>
    <t>QUANTAVIR</t>
  </si>
  <si>
    <t>Abdi Ibrahim Ilac San. Ve Tic A.S.</t>
  </si>
  <si>
    <t>Hronični hepatitis B</t>
  </si>
  <si>
    <t>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5. Klinike za infektivne bolesti Vojnomedicinske akademije.</t>
  </si>
  <si>
    <t>J05AG06</t>
  </si>
  <si>
    <t>doravirin</t>
  </si>
  <si>
    <t>PIFELTRO</t>
  </si>
  <si>
    <t>boca plastična, 30 po 100 mg</t>
  </si>
  <si>
    <t>0.1 g</t>
  </si>
  <si>
    <t xml:space="preserve">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t>
  </si>
  <si>
    <t>1328200</t>
  </si>
  <si>
    <t>J05AR20</t>
  </si>
  <si>
    <t>emtricitabin, tenofoviralafenamid, biktegravir</t>
  </si>
  <si>
    <t>BIKTARVY</t>
  </si>
  <si>
    <t>boca, 30 po (200mg + 25mg + 50mg)</t>
  </si>
  <si>
    <t>1328680</t>
  </si>
  <si>
    <t>J05AR22</t>
  </si>
  <si>
    <t>emtricitabin, tenofoviralafenamid, darunavir, kobicistat</t>
  </si>
  <si>
    <t>SYMTUZA</t>
  </si>
  <si>
    <t>boca plastična, 30 po (200mg + 10 mg + 800 mg + 150 mg)</t>
  </si>
  <si>
    <t>Janssen Cilag S.P.A.</t>
  </si>
  <si>
    <t>0132860</t>
  </si>
  <si>
    <t>J05AR24</t>
  </si>
  <si>
    <t>lamivudin, tenofovir, doravirin</t>
  </si>
  <si>
    <t>DELSTRIGO</t>
  </si>
  <si>
    <t>boca plastična, 30 po (300mg + 245mg + 100mg)</t>
  </si>
  <si>
    <t>1328690</t>
  </si>
  <si>
    <t>J05AR25</t>
  </si>
  <si>
    <t>lamivudin, dolutegravir</t>
  </si>
  <si>
    <t>DOVATO</t>
  </si>
  <si>
    <t>boca plastična, 30 po (300mg + 50mg)</t>
  </si>
  <si>
    <t>1.Malnutricija u sklopu cistične fibroze kod dece, na predlog Republičke stručne komisije za retke bolesti (E84).
2.Malnutricija u inflamatornim bolestima creva kod dece (K50; K51).</t>
  </si>
  <si>
    <t>N004580</t>
  </si>
  <si>
    <t>MODILAC EXPERT RIZ</t>
  </si>
  <si>
    <t>Nutrispain SL</t>
  </si>
  <si>
    <t xml:space="preserve">Lek se uvodi u terapiju na osnovu mišljenja pedijatra gastroenterologa/imunologa zdravstvene ustanove koja obavlja zdravstvenu delatnost na tercijarnom nivou zdravstvene zaštite. </t>
  </si>
  <si>
    <t>N004572</t>
  </si>
  <si>
    <t>ALFAMINO HMO</t>
  </si>
  <si>
    <t>Nestle Switzerland S.A., Konolfingen Factory</t>
  </si>
  <si>
    <t>1. Intolerancija proteina kravljeg mleka (К90.4,Т78.0, Т78.1).
2. Multipla alergija na hranu.</t>
  </si>
  <si>
    <t xml:space="preserve">Lek se uvodi u terapiju na osnovu mišljenja pedijatra gastroenterologa/imunologa zdravstvene ustanove koja obavlja zdravstvenu delatnost na tercijarnom nivou zdravstvene zaštite.                                                                  </t>
  </si>
  <si>
    <t>N004549</t>
  </si>
  <si>
    <t>FRESUBIN 2 kcal DRINK Vanilla</t>
  </si>
  <si>
    <t>bočica, 200 ml (2 kcal/ml)</t>
  </si>
  <si>
    <t>Fresenius Kabi Deutschland</t>
  </si>
  <si>
    <t>Kod bolesnika koji su zbog progresije bolesti izgubili refleks gutanja.
Za indikaciju  pod tačkom 1, 2, 3, 4. i 5.  lek se uvodi u terapiju na osnovu mišljenja tri lekara zdravstvene ustanove koja obavlja zdravstvenu delatnost na tercijarnom nivou zdravstvene zaštite.</t>
  </si>
  <si>
    <t>N004556</t>
  </si>
  <si>
    <t>FRESUBIN 2 kcal Fibre DRINK Cappuccino</t>
  </si>
  <si>
    <t xml:space="preserve">1. Progresivna mioklonična epilepsija - LaForina epilepsija (G40)
2. Mitohondrijalna (metahromatska) leukodistrofija (G31.9)
3. Spinalna mišićna distrofija (G12)
4. Batenova bolest (E75.4)  
5. Druge retke bolesti na predlog Republičke stručne komisije za retke bolesti.    </t>
  </si>
  <si>
    <t>N004564</t>
  </si>
  <si>
    <t>FRESUBIN 2 kcal Fibre DRINK Chocolate</t>
  </si>
  <si>
    <t xml:space="preserve">1. Progresivna mioklonična epilepsija - LaForina epilepsija (G40)
2. Mitohondrijalna (metahromatska) leukodistrofija (G31.9)
3. Spinalna mišićna distrofija (G12)
4. Batenova bolest (E75.4)  
5. Druge retke bolesti na predlog Republičke stručne komisije za retke bolesti.   </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</si>
  <si>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</si>
  <si>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OMEPROL T</t>
  </si>
  <si>
    <t>1059011</t>
  </si>
  <si>
    <t>A16AX12</t>
  </si>
  <si>
    <t>trientin</t>
  </si>
  <si>
    <t>CUFENCE</t>
  </si>
  <si>
    <t>Aesica Pharmaceuticals GmbH</t>
  </si>
  <si>
    <t>0.45 g</t>
  </si>
  <si>
    <t>1059010</t>
  </si>
  <si>
    <t>TRIENTINE UNI-CHEM</t>
  </si>
  <si>
    <t>Tillomed Laboratories Limited;
Mias Pharma Limited</t>
  </si>
  <si>
    <t>Ujedinjeno Kraljevstvo;
Irska</t>
  </si>
  <si>
    <t>Willson-ova bolest</t>
  </si>
  <si>
    <t>BOSENTAN PHARMASCIENCE</t>
  </si>
  <si>
    <t>Pharmascience International Limited</t>
  </si>
  <si>
    <t>1107530</t>
  </si>
  <si>
    <t>BISOPROLOL ZENTIVA</t>
  </si>
  <si>
    <t>1107531</t>
  </si>
  <si>
    <t>Češka; Rumunija</t>
  </si>
  <si>
    <t>1107532</t>
  </si>
  <si>
    <t>1107533</t>
  </si>
  <si>
    <t>1107505</t>
  </si>
  <si>
    <t>COR TENSEC</t>
  </si>
  <si>
    <t>1107506</t>
  </si>
  <si>
    <t>1107507</t>
  </si>
  <si>
    <t>1107682</t>
  </si>
  <si>
    <t>KARVILEKS T</t>
  </si>
  <si>
    <t>blister, 30 po 12.5 mg</t>
  </si>
  <si>
    <t>Teva Pharmaceutical Works Private Limited Company</t>
  </si>
  <si>
    <t>1104910</t>
  </si>
  <si>
    <t>ROPUIDO PLUS</t>
  </si>
  <si>
    <t>1104911</t>
  </si>
  <si>
    <t>AZAMURAN</t>
  </si>
  <si>
    <t>blister, 100 po 50 mg</t>
  </si>
  <si>
    <t>Aqvida GmbH</t>
  </si>
  <si>
    <t>1082000</t>
  </si>
  <si>
    <t>M03BX01</t>
  </si>
  <si>
    <t>baklofen</t>
  </si>
  <si>
    <t>FEZEA</t>
  </si>
  <si>
    <t>Medika, D.D.</t>
  </si>
  <si>
    <t>50 mg</t>
  </si>
  <si>
    <t>Spazmi kod drugih označenih degenerativnih bolesti nervnog sistema (G31.8) udruženih sa progresivnom miokloničnom epilepsijom (G40).</t>
  </si>
  <si>
    <t>Lek se uvodi u terapiju na osnovu mišljenja tri lekara zdravstvene ustanove koja obavlja zdravstvenu delatnost na tercijarnom nivou zdravstvene zaštite.</t>
  </si>
  <si>
    <t>1029701</t>
  </si>
  <si>
    <t>P01BA02</t>
  </si>
  <si>
    <t>hidroksihlorohin</t>
  </si>
  <si>
    <t>HYPLAXY</t>
  </si>
  <si>
    <t>Pharmas D.O.O.</t>
  </si>
  <si>
    <t>Republika Hrvatska</t>
  </si>
  <si>
    <t>0.516 g</t>
  </si>
  <si>
    <t>0041205</t>
  </si>
  <si>
    <t>TRESIBA PENFILL</t>
  </si>
  <si>
    <t>uložak, 5 po 3mL (100j./mL)</t>
  </si>
  <si>
    <t>0.25 g</t>
  </si>
  <si>
    <t>3321601</t>
  </si>
  <si>
    <t>boca staklena, 1 po 100mL (100mg/5mL)</t>
  </si>
  <si>
    <t>3321602</t>
  </si>
  <si>
    <t>boca staklena, 1 po 50mL (100mg/5mL)</t>
  </si>
  <si>
    <t>boca staklena, 100 po 200 mg</t>
  </si>
  <si>
    <t>Zentiva K.S.;
S.C. Zentiva S.A.</t>
  </si>
  <si>
    <t>Češka;
Rumunija</t>
  </si>
  <si>
    <t>0044262</t>
  </si>
  <si>
    <t>H01AC08</t>
  </si>
  <si>
    <t>somatrogon</t>
  </si>
  <si>
    <t>NGENLA</t>
  </si>
  <si>
    <t>napunjeni injekcioni pen, 1 po 1.2mL (24mg)</t>
  </si>
  <si>
    <t>Nizak rast prouzrokovan nedovoljnim lučenjem ili izostankom lučenja hormona rasta (E23.0), samo kod dece.</t>
  </si>
  <si>
    <t>0044263</t>
  </si>
  <si>
    <t>napunjeni injekcioni pen, 1 po 1.2mL (60mg)</t>
  </si>
  <si>
    <t>blister deljiv na pojedinačne doze, 20 po 10 mg</t>
  </si>
  <si>
    <t>boca staklena, 1 po 100 ml (250mg/5ml)</t>
  </si>
  <si>
    <t>bočica staklena, 1 po 100 ml (250 mg/5 ml +  62,5 mg/5 ml)</t>
  </si>
  <si>
    <t xml:space="preserve">boca staklena, 1 po 70 ml (400mg+57mg)/5ml </t>
  </si>
  <si>
    <t>boca plastična, 1 po 70 ml (400mg/5ml + 57mg/5ml)</t>
  </si>
  <si>
    <t>boca staklena, 1 po 100 ml (100 mg/5 ml)</t>
  </si>
  <si>
    <t>boca, plastična, 1 po 150 ml (200mg/5ml)</t>
  </si>
  <si>
    <t>boca plastična, 1 po 100 ml (200mg/5ml)</t>
  </si>
  <si>
    <t>boca staklena, 1 po 100 ml (200mg/5ml)</t>
  </si>
  <si>
    <t>boca plastična, 1 po 100 ml (40mg/ml)</t>
  </si>
  <si>
    <t>bočica, 25 po 1 mg</t>
  </si>
  <si>
    <t>bočica, 100 po 2,5 mg</t>
  </si>
  <si>
    <t>blister, 1 po 60 doza (50 mcg/doza + 100 mcg/doza)</t>
  </si>
  <si>
    <t>diskus, 1 po 60 doza (50 mcg/doza + 100 mcg/doza)</t>
  </si>
  <si>
    <t>diskus, 1 po 60 doza (50 mcg/doza + 250 mcg/doza)</t>
  </si>
  <si>
    <t>blister, 1 po 60 doza (50 mcg/doza + 250 mcg/doza)</t>
  </si>
  <si>
    <t>diskus, 1 po 60 doza (50 mcg/doza + 500 mcg/doza)</t>
  </si>
  <si>
    <t>blister, 1 po 60 doza (50 mcg/doza + 500 mcg/doza)</t>
  </si>
  <si>
    <t>bočica plastična, 1 po 5 ml (5mg/ml)</t>
  </si>
  <si>
    <t>timolol, dorzolamid</t>
  </si>
  <si>
    <t>bočica sa kapaljkom, 50 mcg/ml, 1 po 2,5 ml</t>
  </si>
  <si>
    <t>blister deljiv na pojedinačne doze, 30 po 25 mg</t>
  </si>
  <si>
    <t>blister deljiv na pojedinačne doze, 20 po 20 mg</t>
  </si>
  <si>
    <t>Alkaloid d.o.o. Beograd;
Alkaloid ad Skopje</t>
  </si>
  <si>
    <t>Novartis Farma S.P.A.;
Lek Farmacevtska Družba D.D., Poslovna enota proizvodnja Lendava</t>
  </si>
  <si>
    <t>Alkaloid d.o.o. Beograd;
Alkaloid a.d. Skopje</t>
  </si>
  <si>
    <t>Alkaloid d.o.o Beograd;
Alkaloid a.d. Skoplje</t>
  </si>
  <si>
    <t xml:space="preserve">MCDermott Laboratories Limited  T/A Gerard Laboratories  T/A Mylan Dublin;
Mylan Hungary KFT  </t>
  </si>
  <si>
    <t>0,245g</t>
  </si>
  <si>
    <t>0.5 mg</t>
  </si>
  <si>
    <t>Za lečenje dece sa dijabetesom tipа I, lek se može koristiti i kao alternativa humanim insulinima u prvoj liniji terapije na osnovu mišljenja endokrinologa ili pedijatra.</t>
  </si>
  <si>
    <t>17,5 mg</t>
  </si>
  <si>
    <t>boca plastična, 100 po 167 mg</t>
  </si>
  <si>
    <t>blister deljiv na pojedinačne doze, 20 po (10 mg + 25 mg)</t>
  </si>
  <si>
    <t>blister deljiv na pojedinačne doze, 20 po (10 mg + 12,5 mg)</t>
  </si>
  <si>
    <t>blister, 30 po (5 mg + 2.5 mg)</t>
  </si>
  <si>
    <t>blister, 30 po (10 mg + 5 mg)</t>
  </si>
  <si>
    <t>blister, 30 po (20 mg + 10 mg)</t>
  </si>
  <si>
    <t>blister, 30 po (40 mg + 20 mg)</t>
  </si>
  <si>
    <t>Holandija;
Kipar</t>
  </si>
  <si>
    <t xml:space="preserve">bočica sa sprej pumpom, 50mcg/potisak, 1 po 18g (140 potisaka) </t>
  </si>
  <si>
    <t>1043050</t>
  </si>
  <si>
    <t>METFORMIN ZENTIVA</t>
  </si>
  <si>
    <t>30 po 500 mg</t>
  </si>
  <si>
    <t>S.C. Zentiva S.A.</t>
  </si>
  <si>
    <t>1043051</t>
  </si>
  <si>
    <t>60 po 500 mg</t>
  </si>
  <si>
    <t>1043052</t>
  </si>
  <si>
    <t>30 po 850 mg</t>
  </si>
  <si>
    <t>1043053</t>
  </si>
  <si>
    <t>1061056</t>
  </si>
  <si>
    <t>Union medic d.o.o. Novi Sad</t>
  </si>
  <si>
    <t>1321953</t>
  </si>
  <si>
    <t>SANAZIL</t>
  </si>
  <si>
    <t>boca staklena, 1 po 60 mL (250mg/5mL)</t>
  </si>
  <si>
    <t>Nobel Ilac Sanayii Ve Ticaret A.S.</t>
  </si>
  <si>
    <t>1321951</t>
  </si>
  <si>
    <t>AZOPT</t>
  </si>
  <si>
    <t>bočica sa kapaljkom, 1 po 5 ml (10 mg/ml)</t>
  </si>
  <si>
    <t>Alcon-Couvreur;
Alcon Cusi S.A.</t>
  </si>
  <si>
    <t>Belgija;
Španija</t>
  </si>
  <si>
    <t>blister deljiv na pojedinačne doze, 60 po (10 mg + 5 mg)</t>
  </si>
  <si>
    <t>blister deljiv na pojedinačne doze, 60 po (20 mg + 10 mg)</t>
  </si>
  <si>
    <t>valproinska kiselina</t>
  </si>
  <si>
    <t>natrijum-valproat</t>
  </si>
  <si>
    <t>ACIKLOVIR ACTAVIS</t>
  </si>
  <si>
    <t>Belupo D.D.</t>
  </si>
  <si>
    <t>ENALAPRIL/HCT TEVA</t>
  </si>
  <si>
    <t>Zdravlje a.d.;
Teva Pharmaceutical Works Private Limited Company</t>
  </si>
  <si>
    <t>Republika Srbija;
Mađarska</t>
  </si>
  <si>
    <t>Balkanpharma-Dupnitsa AD;
Actavis LTD.</t>
  </si>
  <si>
    <t>Bugarska;
Malta</t>
  </si>
  <si>
    <t xml:space="preserve">Actavis LTD.;
Balkanpharma-Dupnitsa AD                        </t>
  </si>
  <si>
    <t xml:space="preserve">Malta;
Bugarska       </t>
  </si>
  <si>
    <t xml:space="preserve">Actavis LTD.                  </t>
  </si>
  <si>
    <t xml:space="preserve">Actavis LTD.               </t>
  </si>
  <si>
    <t>Organon Heist B.V.</t>
  </si>
  <si>
    <t xml:space="preserve">CETIRIZIN ZENTIVA </t>
  </si>
  <si>
    <t xml:space="preserve"> Labormed - Pharma S.A.</t>
  </si>
  <si>
    <t xml:space="preserve"> Rumunija</t>
  </si>
  <si>
    <t>Hrvatska; Poljska; Nemačka</t>
  </si>
  <si>
    <t>Sandoz GmbH - Betriebsstatte/Manufacturing Site Anti Infectives &amp; Chemical Operations FDF Kundl (Aico FDF Kundl)</t>
  </si>
  <si>
    <t>AFLOTHENOL</t>
  </si>
  <si>
    <t>N02BF02</t>
  </si>
  <si>
    <t>Delpharm Poznan S.A.</t>
  </si>
  <si>
    <t>G02CB01</t>
  </si>
  <si>
    <t>L04AH01</t>
  </si>
  <si>
    <t>Pfizer Manufacturing Deutschland GmbH; Pfizer Ireland Pharmaceuticals</t>
  </si>
  <si>
    <t>ipratropijum-bromid, salbutamol</t>
  </si>
  <si>
    <t>IPRATROPIJUM-BROMID/SALBUTAMOL PHARMAS</t>
  </si>
  <si>
    <t>ampula, 60 po 2,5 ml (0,5mg/2,5ml + 2,5mg/2,5ml)</t>
  </si>
  <si>
    <t>Sanofi Winthrop Industrie;
Unither Liquid Manufacturing</t>
  </si>
  <si>
    <t>Sofarimex-Industria Quimica E Farmaceutica S.A.</t>
  </si>
  <si>
    <t>VIGANTOL</t>
  </si>
  <si>
    <t>J05AJ03</t>
  </si>
  <si>
    <t>Velika Britanija; 
Francuska</t>
  </si>
  <si>
    <t xml:space="preserve"> Španija</t>
  </si>
  <si>
    <t>Krka d.d., NOVO MESTO; TAD Pharma GmbH</t>
  </si>
  <si>
    <t>Francuska; 
Francuska</t>
  </si>
  <si>
    <t>kontejner za tablete, 30 po (333 mg + 145 mg)</t>
  </si>
  <si>
    <t>boca staklena, 1 po 150 ml (50 mg/ml)</t>
  </si>
  <si>
    <t>Samo za decu.
  Samo za osobe sa poremećenim aktom gutanja što je potrebno naznačiti na receptu.</t>
  </si>
  <si>
    <t>Samo za decu i osobe sa poremećenim aktom gutanja što je potrebno naznačiti na receptu.</t>
  </si>
  <si>
    <t>Lek se uvodi u terapiju  na osnovu mišljenja gastroenterologa ili gastroenterologa-pedijatra  ili pedijatra u službi gastroenterologije.
 Lek se može propisati  u količini do 7 kg na jedan lekarski recept za period do 30 dana.</t>
  </si>
  <si>
    <t>Sanofi Winthrop Industrie; Sanofi S.R.L.</t>
  </si>
  <si>
    <t>blister, 28 po 12,5 mg</t>
  </si>
  <si>
    <t>VERAPAMIL HF</t>
  </si>
  <si>
    <t>Sanofi S.R.L.</t>
  </si>
  <si>
    <t>tuba, 1 po 50 g (10mg/g)</t>
  </si>
  <si>
    <t>Cyndea Pharma; Besins Manufacturing Belgium</t>
  </si>
  <si>
    <t>Španija; Belgija</t>
  </si>
  <si>
    <t>Besins Manufacturing Espana; 
Cyndea Pharma; Besins Manufacturing Belgium</t>
  </si>
  <si>
    <t>Španija; 
Španija;
Belgija</t>
  </si>
  <si>
    <t>Formula Pharmazeutische und Chemische Entwicklungs GmbH;
Cyndea Pharma S.L.</t>
  </si>
  <si>
    <t>Nemačka;
Španija</t>
  </si>
  <si>
    <t>Samo za decu.
Samo za osobe sa poremećenim aktom gutanja što je potrebno naznačiti na receptu.</t>
  </si>
  <si>
    <t>SmithKline Beecham Pharmaceutical; 
Glaxo Wellcome Production</t>
  </si>
  <si>
    <t>blister, 15 po (500 mg + 125 mg)</t>
  </si>
  <si>
    <t xml:space="preserve"> Za indikaciju pod tačkom 3. potrebno je naznačiti na receptu.</t>
  </si>
  <si>
    <t xml:space="preserve"> Za indikaciju pod tačkom 3. potrebno je naznačiti na receptu.
 Samo za decu.
  Samo za osobe sa poremećenim aktom gutanja što je potrebno naznačiti na receptu.</t>
  </si>
  <si>
    <t>Samo za decu. Samo za osobe sa poremećenim aktom gutanja što je potrebno naznačiti na receptu.</t>
  </si>
  <si>
    <t>Glaxo Operations UK LTD Trading AS Glaxo Wellcome Operations</t>
  </si>
  <si>
    <t>Samo za decu.
 Samo za osobe sa poremećenim aktom gutanja što je potrebno naznačiti na receptu.</t>
  </si>
  <si>
    <t xml:space="preserve">Samo za decu i osobe sa poremećenim aktom gutanja što je potrebno naznačiti na receptu. </t>
  </si>
  <si>
    <t>Za indikaciju pod tačkom 6. potrebno je naznačiti na receptu.</t>
  </si>
  <si>
    <t>Delpharm Poznan S.A.; Glaxo Wellcome Operations</t>
  </si>
  <si>
    <t>Glaxo Wellcome S.A; Delpharm Poznan S.A.</t>
  </si>
  <si>
    <t>Španija; 
Poljska</t>
  </si>
  <si>
    <t>ALOPURINOL HF</t>
  </si>
  <si>
    <t>Medochemie Limited;
Medochemie Ltd (Central factory)</t>
  </si>
  <si>
    <t>Kipar; Kipar</t>
  </si>
  <si>
    <t>HALOPERIDOL ZDRAVLJE</t>
  </si>
  <si>
    <t>kontejner za tablete, 20 po 500 mg</t>
  </si>
  <si>
    <t>bočica sa pumpom za doziranje, 1 po 120 potisaka (27,5 mcg/potisak)</t>
  </si>
  <si>
    <t>Glaxo Wellcome Operations; 
Glaxo Wellcome Production-Evreux</t>
  </si>
  <si>
    <t>Zdravlje A.D. Leskovac;
Teva Operations Poland SP.Z.O.O.</t>
  </si>
  <si>
    <t>Republika Srbija; Poljska</t>
  </si>
  <si>
    <t>Merck Sharp &amp; Dohme B.V.
Organon Heist B.V.</t>
  </si>
  <si>
    <t>Holandija
Belgija</t>
  </si>
  <si>
    <t>bočica sa kapaljkom, 3 po 2,5 ml (50 mcg/ml)</t>
  </si>
  <si>
    <t>bočica sa kapaljkom, 1 po 2,5ml (50mcg/ml)</t>
  </si>
  <si>
    <t xml:space="preserve">Actavis LTD.; Balkanpharma-Dupnitsa ad                        </t>
  </si>
  <si>
    <t xml:space="preserve">Malta; Bugarska       </t>
  </si>
  <si>
    <t xml:space="preserve">Actavis LTD.; Balkanpharma-Dupnitsa ad                          </t>
  </si>
  <si>
    <t>Pharmachemie B.V.;
Teva Pharma S.L.U.;
Merckle GmbH</t>
  </si>
  <si>
    <t>Holandija;
Španija;
Nemačka</t>
  </si>
  <si>
    <t>Opella Healthcare International SAS;
Sanofi S.r.l. Strada Statale</t>
  </si>
  <si>
    <t>Francuska;
Italija</t>
  </si>
  <si>
    <t>Merckle GmbH;
Pliva Hrvatska d.o.o.;
Teva Pharma S.L.U.</t>
  </si>
  <si>
    <t>Nemačka;
Hrvatska;
Španija</t>
  </si>
  <si>
    <t>Nemačka;
Hrvatska; 
 Španija</t>
  </si>
  <si>
    <t>MiP Pharma GmbH</t>
  </si>
  <si>
    <t>Pliva Hrvatska d.o.o;
Teva Operations Poland SP. Z.O.O;
Merckle GmbH</t>
  </si>
  <si>
    <t>L01BA01</t>
  </si>
  <si>
    <t xml:space="preserve"> blister, 50 po 2,5 mg</t>
  </si>
  <si>
    <t>Salutas Pharma GmBH</t>
  </si>
  <si>
    <t>Pfizer Manufacturing Deutschland GmbH;
Mylan Hungary KFT.;
Medis International A.S., Vyrobni zavod Bolatice</t>
  </si>
  <si>
    <t>Nemačka;
Mađarska;
Češka</t>
  </si>
  <si>
    <t>PREGABALIN VIATRIS</t>
  </si>
  <si>
    <t>Mylan Germany GmbH; Mylan Hungary KFT.; Logisters, Logistica Portugal, S.A.</t>
  </si>
  <si>
    <t>Nemačka; Mađarska; Portugal</t>
  </si>
  <si>
    <t>Teva Operations  Poland SP.Z.O.O;
Norton (Waterford) Limited T/A Ivax Pharmaceuticals Ireland T/A Teva Pharmaceuticals Ireland</t>
  </si>
  <si>
    <t>Poljska;
Irska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</si>
</sst>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R_S_D_-;\-* #,##0.00\ _R_S_D_-;_-* &quot;-&quot;??\ _R_S_D_-;_-@_-"/>
    <numFmt numFmtId="165" formatCode="_-* #,##0.00_-;\-* #,##0.00_-;_-* &quot;-&quot;??_-;_-@_-"/>
    <numFmt numFmtId="166" formatCode="_-* #,##0.00\ _d_i_n_._-;\-* #,##0.00\ _d_i_n_._-;_-* &quot;-&quot;??\ _d_i_n_._-;_-@_-"/>
    <numFmt numFmtId="167" formatCode="dd/mm/yyyy;@"/>
    <numFmt numFmtId="168" formatCode="&quot; &quot;#,##0.00&quot; &quot;;&quot;-&quot;#,##0.00&quot; &quot;;&quot; -&quot;00&quot; &quot;;&quot; &quot;@&quot; &quot;"/>
  </numFmts>
  <fonts count="103">
    <font>
      <sz val="11"/>
      <color theme="1"/>
      <name val="Calibri"/>
      <family val="2"/>
      <charset val="238"/>
      <scheme val="minor"/>
    </font>
    <font>
      <sz val="11"/>
      <color theme="1"/>
      <name val="Calibri"/>
      <family val="2"/>
      <scheme val="minor"/>
    </font>
    <font>
      <sz val="11"/>
      <color indexed="8"/>
      <name val="Calibri"/>
      <family val="2"/>
    </font>
    <font>
      <sz val="10"/>
      <name val="Arial"/>
      <family val="2"/>
    </font>
    <font>
      <sz val="10"/>
      <name val="Arial"/>
      <family val="2"/>
      <charset val="238"/>
    </font>
    <font>
      <sz val="10"/>
      <color indexed="8"/>
      <name val="Arial"/>
      <family val="2"/>
      <charset val="238"/>
    </font>
    <font>
      <b/>
      <sz val="9"/>
      <name val="Arial"/>
      <family val="2"/>
    </font>
    <font>
      <sz val="8"/>
      <name val="Arial"/>
      <family val="2"/>
    </font>
    <font>
      <u/>
      <sz val="10"/>
      <color indexed="12"/>
      <name val="Arial"/>
      <family val="2"/>
    </font>
    <font>
      <sz val="11"/>
      <name val="Arial"/>
      <family val="2"/>
    </font>
    <font>
      <sz val="9"/>
      <color indexed="81"/>
      <name val="Tahoma"/>
      <family val="2"/>
    </font>
    <font>
      <b/>
      <sz val="9"/>
      <color indexed="81"/>
      <name val="Tahoma"/>
      <family val="2"/>
    </font>
    <font>
      <sz val="11"/>
      <color indexed="8"/>
      <name val="Calibri"/>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8.25"/>
      <name val="Microsoft Sans Serif"/>
      <family val="2"/>
    </font>
    <font>
      <sz val="11"/>
      <color theme="1"/>
      <name val="Calibri"/>
      <family val="2"/>
      <charset val="238"/>
      <scheme val="minor"/>
    </font>
    <font>
      <sz val="11"/>
      <color theme="1"/>
      <name val="Calibri"/>
      <family val="2"/>
      <scheme val="minor"/>
    </font>
    <font>
      <sz val="11"/>
      <color theme="0"/>
      <name val="Calibri"/>
      <family val="2"/>
      <charset val="238"/>
      <scheme val="minor"/>
    </font>
    <font>
      <sz val="11"/>
      <color rgb="FFFFFFFF"/>
      <name val="Calibri"/>
      <family val="2"/>
      <charset val="238"/>
    </font>
    <font>
      <sz val="11"/>
      <color rgb="FFFFFFFF"/>
      <name val="Calibri"/>
      <family val="2"/>
    </font>
    <font>
      <sz val="11"/>
      <color rgb="FF9C0006"/>
      <name val="Calibri"/>
      <family val="2"/>
      <charset val="238"/>
      <scheme val="minor"/>
    </font>
    <font>
      <b/>
      <sz val="11"/>
      <color rgb="FFFA7D00"/>
      <name val="Calibri"/>
      <family val="2"/>
      <charset val="238"/>
    </font>
    <font>
      <b/>
      <sz val="11"/>
      <color rgb="FFFA7D00"/>
      <name val="Calibri"/>
      <family val="2"/>
    </font>
    <font>
      <b/>
      <sz val="11"/>
      <color rgb="FFFA7D00"/>
      <name val="Calibri"/>
      <family val="2"/>
      <charset val="238"/>
      <scheme val="minor"/>
    </font>
    <font>
      <sz val="11"/>
      <color rgb="FFFA7D00"/>
      <name val="Calibri"/>
      <family val="2"/>
      <charset val="238"/>
    </font>
    <font>
      <sz val="11"/>
      <color rgb="FFFA7D00"/>
      <name val="Calibri"/>
      <family val="2"/>
    </font>
    <font>
      <b/>
      <sz val="11"/>
      <color rgb="FFFFFFFF"/>
      <name val="Calibri"/>
      <family val="2"/>
      <charset val="238"/>
    </font>
    <font>
      <b/>
      <sz val="11"/>
      <color rgb="FFFFFFFF"/>
      <name val="Calibri"/>
      <family val="2"/>
    </font>
    <font>
      <sz val="11"/>
      <color rgb="FF9C0006"/>
      <name val="Calibri"/>
      <family val="2"/>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charset val="238"/>
      <scheme val="minor"/>
    </font>
    <font>
      <u/>
      <sz val="11"/>
      <color theme="10"/>
      <name val="Calibri"/>
      <family val="2"/>
      <charset val="238"/>
    </font>
    <font>
      <sz val="11"/>
      <color rgb="FF3F3F76"/>
      <name val="Calibri"/>
      <family val="2"/>
      <charset val="238"/>
    </font>
    <font>
      <sz val="11"/>
      <color rgb="FF3F3F76"/>
      <name val="Calibri"/>
      <family val="2"/>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sz val="11"/>
      <color rgb="FF9C6500"/>
      <name val="Calibri"/>
      <family val="2"/>
      <charset val="238"/>
    </font>
    <font>
      <sz val="11"/>
      <color rgb="FF9C6500"/>
      <name val="Calibri"/>
      <family val="2"/>
    </font>
    <font>
      <sz val="10"/>
      <color theme="1"/>
      <name val="Arial"/>
      <family val="2"/>
      <charset val="238"/>
    </font>
    <font>
      <sz val="11"/>
      <color rgb="FF000000"/>
      <name val="Calibri"/>
      <family val="2"/>
      <scheme val="minor"/>
    </font>
    <font>
      <sz val="11"/>
      <color rgb="FF000000"/>
      <name val="Calibri"/>
      <family val="2"/>
      <charset val="238"/>
      <scheme val="minor"/>
    </font>
    <font>
      <sz val="11"/>
      <color rgb="FF000000"/>
      <name val="Calibri"/>
      <family val="2"/>
      <charset val="238"/>
    </font>
    <font>
      <sz val="11"/>
      <color rgb="FF000000"/>
      <name val="Calibri"/>
      <family val="2"/>
    </font>
    <font>
      <sz val="10"/>
      <color rgb="FF000000"/>
      <name val="MS Sans Serif"/>
      <family val="2"/>
    </font>
    <font>
      <sz val="10"/>
      <color rgb="FF000000"/>
      <name val="MS Sans Serif"/>
      <charset val="238"/>
    </font>
    <font>
      <sz val="10"/>
      <color rgb="FF000000"/>
      <name val="Arial"/>
      <family val="2"/>
      <charset val="238"/>
    </font>
    <font>
      <b/>
      <sz val="11"/>
      <color rgb="FF3F3F3F"/>
      <name val="Calibri"/>
      <family val="2"/>
      <charset val="238"/>
    </font>
    <font>
      <b/>
      <sz val="11"/>
      <color rgb="FF3F3F3F"/>
      <name val="Calibri"/>
      <family val="2"/>
    </font>
    <font>
      <b/>
      <sz val="11"/>
      <color rgb="FF3F3F3F"/>
      <name val="Calibri"/>
      <family val="2"/>
      <charset val="238"/>
      <scheme val="minor"/>
    </font>
    <font>
      <sz val="11"/>
      <color rgb="FFFF0000"/>
      <name val="Calibri"/>
      <family val="2"/>
      <charset val="238"/>
    </font>
    <font>
      <sz val="11"/>
      <color rgb="FFFF0000"/>
      <name val="Calibri"/>
      <family val="2"/>
    </font>
    <font>
      <i/>
      <sz val="11"/>
      <color rgb="FF7F7F7F"/>
      <name val="Calibri"/>
      <family val="2"/>
      <charset val="238"/>
    </font>
    <font>
      <i/>
      <sz val="11"/>
      <color rgb="FF7F7F7F"/>
      <name val="Calibri"/>
      <family val="2"/>
    </font>
    <font>
      <sz val="18"/>
      <color theme="3"/>
      <name val="Cambria"/>
      <family val="2"/>
      <charset val="238"/>
    </font>
    <font>
      <b/>
      <sz val="18"/>
      <color rgb="FF1F497D"/>
      <name val="Cambria"/>
      <family val="1"/>
      <charset val="238"/>
    </font>
    <font>
      <b/>
      <sz val="15"/>
      <color rgb="FF1F497D"/>
      <name val="Calibri"/>
      <family val="2"/>
      <charset val="238"/>
    </font>
    <font>
      <b/>
      <sz val="15"/>
      <color rgb="FF1F497D"/>
      <name val="Calibri"/>
      <family val="2"/>
    </font>
    <font>
      <b/>
      <sz val="13"/>
      <color rgb="FF1F497D"/>
      <name val="Calibri"/>
      <family val="2"/>
      <charset val="238"/>
    </font>
    <font>
      <b/>
      <sz val="13"/>
      <color rgb="FF1F497D"/>
      <name val="Calibri"/>
      <family val="2"/>
    </font>
    <font>
      <b/>
      <sz val="11"/>
      <color rgb="FF1F497D"/>
      <name val="Calibri"/>
      <family val="2"/>
      <charset val="238"/>
    </font>
    <font>
      <b/>
      <sz val="11"/>
      <color rgb="FF1F497D"/>
      <name val="Calibri"/>
      <family val="2"/>
    </font>
    <font>
      <b/>
      <sz val="18"/>
      <color rgb="FF1F497D"/>
      <name val="Cambria"/>
      <family val="1"/>
    </font>
    <font>
      <b/>
      <sz val="11"/>
      <color theme="1"/>
      <name val="Calibri"/>
      <family val="2"/>
      <charset val="238"/>
      <scheme val="minor"/>
    </font>
    <font>
      <b/>
      <sz val="11"/>
      <color rgb="FF000000"/>
      <name val="Calibri"/>
      <family val="2"/>
      <charset val="238"/>
    </font>
    <font>
      <b/>
      <sz val="11"/>
      <color rgb="FF000000"/>
      <name val="Calibri"/>
      <family val="2"/>
    </font>
    <font>
      <sz val="11"/>
      <color rgb="FF9C0006"/>
      <name val="Calibri"/>
      <family val="2"/>
      <charset val="238"/>
    </font>
    <font>
      <sz val="11"/>
      <color rgb="FF006100"/>
      <name val="Calibri"/>
      <family val="2"/>
      <charset val="238"/>
    </font>
    <font>
      <sz val="11"/>
      <color rgb="FF006100"/>
      <name val="Calibri"/>
      <family val="2"/>
    </font>
    <font>
      <sz val="11"/>
      <color rgb="FFFF0000"/>
      <name val="Calibri"/>
      <family val="2"/>
      <charset val="238"/>
      <scheme val="minor"/>
    </font>
  </fonts>
  <fills count="10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CCCCFF"/>
        <bgColor rgb="FFCCCCFF"/>
      </patternFill>
    </fill>
    <fill>
      <patternFill patternType="solid">
        <fgColor rgb="FFDCE6F1"/>
        <bgColor rgb="FFDCE6F1"/>
      </patternFill>
    </fill>
    <fill>
      <patternFill patternType="solid">
        <fgColor rgb="FFDBE5F1"/>
        <bgColor rgb="FFDBE5F1"/>
      </patternFill>
    </fill>
    <fill>
      <patternFill patternType="solid">
        <fgColor rgb="FFFF99CC"/>
        <bgColor rgb="FFFF99CC"/>
      </patternFill>
    </fill>
    <fill>
      <patternFill patternType="solid">
        <fgColor rgb="FFF2DCDB"/>
        <bgColor rgb="FFF2DCDB"/>
      </patternFill>
    </fill>
    <fill>
      <patternFill patternType="solid">
        <fgColor rgb="FFF2DDDC"/>
        <bgColor rgb="FFF2DDDC"/>
      </patternFill>
    </fill>
    <fill>
      <patternFill patternType="solid">
        <fgColor rgb="FFCCFFCC"/>
        <bgColor rgb="FFCCFFCC"/>
      </patternFill>
    </fill>
    <fill>
      <patternFill patternType="solid">
        <fgColor rgb="FFEBF1DE"/>
        <bgColor rgb="FFEBF1DE"/>
      </patternFill>
    </fill>
    <fill>
      <patternFill patternType="solid">
        <fgColor rgb="FFEAF1DD"/>
        <bgColor rgb="FFEAF1DD"/>
      </patternFill>
    </fill>
    <fill>
      <patternFill patternType="solid">
        <fgColor rgb="FFCC99FF"/>
        <bgColor rgb="FFCC99FF"/>
      </patternFill>
    </fill>
    <fill>
      <patternFill patternType="solid">
        <fgColor rgb="FFE4DFEC"/>
        <bgColor rgb="FFE4DFEC"/>
      </patternFill>
    </fill>
    <fill>
      <patternFill patternType="solid">
        <fgColor rgb="FFE5E0EC"/>
        <bgColor rgb="FFE5E0EC"/>
      </patternFill>
    </fill>
    <fill>
      <patternFill patternType="solid">
        <fgColor rgb="FFDBEEF3"/>
        <bgColor rgb="FFDBEEF3"/>
      </patternFill>
    </fill>
    <fill>
      <patternFill patternType="solid">
        <fgColor rgb="FFDAEEF3"/>
        <bgColor rgb="FFDAEEF3"/>
      </patternFill>
    </fill>
    <fill>
      <patternFill patternType="solid">
        <fgColor rgb="FFFDE9D9"/>
        <bgColor rgb="FFFDE9D9"/>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B8CCE4"/>
        <bgColor rgb="FFB8CCE4"/>
      </patternFill>
    </fill>
    <fill>
      <patternFill patternType="solid">
        <fgColor rgb="FFE6B9B8"/>
        <bgColor rgb="FFE6B9B8"/>
      </patternFill>
    </fill>
    <fill>
      <patternFill patternType="solid">
        <fgColor rgb="FFE6B8B7"/>
        <bgColor rgb="FFE6B8B7"/>
      </patternFill>
    </fill>
    <fill>
      <patternFill patternType="solid">
        <fgColor rgb="FF00FF00"/>
        <bgColor rgb="FF00FF00"/>
      </patternFill>
    </fill>
    <fill>
      <patternFill patternType="solid">
        <fgColor rgb="FFD8E4BC"/>
        <bgColor rgb="FFD8E4BC"/>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B7DEE8"/>
        <bgColor rgb="FFB7DEE8"/>
      </patternFill>
    </fill>
    <fill>
      <patternFill patternType="solid">
        <fgColor rgb="FFFCD5B4"/>
        <bgColor rgb="FFFCD5B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95B3D7"/>
        <bgColor rgb="FF95B3D7"/>
      </patternFill>
    </fill>
    <fill>
      <patternFill patternType="solid">
        <fgColor rgb="FFD99795"/>
        <bgColor rgb="FFD99795"/>
      </patternFill>
    </fill>
    <fill>
      <patternFill patternType="solid">
        <fgColor rgb="FFDA9694"/>
        <bgColor rgb="FFDA9694"/>
      </patternFill>
    </fill>
    <fill>
      <patternFill patternType="solid">
        <fgColor rgb="FFC4D79B"/>
        <bgColor rgb="FFC4D79B"/>
      </patternFill>
    </fill>
    <fill>
      <patternFill patternType="solid">
        <fgColor rgb="FFC2D69A"/>
        <bgColor rgb="FFC2D69A"/>
      </patternFill>
    </fill>
    <fill>
      <patternFill patternType="solid">
        <fgColor rgb="FF800080"/>
        <bgColor rgb="FF800080"/>
      </patternFill>
    </fill>
    <fill>
      <patternFill patternType="solid">
        <fgColor rgb="FFB1A0C7"/>
        <bgColor rgb="FFB1A0C7"/>
      </patternFill>
    </fill>
    <fill>
      <patternFill patternType="solid">
        <fgColor rgb="FFB2A1C7"/>
        <bgColor rgb="FFB2A1C7"/>
      </patternFill>
    </fill>
    <fill>
      <patternFill patternType="solid">
        <fgColor rgb="FF93CDDD"/>
        <bgColor rgb="FF93CDDD"/>
      </patternFill>
    </fill>
    <fill>
      <patternFill patternType="solid">
        <fgColor rgb="FF92CDDC"/>
        <bgColor rgb="FF92CDDC"/>
      </patternFill>
    </fill>
    <fill>
      <patternFill patternType="solid">
        <fgColor rgb="FFFF9900"/>
        <bgColor rgb="FFFF9900"/>
      </patternFill>
    </fill>
    <fill>
      <patternFill patternType="solid">
        <fgColor rgb="FFFABF8F"/>
        <bgColor rgb="FFFABF8F"/>
      </patternFill>
    </fill>
    <fill>
      <patternFill patternType="solid">
        <fgColor rgb="FFFAC090"/>
        <bgColor rgb="FFFAC09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bgColor rgb="FFF2F2F2"/>
      </patternFill>
    </fill>
    <fill>
      <patternFill patternType="solid">
        <fgColor rgb="FFF2F2F2"/>
      </patternFill>
    </fill>
    <fill>
      <patternFill patternType="solid">
        <fgColor rgb="FFA5A5A5"/>
        <bgColor rgb="FFA5A5A5"/>
      </patternFill>
    </fill>
    <fill>
      <patternFill patternType="solid">
        <fgColor rgb="FFFFC7CE"/>
        <bgColor rgb="FFFFC7CE"/>
      </patternFill>
    </fill>
    <fill>
      <patternFill patternType="solid">
        <f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C6EFCE"/>
      </patternFill>
    </fill>
    <fill>
      <patternFill patternType="solid">
        <fgColor rgb="FFFFCC99"/>
      </patternFill>
    </fill>
    <fill>
      <patternFill patternType="solid">
        <fgColor rgb="FFFFCC99"/>
        <bgColor rgb="FFFFCC99"/>
      </patternFill>
    </fill>
    <fill>
      <patternFill patternType="solid">
        <fgColor rgb="FFFFEB9C"/>
      </patternFill>
    </fill>
    <fill>
      <patternFill patternType="solid">
        <fgColor rgb="FFFFEB9C"/>
        <bgColor rgb="FFFFEB9C"/>
      </patternFill>
    </fill>
    <fill>
      <patternFill patternType="solid">
        <fgColor rgb="FFFFFFCC"/>
        <bgColor rgb="FFFFFFCC"/>
      </patternFill>
    </fill>
    <fill>
      <patternFill patternType="solid">
        <fgColor rgb="FFFFFFCC"/>
      </patternFill>
    </fill>
    <fill>
      <patternFill patternType="solid">
        <fgColor rgb="FFC6EFCE"/>
        <bgColor rgb="FFC6EFCE"/>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F81BD"/>
      </bottom>
      <diagonal/>
    </border>
    <border>
      <left/>
      <right/>
      <top/>
      <bottom style="thick">
        <color rgb="FFA8C0DE"/>
      </bottom>
      <diagonal/>
    </border>
    <border>
      <left/>
      <right/>
      <top/>
      <bottom style="thick">
        <color rgb="FFA7BFDE"/>
      </bottom>
      <diagonal/>
    </border>
    <border>
      <left/>
      <right/>
      <top/>
      <bottom style="medium">
        <color rgb="FF95B3D7"/>
      </bottom>
      <diagonal/>
    </border>
    <border>
      <left/>
      <right/>
      <top style="thin">
        <color theme="4"/>
      </top>
      <bottom style="double">
        <color theme="4"/>
      </bottom>
      <diagonal/>
    </border>
    <border>
      <left/>
      <right/>
      <top style="thin">
        <color rgb="FF4F81BD"/>
      </top>
      <bottom style="double">
        <color rgb="FF4F81BD"/>
      </bottom>
      <diagonal/>
    </border>
  </borders>
  <cellStyleXfs count="12222">
    <xf numFmtId="0" fontId="0" fillId="0" borderId="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1"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2" fillId="31" borderId="0" applyNumberFormat="0" applyFont="0" applyBorder="0" applyAlignment="0" applyProtection="0"/>
    <xf numFmtId="0" fontId="12" fillId="30" borderId="0" applyNumberFormat="0" applyFont="0" applyBorder="0" applyAlignment="0" applyProtection="0"/>
    <xf numFmtId="0" fontId="2" fillId="31" borderId="0" applyNumberFormat="0" applyFont="0" applyBorder="0" applyAlignment="0" applyProtection="0"/>
    <xf numFmtId="0" fontId="12" fillId="30" borderId="0" applyNumberFormat="0" applyFont="0" applyBorder="0" applyAlignment="0" applyProtection="0"/>
    <xf numFmtId="0" fontId="36" fillId="31" borderId="0" applyNumberFormat="0" applyFont="0" applyBorder="0" applyAlignment="0" applyProtection="0"/>
    <xf numFmtId="0" fontId="2" fillId="31" borderId="0" applyNumberFormat="0" applyFont="0" applyBorder="0" applyAlignment="0" applyProtection="0"/>
    <xf numFmtId="0" fontId="40" fillId="31" borderId="0" applyNumberFormat="0" applyFont="0" applyBorder="0" applyAlignment="0" applyProtection="0"/>
    <xf numFmtId="0" fontId="2" fillId="32" borderId="0" applyNumberFormat="0" applyFont="0" applyBorder="0" applyAlignment="0" applyProtection="0"/>
    <xf numFmtId="0" fontId="2" fillId="32"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2" fillId="32"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2" borderId="0" applyNumberFormat="0" applyFont="0" applyBorder="0" applyAlignment="0" applyProtection="0"/>
    <xf numFmtId="0" fontId="12" fillId="32" borderId="0" applyNumberFormat="0" applyFont="0" applyBorder="0" applyAlignment="0" applyProtection="0"/>
    <xf numFmtId="0" fontId="12" fillId="32" borderId="0" applyNumberFormat="0" applyFont="0" applyBorder="0" applyAlignment="0" applyProtection="0"/>
    <xf numFmtId="0" fontId="35" fillId="32" borderId="0" applyNumberFormat="0" applyFont="0" applyBorder="0" applyAlignment="0" applyProtection="0"/>
    <xf numFmtId="0" fontId="12" fillId="32" borderId="0" applyNumberFormat="0" applyFont="0" applyBorder="0" applyAlignment="0" applyProtection="0"/>
    <xf numFmtId="0" fontId="39" fillId="32"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2" fillId="34" borderId="0" applyNumberFormat="0" applyFont="0" applyBorder="0" applyAlignment="0" applyProtection="0"/>
    <xf numFmtId="0" fontId="12" fillId="33" borderId="0" applyNumberFormat="0" applyFont="0" applyBorder="0" applyAlignment="0" applyProtection="0"/>
    <xf numFmtId="0" fontId="2" fillId="34" borderId="0" applyNumberFormat="0" applyFont="0" applyBorder="0" applyAlignment="0" applyProtection="0"/>
    <xf numFmtId="0" fontId="12" fillId="33" borderId="0" applyNumberFormat="0" applyFont="0" applyBorder="0" applyAlignment="0" applyProtection="0"/>
    <xf numFmtId="0" fontId="36" fillId="34" borderId="0" applyNumberFormat="0" applyFont="0" applyBorder="0" applyAlignment="0" applyProtection="0"/>
    <xf numFmtId="0" fontId="2" fillId="34" borderId="0" applyNumberFormat="0" applyFont="0" applyBorder="0" applyAlignment="0" applyProtection="0"/>
    <xf numFmtId="0" fontId="40" fillId="34" borderId="0" applyNumberFormat="0" applyFont="0" applyBorder="0" applyAlignment="0" applyProtection="0"/>
    <xf numFmtId="0" fontId="2" fillId="35" borderId="0" applyNumberFormat="0" applyFont="0" applyBorder="0" applyAlignment="0" applyProtection="0"/>
    <xf numFmtId="0" fontId="2" fillId="35"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2" fillId="35"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5" borderId="0" applyNumberFormat="0" applyFont="0" applyBorder="0" applyAlignment="0" applyProtection="0"/>
    <xf numFmtId="0" fontId="12" fillId="35" borderId="0" applyNumberFormat="0" applyFont="0" applyBorder="0" applyAlignment="0" applyProtection="0"/>
    <xf numFmtId="0" fontId="12" fillId="35" borderId="0" applyNumberFormat="0" applyFont="0" applyBorder="0" applyAlignment="0" applyProtection="0"/>
    <xf numFmtId="0" fontId="35" fillId="35" borderId="0" applyNumberFormat="0" applyFont="0" applyBorder="0" applyAlignment="0" applyProtection="0"/>
    <xf numFmtId="0" fontId="12" fillId="35" borderId="0" applyNumberFormat="0" applyFont="0" applyBorder="0" applyAlignment="0" applyProtection="0"/>
    <xf numFmtId="0" fontId="39" fillId="35"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2" fillId="37" borderId="0" applyNumberFormat="0" applyFont="0" applyBorder="0" applyAlignment="0" applyProtection="0"/>
    <xf numFmtId="0" fontId="12" fillId="36" borderId="0" applyNumberFormat="0" applyFont="0" applyBorder="0" applyAlignment="0" applyProtection="0"/>
    <xf numFmtId="0" fontId="2" fillId="37" borderId="0" applyNumberFormat="0" applyFont="0" applyBorder="0" applyAlignment="0" applyProtection="0"/>
    <xf numFmtId="0" fontId="12" fillId="36" borderId="0" applyNumberFormat="0" applyFont="0" applyBorder="0" applyAlignment="0" applyProtection="0"/>
    <xf numFmtId="0" fontId="36" fillId="37" borderId="0" applyNumberFormat="0" applyFont="0" applyBorder="0" applyAlignment="0" applyProtection="0"/>
    <xf numFmtId="0" fontId="2" fillId="37" borderId="0" applyNumberFormat="0" applyFont="0" applyBorder="0" applyAlignment="0" applyProtection="0"/>
    <xf numFmtId="0" fontId="40" fillId="37" borderId="0" applyNumberFormat="0" applyFont="0" applyBorder="0" applyAlignment="0" applyProtection="0"/>
    <xf numFmtId="0" fontId="2" fillId="38" borderId="0" applyNumberFormat="0" applyFont="0" applyBorder="0" applyAlignment="0" applyProtection="0"/>
    <xf numFmtId="0" fontId="2" fillId="38"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2" fillId="38"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8" borderId="0" applyNumberFormat="0" applyFont="0" applyBorder="0" applyAlignment="0" applyProtection="0"/>
    <xf numFmtId="0" fontId="12" fillId="38" borderId="0" applyNumberFormat="0" applyFont="0" applyBorder="0" applyAlignment="0" applyProtection="0"/>
    <xf numFmtId="0" fontId="12" fillId="38" borderId="0" applyNumberFormat="0" applyFont="0" applyBorder="0" applyAlignment="0" applyProtection="0"/>
    <xf numFmtId="0" fontId="35" fillId="38" borderId="0" applyNumberFormat="0" applyFont="0" applyBorder="0" applyAlignment="0" applyProtection="0"/>
    <xf numFmtId="0" fontId="12" fillId="38" borderId="0" applyNumberFormat="0" applyFont="0" applyBorder="0" applyAlignment="0" applyProtection="0"/>
    <xf numFmtId="0" fontId="39" fillId="38"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2" fillId="40" borderId="0" applyNumberFormat="0" applyFont="0" applyBorder="0" applyAlignment="0" applyProtection="0"/>
    <xf numFmtId="0" fontId="12" fillId="39" borderId="0" applyNumberFormat="0" applyFont="0" applyBorder="0" applyAlignment="0" applyProtection="0"/>
    <xf numFmtId="0" fontId="2" fillId="40" borderId="0" applyNumberFormat="0" applyFont="0" applyBorder="0" applyAlignment="0" applyProtection="0"/>
    <xf numFmtId="0" fontId="12" fillId="39" borderId="0" applyNumberFormat="0" applyFont="0" applyBorder="0" applyAlignment="0" applyProtection="0"/>
    <xf numFmtId="0" fontId="36" fillId="40" borderId="0" applyNumberFormat="0" applyFont="0" applyBorder="0" applyAlignment="0" applyProtection="0"/>
    <xf numFmtId="0" fontId="2" fillId="40" borderId="0" applyNumberFormat="0" applyFont="0" applyBorder="0" applyAlignment="0" applyProtection="0"/>
    <xf numFmtId="0" fontId="40" fillId="40" borderId="0" applyNumberFormat="0" applyFont="0" applyBorder="0" applyAlignment="0" applyProtection="0"/>
    <xf numFmtId="0" fontId="2" fillId="41" borderId="0" applyNumberFormat="0" applyFont="0" applyBorder="0" applyAlignment="0" applyProtection="0"/>
    <xf numFmtId="0" fontId="2" fillId="41"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2" fillId="41"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41" borderId="0" applyNumberFormat="0" applyFont="0" applyBorder="0" applyAlignment="0" applyProtection="0"/>
    <xf numFmtId="0" fontId="12" fillId="41" borderId="0" applyNumberFormat="0" applyFont="0" applyBorder="0" applyAlignment="0" applyProtection="0"/>
    <xf numFmtId="0" fontId="12" fillId="41" borderId="0" applyNumberFormat="0" applyFont="0" applyBorder="0" applyAlignment="0" applyProtection="0"/>
    <xf numFmtId="0" fontId="35" fillId="41" borderId="0" applyNumberFormat="0" applyFont="0" applyBorder="0" applyAlignment="0" applyProtection="0"/>
    <xf numFmtId="0" fontId="12" fillId="41" borderId="0" applyNumberFormat="0" applyFont="0" applyBorder="0" applyAlignment="0" applyProtection="0"/>
    <xf numFmtId="0" fontId="39" fillId="41"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42" borderId="0" applyNumberFormat="0" applyFont="0" applyBorder="0" applyAlignment="0" applyProtection="0"/>
    <xf numFmtId="0" fontId="31" fillId="42" borderId="0" applyNumberFormat="0" applyFont="0" applyBorder="0" applyAlignment="0" applyProtection="0"/>
    <xf numFmtId="0" fontId="12" fillId="42" borderId="0" applyNumberFormat="0" applyFont="0" applyBorder="0" applyAlignment="0" applyProtection="0"/>
    <xf numFmtId="0" fontId="12" fillId="42" borderId="0" applyNumberFormat="0" applyFont="0" applyBorder="0" applyAlignment="0" applyProtection="0"/>
    <xf numFmtId="0" fontId="35" fillId="42" borderId="0" applyNumberFormat="0" applyFont="0" applyBorder="0" applyAlignment="0" applyProtection="0"/>
    <xf numFmtId="0" fontId="12" fillId="42" borderId="0" applyNumberFormat="0" applyFont="0" applyBorder="0" applyAlignment="0" applyProtection="0"/>
    <xf numFmtId="0" fontId="39" fillId="42" borderId="0" applyNumberFormat="0" applyFont="0" applyBorder="0" applyAlignment="0" applyProtection="0"/>
    <xf numFmtId="0" fontId="32" fillId="43" borderId="0" applyNumberFormat="0" applyFont="0" applyBorder="0" applyAlignment="0" applyProtection="0"/>
    <xf numFmtId="0" fontId="12" fillId="42" borderId="0" applyNumberFormat="0" applyFont="0" applyBorder="0" applyAlignment="0" applyProtection="0"/>
    <xf numFmtId="0" fontId="2" fillId="43" borderId="0" applyNumberFormat="0" applyFont="0" applyBorder="0" applyAlignment="0" applyProtection="0"/>
    <xf numFmtId="0" fontId="12" fillId="42" borderId="0" applyNumberFormat="0" applyFont="0" applyBorder="0" applyAlignment="0" applyProtection="0"/>
    <xf numFmtId="0" fontId="36" fillId="43" borderId="0" applyNumberFormat="0" applyFont="0" applyBorder="0" applyAlignment="0" applyProtection="0"/>
    <xf numFmtId="0" fontId="2" fillId="43" borderId="0" applyNumberFormat="0" applyFont="0" applyBorder="0" applyAlignment="0" applyProtection="0"/>
    <xf numFmtId="0" fontId="40" fillId="43" borderId="0" applyNumberFormat="0" applyFont="0" applyBorder="0" applyAlignment="0" applyProtection="0"/>
    <xf numFmtId="0" fontId="2" fillId="42" borderId="0" applyNumberFormat="0" applyFont="0" applyBorder="0" applyAlignment="0" applyProtection="0"/>
    <xf numFmtId="0" fontId="2" fillId="42" borderId="0" applyNumberFormat="0" applyFont="0" applyBorder="0" applyAlignment="0" applyProtection="0"/>
    <xf numFmtId="0" fontId="12" fillId="42" borderId="0" applyNumberFormat="0" applyFont="0" applyBorder="0" applyAlignment="0" applyProtection="0"/>
    <xf numFmtId="0" fontId="12" fillId="42" borderId="0" applyNumberFormat="0" applyFont="0" applyBorder="0" applyAlignment="0" applyProtection="0"/>
    <xf numFmtId="0" fontId="2" fillId="42" borderId="0" applyNumberFormat="0" applyFont="0" applyBorder="0" applyAlignment="0" applyProtection="0"/>
    <xf numFmtId="0" fontId="35" fillId="42" borderId="0" applyNumberFormat="0" applyFont="0" applyBorder="0" applyAlignment="0" applyProtection="0"/>
    <xf numFmtId="0" fontId="12" fillId="42" borderId="0" applyNumberFormat="0" applyFont="0" applyBorder="0" applyAlignment="0" applyProtection="0"/>
    <xf numFmtId="0" fontId="39" fillId="42" borderId="0" applyNumberFormat="0" applyFont="0" applyBorder="0" applyAlignment="0" applyProtection="0"/>
    <xf numFmtId="0" fontId="31" fillId="44" borderId="0" applyNumberFormat="0" applyFont="0" applyBorder="0" applyAlignment="0" applyProtection="0"/>
    <xf numFmtId="0" fontId="31" fillId="44" borderId="0" applyNumberFormat="0" applyFont="0" applyBorder="0" applyAlignment="0" applyProtection="0"/>
    <xf numFmtId="0" fontId="12" fillId="44" borderId="0" applyNumberFormat="0" applyFont="0" applyBorder="0" applyAlignment="0" applyProtection="0"/>
    <xf numFmtId="0" fontId="12" fillId="44" borderId="0" applyNumberFormat="0" applyFont="0" applyBorder="0" applyAlignment="0" applyProtection="0"/>
    <xf numFmtId="0" fontId="35" fillId="44" borderId="0" applyNumberFormat="0" applyFont="0" applyBorder="0" applyAlignment="0" applyProtection="0"/>
    <xf numFmtId="0" fontId="12" fillId="44" borderId="0" applyNumberFormat="0" applyFont="0" applyBorder="0" applyAlignment="0" applyProtection="0"/>
    <xf numFmtId="0" fontId="39" fillId="44" borderId="0" applyNumberFormat="0" applyFont="0" applyBorder="0" applyAlignment="0" applyProtection="0"/>
    <xf numFmtId="0" fontId="32" fillId="44" borderId="0" applyNumberFormat="0" applyFont="0" applyBorder="0" applyAlignment="0" applyProtection="0"/>
    <xf numFmtId="0" fontId="12" fillId="44" borderId="0" applyNumberFormat="0" applyFont="0" applyBorder="0" applyAlignment="0" applyProtection="0"/>
    <xf numFmtId="0" fontId="2" fillId="44" borderId="0" applyNumberFormat="0" applyFont="0" applyBorder="0" applyAlignment="0" applyProtection="0"/>
    <xf numFmtId="0" fontId="12" fillId="44" borderId="0" applyNumberFormat="0" applyFont="0" applyBorder="0" applyAlignment="0" applyProtection="0"/>
    <xf numFmtId="0" fontId="36" fillId="44" borderId="0" applyNumberFormat="0" applyFont="0" applyBorder="0" applyAlignment="0" applyProtection="0"/>
    <xf numFmtId="0" fontId="2" fillId="44" borderId="0" applyNumberFormat="0" applyFont="0" applyBorder="0" applyAlignment="0" applyProtection="0"/>
    <xf numFmtId="0" fontId="40"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12" fillId="44" borderId="0" applyNumberFormat="0" applyFont="0" applyBorder="0" applyAlignment="0" applyProtection="0"/>
    <xf numFmtId="0" fontId="12" fillId="44" borderId="0" applyNumberFormat="0" applyFont="0" applyBorder="0" applyAlignment="0" applyProtection="0"/>
    <xf numFmtId="0" fontId="2" fillId="44" borderId="0" applyNumberFormat="0" applyFont="0" applyBorder="0" applyAlignment="0" applyProtection="0"/>
    <xf numFmtId="0" fontId="35" fillId="44" borderId="0" applyNumberFormat="0" applyFont="0" applyBorder="0" applyAlignment="0" applyProtection="0"/>
    <xf numFmtId="0" fontId="12" fillId="44" borderId="0" applyNumberFormat="0" applyFont="0" applyBorder="0" applyAlignment="0" applyProtection="0"/>
    <xf numFmtId="0" fontId="39" fillId="44" borderId="0" applyNumberFormat="0" applyFon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1" fillId="51" borderId="0" applyNumberFormat="0" applyFont="0" applyBorder="0" applyAlignment="0" applyProtection="0"/>
    <xf numFmtId="0" fontId="31"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35" fillId="51" borderId="0" applyNumberFormat="0" applyFont="0" applyBorder="0" applyAlignment="0" applyProtection="0"/>
    <xf numFmtId="0" fontId="12" fillId="51" borderId="0" applyNumberFormat="0" applyFont="0" applyBorder="0" applyAlignment="0" applyProtection="0"/>
    <xf numFmtId="0" fontId="39" fillId="51" borderId="0" applyNumberFormat="0" applyFont="0" applyBorder="0" applyAlignment="0" applyProtection="0"/>
    <xf numFmtId="0" fontId="32" fillId="51" borderId="0" applyNumberFormat="0" applyFont="0" applyBorder="0" applyAlignment="0" applyProtection="0"/>
    <xf numFmtId="0" fontId="12" fillId="51" borderId="0" applyNumberFormat="0" applyFont="0" applyBorder="0" applyAlignment="0" applyProtection="0"/>
    <xf numFmtId="0" fontId="2" fillId="51" borderId="0" applyNumberFormat="0" applyFont="0" applyBorder="0" applyAlignment="0" applyProtection="0"/>
    <xf numFmtId="0" fontId="12" fillId="51" borderId="0" applyNumberFormat="0" applyFont="0" applyBorder="0" applyAlignment="0" applyProtection="0"/>
    <xf numFmtId="0" fontId="36" fillId="51" borderId="0" applyNumberFormat="0" applyFont="0" applyBorder="0" applyAlignment="0" applyProtection="0"/>
    <xf numFmtId="0" fontId="2" fillId="51" borderId="0" applyNumberFormat="0" applyFont="0" applyBorder="0" applyAlignment="0" applyProtection="0"/>
    <xf numFmtId="0" fontId="40" fillId="51" borderId="0" applyNumberFormat="0" applyFont="0" applyBorder="0" applyAlignment="0" applyProtection="0"/>
    <xf numFmtId="0" fontId="2" fillId="51" borderId="0" applyNumberFormat="0" applyFont="0" applyBorder="0" applyAlignment="0" applyProtection="0"/>
    <xf numFmtId="0" fontId="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2" fillId="51" borderId="0" applyNumberFormat="0" applyFont="0" applyBorder="0" applyAlignment="0" applyProtection="0"/>
    <xf numFmtId="0" fontId="35" fillId="51" borderId="0" applyNumberFormat="0" applyFont="0" applyBorder="0" applyAlignment="0" applyProtection="0"/>
    <xf numFmtId="0" fontId="12" fillId="51" borderId="0" applyNumberFormat="0" applyFont="0" applyBorder="0" applyAlignment="0" applyProtection="0"/>
    <xf numFmtId="0" fontId="39" fillId="51" borderId="0" applyNumberFormat="0" applyFont="0" applyBorder="0" applyAlignment="0" applyProtection="0"/>
    <xf numFmtId="0" fontId="31" fillId="52" borderId="0" applyNumberFormat="0" applyFont="0" applyBorder="0" applyAlignment="0" applyProtection="0"/>
    <xf numFmtId="0" fontId="31"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35" fillId="52" borderId="0" applyNumberFormat="0" applyFont="0" applyBorder="0" applyAlignment="0" applyProtection="0"/>
    <xf numFmtId="0" fontId="12" fillId="52" borderId="0" applyNumberFormat="0" applyFont="0" applyBorder="0" applyAlignment="0" applyProtection="0"/>
    <xf numFmtId="0" fontId="39" fillId="52" borderId="0" applyNumberFormat="0" applyFont="0" applyBorder="0" applyAlignment="0" applyProtection="0"/>
    <xf numFmtId="0" fontId="32" fillId="53" borderId="0" applyNumberFormat="0" applyFont="0" applyBorder="0" applyAlignment="0" applyProtection="0"/>
    <xf numFmtId="0" fontId="12" fillId="52" borderId="0" applyNumberFormat="0" applyFont="0" applyBorder="0" applyAlignment="0" applyProtection="0"/>
    <xf numFmtId="0" fontId="2" fillId="53" borderId="0" applyNumberFormat="0" applyFont="0" applyBorder="0" applyAlignment="0" applyProtection="0"/>
    <xf numFmtId="0" fontId="12" fillId="52" borderId="0" applyNumberFormat="0" applyFont="0" applyBorder="0" applyAlignment="0" applyProtection="0"/>
    <xf numFmtId="0" fontId="36" fillId="53" borderId="0" applyNumberFormat="0" applyFont="0" applyBorder="0" applyAlignment="0" applyProtection="0"/>
    <xf numFmtId="0" fontId="2" fillId="53" borderId="0" applyNumberFormat="0" applyFont="0" applyBorder="0" applyAlignment="0" applyProtection="0"/>
    <xf numFmtId="0" fontId="40" fillId="53" borderId="0" applyNumberFormat="0" applyFont="0" applyBorder="0" applyAlignment="0" applyProtection="0"/>
    <xf numFmtId="0" fontId="2" fillId="52" borderId="0" applyNumberFormat="0" applyFont="0" applyBorder="0" applyAlignment="0" applyProtection="0"/>
    <xf numFmtId="0" fontId="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2" fillId="52" borderId="0" applyNumberFormat="0" applyFont="0" applyBorder="0" applyAlignment="0" applyProtection="0"/>
    <xf numFmtId="0" fontId="35" fillId="52" borderId="0" applyNumberFormat="0" applyFont="0" applyBorder="0" applyAlignment="0" applyProtection="0"/>
    <xf numFmtId="0" fontId="12" fillId="52" borderId="0" applyNumberFormat="0" applyFont="0" applyBorder="0" applyAlignment="0" applyProtection="0"/>
    <xf numFmtId="0" fontId="39" fillId="52" borderId="0" applyNumberFormat="0" applyFont="0" applyBorder="0" applyAlignment="0" applyProtection="0"/>
    <xf numFmtId="0" fontId="31"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2" fillId="55" borderId="0" applyNumberFormat="0" applyFont="0" applyBorder="0" applyAlignment="0" applyProtection="0"/>
    <xf numFmtId="0" fontId="12" fillId="54" borderId="0" applyNumberFormat="0" applyFont="0" applyBorder="0" applyAlignment="0" applyProtection="0"/>
    <xf numFmtId="0" fontId="2" fillId="55" borderId="0" applyNumberFormat="0" applyFont="0" applyBorder="0" applyAlignment="0" applyProtection="0"/>
    <xf numFmtId="0" fontId="12" fillId="54" borderId="0" applyNumberFormat="0" applyFont="0" applyBorder="0" applyAlignment="0" applyProtection="0"/>
    <xf numFmtId="0" fontId="36" fillId="55" borderId="0" applyNumberFormat="0" applyFont="0" applyBorder="0" applyAlignment="0" applyProtection="0"/>
    <xf numFmtId="0" fontId="2" fillId="55" borderId="0" applyNumberFormat="0" applyFont="0" applyBorder="0" applyAlignment="0" applyProtection="0"/>
    <xf numFmtId="0" fontId="40" fillId="55" borderId="0" applyNumberFormat="0" applyFont="0" applyBorder="0" applyAlignment="0" applyProtection="0"/>
    <xf numFmtId="0" fontId="2" fillId="56" borderId="0" applyNumberFormat="0" applyFont="0" applyBorder="0" applyAlignment="0" applyProtection="0"/>
    <xf numFmtId="0" fontId="2" fillId="56"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2" fillId="56"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35" fillId="56" borderId="0" applyNumberFormat="0" applyFont="0" applyBorder="0" applyAlignment="0" applyProtection="0"/>
    <xf numFmtId="0" fontId="12" fillId="56" borderId="0" applyNumberFormat="0" applyFont="0" applyBorder="0" applyAlignment="0" applyProtection="0"/>
    <xf numFmtId="0" fontId="39" fillId="56"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7" borderId="0" applyNumberFormat="0" applyFont="0" applyBorder="0" applyAlignment="0" applyProtection="0"/>
    <xf numFmtId="0" fontId="31" fillId="57" borderId="0" applyNumberFormat="0" applyFont="0" applyBorder="0" applyAlignment="0" applyProtection="0"/>
    <xf numFmtId="0" fontId="12" fillId="57" borderId="0" applyNumberFormat="0" applyFont="0" applyBorder="0" applyAlignment="0" applyProtection="0"/>
    <xf numFmtId="0" fontId="12" fillId="57" borderId="0" applyNumberFormat="0" applyFont="0" applyBorder="0" applyAlignment="0" applyProtection="0"/>
    <xf numFmtId="0" fontId="35" fillId="57" borderId="0" applyNumberFormat="0" applyFont="0" applyBorder="0" applyAlignment="0" applyProtection="0"/>
    <xf numFmtId="0" fontId="12" fillId="57" borderId="0" applyNumberFormat="0" applyFont="0" applyBorder="0" applyAlignment="0" applyProtection="0"/>
    <xf numFmtId="0" fontId="39" fillId="57" borderId="0" applyNumberFormat="0" applyFont="0" applyBorder="0" applyAlignment="0" applyProtection="0"/>
    <xf numFmtId="0" fontId="32" fillId="57" borderId="0" applyNumberFormat="0" applyFont="0" applyBorder="0" applyAlignment="0" applyProtection="0"/>
    <xf numFmtId="0" fontId="12" fillId="57" borderId="0" applyNumberFormat="0" applyFont="0" applyBorder="0" applyAlignment="0" applyProtection="0"/>
    <xf numFmtId="0" fontId="2" fillId="57" borderId="0" applyNumberFormat="0" applyFont="0" applyBorder="0" applyAlignment="0" applyProtection="0"/>
    <xf numFmtId="0" fontId="12" fillId="57" borderId="0" applyNumberFormat="0" applyFont="0" applyBorder="0" applyAlignment="0" applyProtection="0"/>
    <xf numFmtId="0" fontId="36" fillId="57" borderId="0" applyNumberFormat="0" applyFont="0" applyBorder="0" applyAlignment="0" applyProtection="0"/>
    <xf numFmtId="0" fontId="2" fillId="57" borderId="0" applyNumberFormat="0" applyFont="0" applyBorder="0" applyAlignment="0" applyProtection="0"/>
    <xf numFmtId="0" fontId="40" fillId="57" borderId="0" applyNumberFormat="0" applyFont="0" applyBorder="0" applyAlignment="0" applyProtection="0"/>
    <xf numFmtId="0" fontId="2" fillId="57" borderId="0" applyNumberFormat="0" applyFont="0" applyBorder="0" applyAlignment="0" applyProtection="0"/>
    <xf numFmtId="0" fontId="2" fillId="57" borderId="0" applyNumberFormat="0" applyFont="0" applyBorder="0" applyAlignment="0" applyProtection="0"/>
    <xf numFmtId="0" fontId="12" fillId="57" borderId="0" applyNumberFormat="0" applyFont="0" applyBorder="0" applyAlignment="0" applyProtection="0"/>
    <xf numFmtId="0" fontId="12" fillId="57" borderId="0" applyNumberFormat="0" applyFont="0" applyBorder="0" applyAlignment="0" applyProtection="0"/>
    <xf numFmtId="0" fontId="2" fillId="57" borderId="0" applyNumberFormat="0" applyFont="0" applyBorder="0" applyAlignment="0" applyProtection="0"/>
    <xf numFmtId="0" fontId="35" fillId="57" borderId="0" applyNumberFormat="0" applyFont="0" applyBorder="0" applyAlignment="0" applyProtection="0"/>
    <xf numFmtId="0" fontId="12" fillId="57" borderId="0" applyNumberFormat="0" applyFont="0" applyBorder="0" applyAlignment="0" applyProtection="0"/>
    <xf numFmtId="0" fontId="39" fillId="57" borderId="0" applyNumberFormat="0" applyFont="0" applyBorder="0" applyAlignment="0" applyProtection="0"/>
    <xf numFmtId="0" fontId="31" fillId="58" borderId="0" applyNumberFormat="0" applyFont="0" applyBorder="0" applyAlignment="0" applyProtection="0"/>
    <xf numFmtId="0" fontId="31" fillId="58" borderId="0" applyNumberFormat="0" applyFont="0" applyBorder="0" applyAlignment="0" applyProtection="0"/>
    <xf numFmtId="0" fontId="12" fillId="58" borderId="0" applyNumberFormat="0" applyFont="0" applyBorder="0" applyAlignment="0" applyProtection="0"/>
    <xf numFmtId="0" fontId="12" fillId="58" borderId="0" applyNumberFormat="0" applyFont="0" applyBorder="0" applyAlignment="0" applyProtection="0"/>
    <xf numFmtId="0" fontId="35" fillId="58" borderId="0" applyNumberFormat="0" applyFont="0" applyBorder="0" applyAlignment="0" applyProtection="0"/>
    <xf numFmtId="0" fontId="12" fillId="58" borderId="0" applyNumberFormat="0" applyFont="0" applyBorder="0" applyAlignment="0" applyProtection="0"/>
    <xf numFmtId="0" fontId="39" fillId="58" borderId="0" applyNumberFormat="0" applyFont="0" applyBorder="0" applyAlignment="0" applyProtection="0"/>
    <xf numFmtId="0" fontId="32" fillId="59" borderId="0" applyNumberFormat="0" applyFont="0" applyBorder="0" applyAlignment="0" applyProtection="0"/>
    <xf numFmtId="0" fontId="12" fillId="58" borderId="0" applyNumberFormat="0" applyFont="0" applyBorder="0" applyAlignment="0" applyProtection="0"/>
    <xf numFmtId="0" fontId="2" fillId="59" borderId="0" applyNumberFormat="0" applyFont="0" applyBorder="0" applyAlignment="0" applyProtection="0"/>
    <xf numFmtId="0" fontId="12" fillId="58" borderId="0" applyNumberFormat="0" applyFont="0" applyBorder="0" applyAlignment="0" applyProtection="0"/>
    <xf numFmtId="0" fontId="36" fillId="59" borderId="0" applyNumberFormat="0" applyFont="0" applyBorder="0" applyAlignment="0" applyProtection="0"/>
    <xf numFmtId="0" fontId="2" fillId="59" borderId="0" applyNumberFormat="0" applyFont="0" applyBorder="0" applyAlignment="0" applyProtection="0"/>
    <xf numFmtId="0" fontId="40" fillId="59" borderId="0" applyNumberFormat="0" applyFont="0" applyBorder="0" applyAlignment="0" applyProtection="0"/>
    <xf numFmtId="0" fontId="2" fillId="58" borderId="0" applyNumberFormat="0" applyFont="0" applyBorder="0" applyAlignment="0" applyProtection="0"/>
    <xf numFmtId="0" fontId="2" fillId="58" borderId="0" applyNumberFormat="0" applyFont="0" applyBorder="0" applyAlignment="0" applyProtection="0"/>
    <xf numFmtId="0" fontId="12" fillId="58" borderId="0" applyNumberFormat="0" applyFont="0" applyBorder="0" applyAlignment="0" applyProtection="0"/>
    <xf numFmtId="0" fontId="12" fillId="58" borderId="0" applyNumberFormat="0" applyFont="0" applyBorder="0" applyAlignment="0" applyProtection="0"/>
    <xf numFmtId="0" fontId="2" fillId="58" borderId="0" applyNumberFormat="0" applyFont="0" applyBorder="0" applyAlignment="0" applyProtection="0"/>
    <xf numFmtId="0" fontId="35" fillId="58" borderId="0" applyNumberFormat="0" applyFont="0" applyBorder="0" applyAlignment="0" applyProtection="0"/>
    <xf numFmtId="0" fontId="12" fillId="58" borderId="0" applyNumberFormat="0" applyFont="0" applyBorder="0" applyAlignment="0" applyProtection="0"/>
    <xf numFmtId="0" fontId="39" fillId="58" borderId="0" applyNumberFormat="0" applyFont="0" applyBorder="0" applyAlignment="0" applyProtection="0"/>
    <xf numFmtId="0" fontId="31" fillId="60" borderId="0" applyNumberFormat="0" applyFont="0" applyBorder="0" applyAlignment="0" applyProtection="0"/>
    <xf numFmtId="0" fontId="31" fillId="60" borderId="0" applyNumberFormat="0" applyFont="0" applyBorder="0" applyAlignment="0" applyProtection="0"/>
    <xf numFmtId="0" fontId="12" fillId="60" borderId="0" applyNumberFormat="0" applyFont="0" applyBorder="0" applyAlignment="0" applyProtection="0"/>
    <xf numFmtId="0" fontId="12" fillId="60" borderId="0" applyNumberFormat="0" applyFont="0" applyBorder="0" applyAlignment="0" applyProtection="0"/>
    <xf numFmtId="0" fontId="35" fillId="60" borderId="0" applyNumberFormat="0" applyFont="0" applyBorder="0" applyAlignment="0" applyProtection="0"/>
    <xf numFmtId="0" fontId="12" fillId="60" borderId="0" applyNumberFormat="0" applyFont="0" applyBorder="0" applyAlignment="0" applyProtection="0"/>
    <xf numFmtId="0" fontId="39" fillId="60" borderId="0" applyNumberFormat="0" applyFont="0" applyBorder="0" applyAlignment="0" applyProtection="0"/>
    <xf numFmtId="0" fontId="32" fillId="60" borderId="0" applyNumberFormat="0" applyFont="0" applyBorder="0" applyAlignment="0" applyProtection="0"/>
    <xf numFmtId="0" fontId="12" fillId="60" borderId="0" applyNumberFormat="0" applyFont="0" applyBorder="0" applyAlignment="0" applyProtection="0"/>
    <xf numFmtId="0" fontId="2" fillId="60" borderId="0" applyNumberFormat="0" applyFont="0" applyBorder="0" applyAlignment="0" applyProtection="0"/>
    <xf numFmtId="0" fontId="12" fillId="60" borderId="0" applyNumberFormat="0" applyFont="0" applyBorder="0" applyAlignment="0" applyProtection="0"/>
    <xf numFmtId="0" fontId="36" fillId="60" borderId="0" applyNumberFormat="0" applyFont="0" applyBorder="0" applyAlignment="0" applyProtection="0"/>
    <xf numFmtId="0" fontId="2" fillId="60" borderId="0" applyNumberFormat="0" applyFont="0" applyBorder="0" applyAlignment="0" applyProtection="0"/>
    <xf numFmtId="0" fontId="40" fillId="60" borderId="0" applyNumberFormat="0" applyFont="0" applyBorder="0" applyAlignment="0" applyProtection="0"/>
    <xf numFmtId="0" fontId="2" fillId="60" borderId="0" applyNumberFormat="0" applyFont="0" applyBorder="0" applyAlignment="0" applyProtection="0"/>
    <xf numFmtId="0" fontId="2" fillId="60" borderId="0" applyNumberFormat="0" applyFont="0" applyBorder="0" applyAlignment="0" applyProtection="0"/>
    <xf numFmtId="0" fontId="12" fillId="60" borderId="0" applyNumberFormat="0" applyFont="0" applyBorder="0" applyAlignment="0" applyProtection="0"/>
    <xf numFmtId="0" fontId="12" fillId="60" borderId="0" applyNumberFormat="0" applyFont="0" applyBorder="0" applyAlignment="0" applyProtection="0"/>
    <xf numFmtId="0" fontId="2" fillId="60" borderId="0" applyNumberFormat="0" applyFont="0" applyBorder="0" applyAlignment="0" applyProtection="0"/>
    <xf numFmtId="0" fontId="35" fillId="60" borderId="0" applyNumberFormat="0" applyFont="0" applyBorder="0" applyAlignment="0" applyProtection="0"/>
    <xf numFmtId="0" fontId="12" fillId="60" borderId="0" applyNumberFormat="0" applyFont="0" applyBorder="0" applyAlignment="0" applyProtection="0"/>
    <xf numFmtId="0" fontId="39" fillId="60" borderId="0" applyNumberFormat="0" applyFont="0" applyBorder="0" applyAlignment="0" applyProtection="0"/>
    <xf numFmtId="0" fontId="44" fillId="6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44" fillId="6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44" fillId="6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44" fillId="64"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65"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4" fillId="66"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45" fillId="67" borderId="0" applyNumberFormat="0" applyBorder="0" applyAlignment="0" applyProtection="0"/>
    <xf numFmtId="0" fontId="46" fillId="67" borderId="0" applyNumberFormat="0" applyBorder="0" applyAlignment="0" applyProtection="0"/>
    <xf numFmtId="0" fontId="45" fillId="67" borderId="0" applyNumberFormat="0" applyBorder="0" applyAlignment="0" applyProtection="0"/>
    <xf numFmtId="0" fontId="46" fillId="67" borderId="0" applyNumberFormat="0" applyBorder="0" applyAlignment="0" applyProtection="0"/>
    <xf numFmtId="0" fontId="46" fillId="67"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0" fontId="46" fillId="69" borderId="0" applyNumberFormat="0" applyBorder="0" applyAlignment="0" applyProtection="0"/>
    <xf numFmtId="0" fontId="45" fillId="68" borderId="0" applyNumberFormat="0" applyBorder="0" applyAlignment="0" applyProtection="0"/>
    <xf numFmtId="0" fontId="46" fillId="69" borderId="0" applyNumberFormat="0" applyBorder="0" applyAlignment="0" applyProtection="0"/>
    <xf numFmtId="0" fontId="46" fillId="68" borderId="0" applyNumberFormat="0" applyBorder="0" applyAlignment="0" applyProtection="0"/>
    <xf numFmtId="0" fontId="45" fillId="68"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6" fillId="70" borderId="0" applyNumberFormat="0" applyBorder="0" applyAlignment="0" applyProtection="0"/>
    <xf numFmtId="0" fontId="45" fillId="54" borderId="0" applyNumberFormat="0" applyBorder="0" applyAlignment="0" applyProtection="0"/>
    <xf numFmtId="0" fontId="46" fillId="70" borderId="0" applyNumberFormat="0" applyBorder="0" applyAlignment="0" applyProtection="0"/>
    <xf numFmtId="0" fontId="46" fillId="71" borderId="0" applyNumberFormat="0" applyBorder="0" applyAlignment="0" applyProtection="0"/>
    <xf numFmtId="0" fontId="45" fillId="54" borderId="0" applyNumberFormat="0" applyBorder="0" applyAlignment="0" applyProtection="0"/>
    <xf numFmtId="0" fontId="45" fillId="71"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6" fillId="73" borderId="0" applyNumberFormat="0" applyBorder="0" applyAlignment="0" applyProtection="0"/>
    <xf numFmtId="0" fontId="45" fillId="72" borderId="0" applyNumberFormat="0" applyBorder="0" applyAlignment="0" applyProtection="0"/>
    <xf numFmtId="0" fontId="46" fillId="73" borderId="0" applyNumberFormat="0" applyBorder="0" applyAlignment="0" applyProtection="0"/>
    <xf numFmtId="0" fontId="46" fillId="74" borderId="0" applyNumberFormat="0" applyBorder="0" applyAlignment="0" applyProtection="0"/>
    <xf numFmtId="0" fontId="45" fillId="72" borderId="0" applyNumberFormat="0" applyBorder="0" applyAlignment="0" applyProtection="0"/>
    <xf numFmtId="0" fontId="45" fillId="74"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5" borderId="0" applyNumberFormat="0" applyBorder="0" applyAlignment="0" applyProtection="0"/>
    <xf numFmtId="0" fontId="46" fillId="76" borderId="0" applyNumberFormat="0" applyBorder="0" applyAlignment="0" applyProtection="0"/>
    <xf numFmtId="0" fontId="45" fillId="75" borderId="0" applyNumberFormat="0" applyBorder="0" applyAlignment="0" applyProtection="0"/>
    <xf numFmtId="0" fontId="46" fillId="76" borderId="0" applyNumberFormat="0" applyBorder="0" applyAlignment="0" applyProtection="0"/>
    <xf numFmtId="0" fontId="46" fillId="75" borderId="0" applyNumberFormat="0" applyBorder="0" applyAlignment="0" applyProtection="0"/>
    <xf numFmtId="0" fontId="45" fillId="75"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6" fillId="78" borderId="0" applyNumberFormat="0" applyBorder="0" applyAlignment="0" applyProtection="0"/>
    <xf numFmtId="0" fontId="45" fillId="77" borderId="0" applyNumberFormat="0" applyBorder="0" applyAlignment="0" applyProtection="0"/>
    <xf numFmtId="0" fontId="46" fillId="78" borderId="0" applyNumberFormat="0" applyBorder="0" applyAlignment="0" applyProtection="0"/>
    <xf numFmtId="0" fontId="46" fillId="79" borderId="0" applyNumberFormat="0" applyBorder="0" applyAlignment="0" applyProtection="0"/>
    <xf numFmtId="0" fontId="45" fillId="77" borderId="0" applyNumberFormat="0" applyBorder="0" applyAlignment="0" applyProtection="0"/>
    <xf numFmtId="0" fontId="45" fillId="79"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4" fillId="80"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44" fillId="81"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44" fillId="82"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4" fillId="8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8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4" fillId="8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47" fillId="86"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48" fillId="87" borderId="15" applyNumberFormat="0" applyAlignment="0" applyProtection="0"/>
    <xf numFmtId="0" fontId="49" fillId="87" borderId="15" applyNumberFormat="0" applyAlignment="0" applyProtection="0"/>
    <xf numFmtId="0" fontId="48" fillId="87" borderId="15" applyNumberFormat="0" applyAlignment="0" applyProtection="0"/>
    <xf numFmtId="0" fontId="49" fillId="87" borderId="15" applyNumberFormat="0" applyAlignment="0" applyProtection="0"/>
    <xf numFmtId="0" fontId="49" fillId="87" borderId="15" applyNumberFormat="0" applyAlignment="0" applyProtection="0"/>
    <xf numFmtId="0" fontId="48" fillId="87" borderId="15" applyNumberFormat="0" applyAlignment="0" applyProtection="0"/>
    <xf numFmtId="0" fontId="50" fillId="88" borderId="15"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51" fillId="0" borderId="16" applyNumberFormat="0" applyFill="0" applyAlignment="0" applyProtection="0"/>
    <xf numFmtId="0" fontId="52" fillId="0" borderId="16" applyNumberFormat="0" applyFill="0" applyAlignment="0" applyProtection="0"/>
    <xf numFmtId="0" fontId="51"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1" fillId="0" borderId="16" applyNumberFormat="0" applyFill="0" applyAlignment="0" applyProtection="0"/>
    <xf numFmtId="0" fontId="53" fillId="89" borderId="17" applyNumberFormat="0" applyAlignment="0" applyProtection="0"/>
    <xf numFmtId="0" fontId="54" fillId="89" borderId="17" applyNumberFormat="0" applyAlignment="0" applyProtection="0"/>
    <xf numFmtId="0" fontId="53" fillId="89" borderId="17" applyNumberFormat="0" applyAlignment="0" applyProtection="0"/>
    <xf numFmtId="0" fontId="54" fillId="89" borderId="17" applyNumberFormat="0" applyAlignment="0" applyProtection="0"/>
    <xf numFmtId="0" fontId="54" fillId="89" borderId="17" applyNumberFormat="0" applyAlignment="0" applyProtection="0"/>
    <xf numFmtId="0" fontId="53" fillId="89" borderId="17" applyNumberFormat="0" applyAlignment="0" applyProtection="0"/>
    <xf numFmtId="0" fontId="55" fillId="90" borderId="0" applyNumberFormat="0" applyBorder="0" applyAlignment="0" applyProtection="0"/>
    <xf numFmtId="0" fontId="56" fillId="91" borderId="17"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45" fillId="92" borderId="0" applyNumberFormat="0" applyBorder="0" applyAlignment="0" applyProtection="0"/>
    <xf numFmtId="0" fontId="46" fillId="92" borderId="0" applyNumberFormat="0" applyBorder="0" applyAlignment="0" applyProtection="0"/>
    <xf numFmtId="0" fontId="45" fillId="92" borderId="0" applyNumberFormat="0" applyBorder="0" applyAlignment="0" applyProtection="0"/>
    <xf numFmtId="0" fontId="46" fillId="92" borderId="0" applyNumberFormat="0" applyBorder="0" applyAlignment="0" applyProtection="0"/>
    <xf numFmtId="0" fontId="46" fillId="92" borderId="0" applyNumberFormat="0" applyBorder="0" applyAlignment="0" applyProtection="0"/>
    <xf numFmtId="0" fontId="45" fillId="92" borderId="0" applyNumberFormat="0" applyBorder="0" applyAlignment="0" applyProtection="0"/>
    <xf numFmtId="0" fontId="45" fillId="93" borderId="0" applyNumberFormat="0" applyBorder="0" applyAlignment="0" applyProtection="0"/>
    <xf numFmtId="0" fontId="46" fillId="93" borderId="0" applyNumberFormat="0" applyBorder="0" applyAlignment="0" applyProtection="0"/>
    <xf numFmtId="0" fontId="45" fillId="93" borderId="0" applyNumberFormat="0" applyBorder="0" applyAlignment="0" applyProtection="0"/>
    <xf numFmtId="0" fontId="46" fillId="93" borderId="0" applyNumberFormat="0" applyBorder="0" applyAlignment="0" applyProtection="0"/>
    <xf numFmtId="0" fontId="46" fillId="93" borderId="0" applyNumberFormat="0" applyBorder="0" applyAlignment="0" applyProtection="0"/>
    <xf numFmtId="0" fontId="45" fillId="93" borderId="0" applyNumberFormat="0" applyBorder="0" applyAlignment="0" applyProtection="0"/>
    <xf numFmtId="0" fontId="45" fillId="94" borderId="0" applyNumberFormat="0" applyBorder="0" applyAlignment="0" applyProtection="0"/>
    <xf numFmtId="0" fontId="46" fillId="94" borderId="0" applyNumberFormat="0" applyBorder="0" applyAlignment="0" applyProtection="0"/>
    <xf numFmtId="0" fontId="45" fillId="94" borderId="0" applyNumberFormat="0" applyBorder="0" applyAlignment="0" applyProtection="0"/>
    <xf numFmtId="0" fontId="46" fillId="94" borderId="0" applyNumberFormat="0" applyBorder="0" applyAlignment="0" applyProtection="0"/>
    <xf numFmtId="0" fontId="46" fillId="94" borderId="0" applyNumberFormat="0" applyBorder="0" applyAlignment="0" applyProtection="0"/>
    <xf numFmtId="0" fontId="45" fillId="94" borderId="0" applyNumberFormat="0" applyBorder="0" applyAlignment="0" applyProtection="0"/>
    <xf numFmtId="0" fontId="45" fillId="95" borderId="0" applyNumberFormat="0" applyBorder="0" applyAlignment="0" applyProtection="0"/>
    <xf numFmtId="0" fontId="46" fillId="95" borderId="0" applyNumberFormat="0" applyBorder="0" applyAlignment="0" applyProtection="0"/>
    <xf numFmtId="0" fontId="45" fillId="95" borderId="0" applyNumberFormat="0" applyBorder="0" applyAlignment="0" applyProtection="0"/>
    <xf numFmtId="0" fontId="46" fillId="95" borderId="0" applyNumberFormat="0" applyBorder="0" applyAlignment="0" applyProtection="0"/>
    <xf numFmtId="0" fontId="46" fillId="95" borderId="0" applyNumberFormat="0" applyBorder="0" applyAlignment="0" applyProtection="0"/>
    <xf numFmtId="0" fontId="45" fillId="95" borderId="0" applyNumberFormat="0" applyBorder="0" applyAlignment="0" applyProtection="0"/>
    <xf numFmtId="0" fontId="45" fillId="96" borderId="0" applyNumberFormat="0" applyBorder="0" applyAlignment="0" applyProtection="0"/>
    <xf numFmtId="0" fontId="46" fillId="96" borderId="0" applyNumberFormat="0" applyBorder="0" applyAlignment="0" applyProtection="0"/>
    <xf numFmtId="0" fontId="45" fillId="96" borderId="0" applyNumberFormat="0" applyBorder="0" applyAlignment="0" applyProtection="0"/>
    <xf numFmtId="0" fontId="46" fillId="96" borderId="0" applyNumberFormat="0" applyBorder="0" applyAlignment="0" applyProtection="0"/>
    <xf numFmtId="0" fontId="46" fillId="96" borderId="0" applyNumberFormat="0" applyBorder="0" applyAlignment="0" applyProtection="0"/>
    <xf numFmtId="0" fontId="45" fillId="96" borderId="0" applyNumberFormat="0" applyBorder="0" applyAlignment="0" applyProtection="0"/>
    <xf numFmtId="0" fontId="45" fillId="97" borderId="0" applyNumberFormat="0" applyBorder="0" applyAlignment="0" applyProtection="0"/>
    <xf numFmtId="0" fontId="46" fillId="97" borderId="0" applyNumberFormat="0" applyBorder="0" applyAlignment="0" applyProtection="0"/>
    <xf numFmtId="0" fontId="45" fillId="97" borderId="0" applyNumberFormat="0" applyBorder="0" applyAlignment="0" applyProtection="0"/>
    <xf numFmtId="0" fontId="46" fillId="97" borderId="0" applyNumberFormat="0" applyBorder="0" applyAlignment="0" applyProtection="0"/>
    <xf numFmtId="0" fontId="46" fillId="97" borderId="0" applyNumberFormat="0" applyBorder="0" applyAlignment="0" applyProtection="0"/>
    <xf numFmtId="0" fontId="45" fillId="97" borderId="0" applyNumberFormat="0" applyBorder="0" applyAlignment="0" applyProtection="0"/>
    <xf numFmtId="43" fontId="30"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164" fontId="30" fillId="0" borderId="0" applyFont="0" applyFill="0" applyBorder="0" applyAlignment="0" applyProtection="0"/>
    <xf numFmtId="165" fontId="1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29" fillId="0" borderId="0" applyFont="0" applyFill="0" applyBorder="0" applyAlignment="0" applyProtection="0"/>
    <xf numFmtId="43" fontId="29"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164" fontId="2" fillId="0" borderId="0" applyFont="0" applyFill="0" applyBorder="0" applyAlignment="0" applyProtection="0"/>
    <xf numFmtId="166" fontId="12"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3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7" fillId="0" borderId="0" applyFont="0" applyFill="0" applyBorder="0" applyAlignment="0" applyProtection="0"/>
    <xf numFmtId="164" fontId="3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164" fontId="30" fillId="0" borderId="0" applyFont="0" applyFill="0" applyBorder="0" applyAlignment="0" applyProtection="0"/>
    <xf numFmtId="165" fontId="1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38" fillId="0" borderId="0" applyFont="0" applyFill="0" applyBorder="0" applyAlignment="0" applyProtection="0"/>
    <xf numFmtId="166" fontId="12" fillId="0" borderId="0" applyFont="0" applyFill="0" applyBorder="0" applyAlignment="0" applyProtection="0"/>
    <xf numFmtId="43" fontId="38" fillId="0" borderId="0" applyFont="0" applyFill="0" applyBorder="0" applyAlignment="0" applyProtection="0"/>
    <xf numFmtId="164" fontId="30" fillId="0" borderId="0" applyFont="0" applyFill="0" applyBorder="0" applyAlignment="0" applyProtection="0"/>
    <xf numFmtId="166"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2" fillId="0" borderId="0" applyFont="0" applyFill="0" applyBorder="0" applyAlignment="0" applyProtection="0"/>
    <xf numFmtId="165" fontId="30" fillId="0" borderId="0" applyFont="0" applyFill="0" applyBorder="0" applyAlignment="0" applyProtection="0"/>
    <xf numFmtId="165" fontId="3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8"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29"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0" fontId="5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8" fillId="98"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59" fillId="0" borderId="18" applyNumberFormat="0" applyFill="0" applyAlignment="0" applyProtection="0"/>
    <xf numFmtId="0" fontId="19" fillId="0" borderId="4" applyNumberFormat="0" applyFill="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61" fillId="0" borderId="19"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62" fillId="0" borderId="20"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6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 fillId="0" borderId="0" applyNumberForma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100"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5" fillId="100" borderId="15" applyNumberFormat="0" applyAlignment="0" applyProtection="0"/>
    <xf numFmtId="0" fontId="66" fillId="100" borderId="15" applyNumberFormat="0" applyAlignment="0" applyProtection="0"/>
    <xf numFmtId="0" fontId="22" fillId="7" borderId="1" applyNumberFormat="0" applyAlignment="0" applyProtection="0"/>
    <xf numFmtId="0" fontId="65" fillId="100"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7" fillId="99"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6" fillId="100" borderId="15" applyNumberFormat="0" applyAlignment="0" applyProtection="0"/>
    <xf numFmtId="0" fontId="68" fillId="0" borderId="16"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168" fontId="31"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35" fillId="0" borderId="0" applyFont="0" applyFill="0" applyBorder="0" applyAlignment="0" applyProtection="0"/>
    <xf numFmtId="168" fontId="12" fillId="0" borderId="0" applyFont="0" applyFill="0" applyBorder="0" applyAlignment="0" applyProtection="0"/>
    <xf numFmtId="168" fontId="39" fillId="0" borderId="0" applyFont="0" applyFill="0" applyBorder="0" applyAlignment="0" applyProtection="0"/>
    <xf numFmtId="168" fontId="31"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35" fillId="0" borderId="0" applyFont="0" applyFill="0" applyBorder="0" applyAlignment="0" applyProtection="0"/>
    <xf numFmtId="168" fontId="12" fillId="0" borderId="0" applyFont="0" applyFill="0" applyBorder="0" applyAlignment="0" applyProtection="0"/>
    <xf numFmtId="168" fontId="39" fillId="0" borderId="0" applyFont="0" applyFill="0" applyBorder="0" applyAlignment="0" applyProtection="0"/>
    <xf numFmtId="0" fontId="69" fillId="10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70" fillId="102" borderId="0" applyNumberFormat="0" applyBorder="0" applyAlignment="0" applyProtection="0"/>
    <xf numFmtId="0" fontId="71" fillId="102" borderId="0" applyNumberFormat="0" applyBorder="0" applyAlignment="0" applyProtection="0"/>
    <xf numFmtId="0" fontId="70" fillId="102" borderId="0" applyNumberFormat="0" applyBorder="0" applyAlignment="0" applyProtection="0"/>
    <xf numFmtId="0" fontId="71" fillId="102" borderId="0" applyNumberFormat="0" applyBorder="0" applyAlignment="0" applyProtection="0"/>
    <xf numFmtId="0" fontId="71" fillId="102" borderId="0" applyNumberFormat="0" applyBorder="0" applyAlignment="0" applyProtection="0"/>
    <xf numFmtId="0" fontId="70" fillId="102" borderId="0" applyNumberFormat="0" applyBorder="0" applyAlignment="0" applyProtection="0"/>
    <xf numFmtId="0" fontId="3" fillId="0" borderId="0"/>
    <xf numFmtId="0" fontId="3" fillId="0" borderId="0"/>
    <xf numFmtId="0" fontId="4" fillId="0" borderId="0"/>
    <xf numFmtId="0" fontId="4" fillId="0" borderId="0"/>
    <xf numFmtId="0" fontId="4" fillId="0" borderId="0"/>
    <xf numFmtId="0" fontId="4" fillId="0" borderId="0"/>
    <xf numFmtId="0" fontId="3" fillId="0" borderId="0"/>
    <xf numFmtId="0" fontId="43" fillId="0" borderId="0"/>
    <xf numFmtId="0" fontId="72" fillId="0" borderId="0"/>
    <xf numFmtId="0" fontId="43" fillId="0" borderId="0"/>
    <xf numFmtId="0" fontId="43" fillId="0" borderId="0"/>
    <xf numFmtId="0" fontId="42" fillId="0" borderId="0"/>
    <xf numFmtId="0" fontId="43" fillId="0" borderId="0"/>
    <xf numFmtId="0" fontId="42" fillId="0" borderId="0"/>
    <xf numFmtId="0" fontId="42" fillId="0" borderId="0"/>
    <xf numFmtId="0" fontId="42" fillId="0" borderId="0"/>
    <xf numFmtId="0" fontId="42" fillId="0" borderId="0"/>
    <xf numFmtId="0" fontId="4" fillId="0" borderId="0"/>
    <xf numFmtId="0" fontId="4" fillId="0" borderId="0"/>
    <xf numFmtId="0" fontId="42" fillId="0" borderId="0"/>
    <xf numFmtId="0" fontId="42" fillId="0" borderId="0"/>
    <xf numFmtId="0" fontId="3" fillId="0" borderId="0"/>
    <xf numFmtId="0" fontId="43" fillId="0" borderId="0"/>
    <xf numFmtId="0" fontId="3" fillId="0" borderId="0"/>
    <xf numFmtId="0" fontId="3" fillId="0" borderId="0"/>
    <xf numFmtId="0" fontId="42" fillId="0" borderId="0"/>
    <xf numFmtId="0" fontId="42" fillId="0" borderId="0"/>
    <xf numFmtId="0" fontId="42" fillId="0" borderId="0"/>
    <xf numFmtId="0" fontId="42" fillId="0" borderId="0"/>
    <xf numFmtId="0" fontId="3" fillId="0" borderId="0"/>
    <xf numFmtId="0" fontId="3"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3" fillId="0" borderId="0"/>
    <xf numFmtId="0" fontId="72" fillId="0" borderId="0"/>
    <xf numFmtId="0" fontId="43" fillId="0" borderId="0"/>
    <xf numFmtId="0" fontId="4" fillId="0" borderId="0"/>
    <xf numFmtId="0" fontId="4" fillId="0" borderId="0"/>
    <xf numFmtId="0" fontId="43" fillId="0" borderId="0"/>
    <xf numFmtId="0" fontId="3" fillId="0" borderId="0"/>
    <xf numFmtId="0" fontId="3" fillId="0" borderId="0"/>
    <xf numFmtId="0" fontId="43" fillId="0" borderId="0"/>
    <xf numFmtId="0" fontId="43" fillId="0" borderId="0"/>
    <xf numFmtId="0" fontId="72" fillId="0" borderId="0"/>
    <xf numFmtId="0" fontId="43" fillId="0" borderId="0"/>
    <xf numFmtId="0" fontId="43" fillId="0" borderId="0"/>
    <xf numFmtId="0" fontId="72" fillId="0" borderId="0"/>
    <xf numFmtId="0" fontId="43" fillId="0" borderId="0"/>
    <xf numFmtId="0" fontId="4" fillId="0" borderId="0"/>
    <xf numFmtId="0" fontId="3" fillId="0" borderId="0"/>
    <xf numFmtId="0" fontId="3" fillId="0" borderId="0"/>
    <xf numFmtId="0" fontId="4" fillId="0" borderId="0"/>
    <xf numFmtId="0" fontId="4" fillId="0" borderId="0"/>
    <xf numFmtId="0" fontId="3" fillId="0" borderId="0"/>
    <xf numFmtId="0" fontId="72" fillId="0" borderId="0"/>
    <xf numFmtId="0" fontId="4" fillId="0" borderId="0"/>
    <xf numFmtId="0" fontId="3" fillId="0" borderId="0"/>
    <xf numFmtId="0" fontId="72" fillId="0" borderId="0"/>
    <xf numFmtId="0" fontId="43" fillId="0" borderId="0"/>
    <xf numFmtId="0" fontId="4" fillId="0" borderId="0"/>
    <xf numFmtId="0" fontId="43" fillId="0" borderId="0"/>
    <xf numFmtId="0" fontId="4" fillId="0" borderId="0"/>
    <xf numFmtId="0" fontId="72" fillId="0" borderId="0"/>
    <xf numFmtId="0" fontId="72" fillId="0" borderId="0"/>
    <xf numFmtId="0" fontId="72" fillId="0" borderId="0"/>
    <xf numFmtId="0" fontId="3" fillId="0" borderId="0"/>
    <xf numFmtId="0" fontId="3" fillId="0" borderId="0"/>
    <xf numFmtId="0" fontId="43" fillId="0" borderId="0"/>
    <xf numFmtId="0" fontId="43" fillId="0" borderId="0"/>
    <xf numFmtId="0" fontId="3" fillId="0" borderId="0"/>
    <xf numFmtId="0" fontId="42" fillId="0" borderId="0"/>
    <xf numFmtId="0" fontId="42" fillId="0" borderId="0"/>
    <xf numFmtId="0" fontId="42" fillId="0" borderId="0"/>
    <xf numFmtId="0" fontId="42"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3" fillId="0" borderId="0"/>
    <xf numFmtId="0" fontId="42" fillId="0" borderId="0"/>
    <xf numFmtId="0" fontId="4" fillId="0" borderId="0"/>
    <xf numFmtId="0" fontId="12" fillId="0" borderId="0"/>
    <xf numFmtId="0" fontId="3"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5" fillId="0" borderId="0"/>
    <xf numFmtId="0" fontId="5" fillId="0" borderId="0"/>
    <xf numFmtId="0" fontId="5"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2" fillId="0" borderId="0"/>
    <xf numFmtId="0" fontId="5" fillId="0" borderId="0"/>
    <xf numFmtId="0" fontId="43" fillId="0" borderId="0"/>
    <xf numFmtId="0" fontId="12" fillId="0" borderId="0"/>
    <xf numFmtId="0" fontId="43" fillId="0" borderId="0"/>
    <xf numFmtId="0" fontId="3" fillId="0" borderId="0"/>
    <xf numFmtId="0" fontId="42" fillId="0" borderId="0"/>
    <xf numFmtId="0" fontId="43"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43" fillId="0" borderId="0"/>
    <xf numFmtId="0" fontId="43" fillId="0" borderId="0"/>
    <xf numFmtId="0" fontId="3" fillId="0" borderId="0"/>
    <xf numFmtId="0" fontId="3" fillId="0" borderId="0"/>
    <xf numFmtId="0" fontId="41" fillId="0" borderId="0"/>
    <xf numFmtId="0" fontId="72" fillId="0" borderId="0"/>
    <xf numFmtId="0" fontId="3" fillId="0" borderId="0"/>
    <xf numFmtId="0" fontId="3" fillId="0" borderId="0"/>
    <xf numFmtId="0" fontId="72" fillId="0" borderId="0"/>
    <xf numFmtId="0" fontId="3" fillId="0" borderId="0"/>
    <xf numFmtId="0" fontId="4" fillId="0" borderId="0"/>
    <xf numFmtId="0" fontId="72" fillId="0" borderId="0"/>
    <xf numFmtId="0" fontId="73" fillId="0" borderId="0"/>
    <xf numFmtId="0" fontId="4" fillId="0" borderId="0"/>
    <xf numFmtId="0" fontId="4" fillId="0" borderId="0"/>
    <xf numFmtId="0" fontId="4" fillId="0" borderId="0"/>
    <xf numFmtId="0" fontId="3" fillId="0" borderId="0"/>
    <xf numFmtId="0" fontId="3" fillId="0" borderId="0"/>
    <xf numFmtId="0" fontId="72" fillId="0" borderId="0"/>
    <xf numFmtId="0" fontId="3" fillId="0" borderId="0"/>
    <xf numFmtId="0" fontId="72" fillId="0" borderId="0"/>
    <xf numFmtId="0" fontId="3" fillId="0" borderId="0"/>
    <xf numFmtId="0" fontId="3" fillId="0" borderId="0"/>
    <xf numFmtId="0" fontId="43" fillId="0" borderId="0"/>
    <xf numFmtId="0" fontId="74" fillId="0" borderId="0"/>
    <xf numFmtId="0" fontId="74" fillId="0" borderId="0"/>
    <xf numFmtId="0" fontId="4" fillId="0" borderId="0"/>
    <xf numFmtId="0" fontId="4" fillId="0" borderId="0"/>
    <xf numFmtId="0" fontId="43" fillId="0" borderId="0"/>
    <xf numFmtId="0" fontId="3" fillId="0" borderId="0"/>
    <xf numFmtId="0" fontId="75" fillId="0" borderId="0"/>
    <xf numFmtId="0" fontId="3" fillId="0" borderId="0"/>
    <xf numFmtId="0" fontId="75" fillId="0" borderId="0"/>
    <xf numFmtId="0" fontId="43" fillId="0" borderId="0"/>
    <xf numFmtId="0" fontId="43" fillId="0" borderId="0"/>
    <xf numFmtId="0" fontId="4" fillId="0" borderId="0"/>
    <xf numFmtId="0" fontId="3" fillId="0" borderId="0"/>
    <xf numFmtId="0" fontId="43" fillId="0" borderId="0"/>
    <xf numFmtId="0" fontId="43" fillId="0" borderId="0"/>
    <xf numFmtId="0" fontId="42" fillId="0" borderId="0"/>
    <xf numFmtId="0" fontId="42" fillId="0" borderId="0"/>
    <xf numFmtId="0" fontId="43" fillId="0" borderId="0"/>
    <xf numFmtId="0" fontId="42" fillId="0" borderId="0"/>
    <xf numFmtId="0" fontId="42" fillId="0" borderId="0"/>
    <xf numFmtId="0" fontId="4" fillId="0" borderId="0"/>
    <xf numFmtId="0" fontId="75" fillId="0" borderId="0"/>
    <xf numFmtId="0" fontId="42" fillId="0" borderId="0"/>
    <xf numFmtId="0" fontId="3" fillId="0" borderId="0"/>
    <xf numFmtId="0" fontId="42" fillId="0" borderId="0"/>
    <xf numFmtId="0" fontId="3" fillId="0" borderId="0"/>
    <xf numFmtId="0" fontId="42" fillId="0" borderId="0"/>
    <xf numFmtId="0" fontId="42" fillId="0" borderId="0"/>
    <xf numFmtId="0" fontId="42" fillId="0" borderId="0"/>
    <xf numFmtId="0" fontId="42" fillId="0" borderId="0"/>
    <xf numFmtId="0" fontId="3" fillId="0" borderId="0"/>
    <xf numFmtId="0" fontId="7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3" fillId="0" borderId="0"/>
    <xf numFmtId="0" fontId="72" fillId="0" borderId="0"/>
    <xf numFmtId="0" fontId="3" fillId="0" borderId="0"/>
    <xf numFmtId="0" fontId="42" fillId="0" borderId="0"/>
    <xf numFmtId="0" fontId="42" fillId="0" borderId="0"/>
    <xf numFmtId="0" fontId="74" fillId="0" borderId="0"/>
    <xf numFmtId="0" fontId="3" fillId="0" borderId="0"/>
    <xf numFmtId="0" fontId="3" fillId="0" borderId="0"/>
    <xf numFmtId="0" fontId="3" fillId="0" borderId="0"/>
    <xf numFmtId="0" fontId="42" fillId="0" borderId="0"/>
    <xf numFmtId="0" fontId="42" fillId="0" borderId="0"/>
    <xf numFmtId="0" fontId="42" fillId="0" borderId="0"/>
    <xf numFmtId="0" fontId="42" fillId="0" borderId="0"/>
    <xf numFmtId="0" fontId="74" fillId="0" borderId="0"/>
    <xf numFmtId="0" fontId="74" fillId="0" borderId="0"/>
    <xf numFmtId="0" fontId="3" fillId="0" borderId="0"/>
    <xf numFmtId="0" fontId="42" fillId="0" borderId="0"/>
    <xf numFmtId="0" fontId="42" fillId="0" borderId="0"/>
    <xf numFmtId="0" fontId="42" fillId="0" borderId="0"/>
    <xf numFmtId="0" fontId="42" fillId="0" borderId="0"/>
    <xf numFmtId="0" fontId="43" fillId="0" borderId="0"/>
    <xf numFmtId="0" fontId="4" fillId="0" borderId="0"/>
    <xf numFmtId="0" fontId="73" fillId="0" borderId="0"/>
    <xf numFmtId="0" fontId="3" fillId="0" borderId="0"/>
    <xf numFmtId="0" fontId="42" fillId="0" borderId="0"/>
    <xf numFmtId="0" fontId="42" fillId="0" borderId="0"/>
    <xf numFmtId="0" fontId="42" fillId="0" borderId="0"/>
    <xf numFmtId="0" fontId="42" fillId="0" borderId="0"/>
    <xf numFmtId="0" fontId="4" fillId="0" borderId="0"/>
    <xf numFmtId="0" fontId="3" fillId="0" borderId="0"/>
    <xf numFmtId="0" fontId="76" fillId="0" borderId="0"/>
    <xf numFmtId="0" fontId="42" fillId="0" borderId="0"/>
    <xf numFmtId="0" fontId="42" fillId="0" borderId="0"/>
    <xf numFmtId="0" fontId="3" fillId="0" borderId="0"/>
    <xf numFmtId="0" fontId="73" fillId="0" borderId="0"/>
    <xf numFmtId="0" fontId="73" fillId="0" borderId="0"/>
    <xf numFmtId="0" fontId="3" fillId="0" borderId="0"/>
    <xf numFmtId="0" fontId="43" fillId="0" borderId="0"/>
    <xf numFmtId="0" fontId="43" fillId="0" borderId="0"/>
    <xf numFmtId="0" fontId="42" fillId="0" borderId="0"/>
    <xf numFmtId="0" fontId="3" fillId="0" borderId="0"/>
    <xf numFmtId="0" fontId="4" fillId="0" borderId="0"/>
    <xf numFmtId="0" fontId="42"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 fillId="0" borderId="0"/>
    <xf numFmtId="0" fontId="76" fillId="0" borderId="0"/>
    <xf numFmtId="0" fontId="42" fillId="0" borderId="0"/>
    <xf numFmtId="0" fontId="42" fillId="0" borderId="0"/>
    <xf numFmtId="0" fontId="76" fillId="0" borderId="0"/>
    <xf numFmtId="0" fontId="3" fillId="0" borderId="0"/>
    <xf numFmtId="0" fontId="4" fillId="0" borderId="0"/>
    <xf numFmtId="0" fontId="43" fillId="0" borderId="0"/>
    <xf numFmtId="0" fontId="4" fillId="0" borderId="0"/>
    <xf numFmtId="0" fontId="76" fillId="0" borderId="0"/>
    <xf numFmtId="0" fontId="3" fillId="0" borderId="0"/>
    <xf numFmtId="0" fontId="31" fillId="0" borderId="0" applyNumberFormat="0" applyFont="0" applyBorder="0" applyProtection="0"/>
    <xf numFmtId="0" fontId="3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36" fillId="0" borderId="0" applyNumberFormat="0" applyFont="0" applyBorder="0" applyProtection="0"/>
    <xf numFmtId="0" fontId="2" fillId="0" borderId="0" applyNumberFormat="0" applyFont="0" applyBorder="0" applyProtection="0"/>
    <xf numFmtId="0" fontId="40"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35" fillId="0" borderId="0" applyNumberFormat="0" applyFont="0" applyBorder="0" applyProtection="0"/>
    <xf numFmtId="0" fontId="12" fillId="0" borderId="0" applyNumberFormat="0" applyFont="0" applyBorder="0" applyProtection="0"/>
    <xf numFmtId="0" fontId="39" fillId="0" borderId="0" applyNumberFormat="0" applyFont="0" applyBorder="0" applyProtection="0"/>
    <xf numFmtId="0" fontId="31" fillId="0" borderId="0" applyNumberFormat="0" applyFont="0" applyBorder="0" applyProtection="0"/>
    <xf numFmtId="0" fontId="3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36" fillId="0" borderId="0" applyNumberFormat="0" applyFont="0" applyBorder="0" applyProtection="0"/>
    <xf numFmtId="0" fontId="2" fillId="0" borderId="0" applyNumberFormat="0" applyFont="0" applyBorder="0" applyProtection="0"/>
    <xf numFmtId="0" fontId="40"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35" fillId="0" borderId="0" applyNumberFormat="0" applyFont="0" applyBorder="0" applyProtection="0"/>
    <xf numFmtId="0" fontId="12" fillId="0" borderId="0" applyNumberFormat="0" applyFont="0" applyBorder="0" applyProtection="0"/>
    <xf numFmtId="0" fontId="39" fillId="0" borderId="0" applyNumberFormat="0" applyFon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9" fillId="0" borderId="0" applyNumberFormat="0" applyBorder="0" applyProtection="0"/>
    <xf numFmtId="0" fontId="42" fillId="0" borderId="0"/>
    <xf numFmtId="0" fontId="42" fillId="0" borderId="0"/>
    <xf numFmtId="0" fontId="42" fillId="0" borderId="0"/>
    <xf numFmtId="0" fontId="42" fillId="0" borderId="0"/>
    <xf numFmtId="0" fontId="42" fillId="0" borderId="0"/>
    <xf numFmtId="0" fontId="42" fillId="0" borderId="0"/>
    <xf numFmtId="0" fontId="75" fillId="0" borderId="0"/>
    <xf numFmtId="0" fontId="31"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2" fillId="103" borderId="21" applyNumberFormat="0" applyFont="0" applyAlignment="0" applyProtection="0"/>
    <xf numFmtId="0" fontId="12" fillId="103" borderId="21" applyNumberFormat="0" applyFont="0" applyAlignment="0" applyProtection="0"/>
    <xf numFmtId="0" fontId="2" fillId="103" borderId="21" applyNumberFormat="0" applyFont="0" applyAlignment="0" applyProtection="0"/>
    <xf numFmtId="0" fontId="12" fillId="103" borderId="21" applyNumberFormat="0" applyFont="0" applyAlignment="0" applyProtection="0"/>
    <xf numFmtId="0" fontId="36" fillId="103" borderId="21" applyNumberFormat="0" applyFont="0" applyAlignment="0" applyProtection="0"/>
    <xf numFmtId="0" fontId="2" fillId="103" borderId="21" applyNumberFormat="0" applyFont="0" applyAlignment="0" applyProtection="0"/>
    <xf numFmtId="0" fontId="40" fillId="103" borderId="21" applyNumberFormat="0" applyFont="0" applyAlignment="0" applyProtection="0"/>
    <xf numFmtId="0" fontId="2" fillId="103" borderId="21" applyNumberFormat="0" applyFont="0" applyAlignment="0" applyProtection="0"/>
    <xf numFmtId="0" fontId="2"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29" fillId="104" borderId="21"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29" fillId="104" borderId="21" applyNumberFormat="0" applyFont="0" applyAlignment="0" applyProtection="0"/>
    <xf numFmtId="0" fontId="3" fillId="23" borderId="7" applyNumberFormat="0" applyFont="0" applyAlignment="0" applyProtection="0"/>
    <xf numFmtId="0" fontId="29"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12"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12"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80" fillId="87"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0" fillId="87" borderId="22" applyNumberFormat="0" applyAlignment="0" applyProtection="0"/>
    <xf numFmtId="0" fontId="81" fillId="87" borderId="22" applyNumberFormat="0" applyAlignment="0" applyProtection="0"/>
    <xf numFmtId="0" fontId="25" fillId="20" borderId="8" applyNumberFormat="0" applyAlignment="0" applyProtection="0"/>
    <xf numFmtId="0" fontId="80" fillId="87"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2" fillId="88"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1" fillId="87" borderId="22" applyNumberFormat="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8" fillId="0" borderId="0" applyNumberFormat="0" applyFill="0" applyBorder="0" applyAlignment="0" applyProtection="0"/>
    <xf numFmtId="0" fontId="89" fillId="0" borderId="23" applyNumberFormat="0" applyFill="0" applyAlignment="0" applyProtection="0"/>
    <xf numFmtId="0" fontId="90" fillId="0" borderId="23" applyNumberFormat="0" applyFill="0" applyAlignment="0" applyProtection="0"/>
    <xf numFmtId="0" fontId="89"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89" fillId="0" borderId="23" applyNumberFormat="0" applyFill="0" applyAlignment="0" applyProtection="0"/>
    <xf numFmtId="0" fontId="91" fillId="0" borderId="24" applyNumberFormat="0" applyFill="0" applyAlignment="0" applyProtection="0"/>
    <xf numFmtId="0" fontId="92" fillId="0" borderId="25" applyNumberFormat="0" applyFill="0" applyAlignment="0" applyProtection="0"/>
    <xf numFmtId="0" fontId="91" fillId="0" borderId="24" applyNumberFormat="0" applyFill="0" applyAlignment="0" applyProtection="0"/>
    <xf numFmtId="0" fontId="92" fillId="0" borderId="25" applyNumberFormat="0" applyFill="0" applyAlignment="0" applyProtection="0"/>
    <xf numFmtId="0" fontId="92" fillId="0" borderId="24" applyNumberFormat="0" applyFill="0" applyAlignment="0" applyProtection="0"/>
    <xf numFmtId="0" fontId="91" fillId="0" borderId="24" applyNumberFormat="0" applyFill="0" applyAlignment="0" applyProtection="0"/>
    <xf numFmtId="0" fontId="93" fillId="0" borderId="26" applyNumberFormat="0" applyFill="0" applyAlignment="0" applyProtection="0"/>
    <xf numFmtId="0" fontId="94" fillId="0" borderId="26" applyNumberFormat="0" applyFill="0" applyAlignment="0" applyProtection="0"/>
    <xf numFmtId="0" fontId="93" fillId="0" borderId="26" applyNumberFormat="0" applyFill="0" applyAlignment="0" applyProtection="0"/>
    <xf numFmtId="0" fontId="94" fillId="0" borderId="26" applyNumberFormat="0" applyFill="0" applyAlignment="0" applyProtection="0"/>
    <xf numFmtId="0" fontId="94" fillId="0" borderId="26" applyNumberFormat="0" applyFill="0" applyAlignment="0" applyProtection="0"/>
    <xf numFmtId="0" fontId="93" fillId="0" borderId="26" applyNumberFormat="0" applyFill="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5" fillId="0" borderId="0" applyNumberFormat="0" applyFill="0" applyBorder="0" applyAlignment="0" applyProtection="0"/>
    <xf numFmtId="0" fontId="88"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88" fillId="0" borderId="0" applyNumberFormat="0" applyFill="0" applyBorder="0" applyAlignment="0" applyProtection="0"/>
    <xf numFmtId="0" fontId="96" fillId="0" borderId="27"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97" fillId="0" borderId="28" applyNumberFormat="0" applyFill="0" applyAlignment="0" applyProtection="0"/>
    <xf numFmtId="0" fontId="98" fillId="0" borderId="28" applyNumberFormat="0" applyFill="0" applyAlignment="0" applyProtection="0"/>
    <xf numFmtId="0" fontId="97" fillId="0" borderId="28" applyNumberFormat="0" applyFill="0" applyAlignment="0" applyProtection="0"/>
    <xf numFmtId="0" fontId="98" fillId="0" borderId="28" applyNumberFormat="0" applyFill="0" applyAlignment="0" applyProtection="0"/>
    <xf numFmtId="0" fontId="98" fillId="0" borderId="28" applyNumberFormat="0" applyFill="0" applyAlignment="0" applyProtection="0"/>
    <xf numFmtId="0" fontId="97" fillId="0" borderId="28" applyNumberFormat="0" applyFill="0" applyAlignment="0" applyProtection="0"/>
    <xf numFmtId="0" fontId="99" fillId="90" borderId="0" applyNumberFormat="0" applyBorder="0" applyAlignment="0" applyProtection="0"/>
    <xf numFmtId="0" fontId="55" fillId="90" borderId="0" applyNumberFormat="0" applyBorder="0" applyAlignment="0" applyProtection="0"/>
    <xf numFmtId="0" fontId="99" fillId="90" borderId="0" applyNumberFormat="0" applyBorder="0" applyAlignment="0" applyProtection="0"/>
    <xf numFmtId="0" fontId="55" fillId="90" borderId="0" applyNumberFormat="0" applyBorder="0" applyAlignment="0" applyProtection="0"/>
    <xf numFmtId="0" fontId="55" fillId="90" borderId="0" applyNumberFormat="0" applyBorder="0" applyAlignment="0" applyProtection="0"/>
    <xf numFmtId="0" fontId="99" fillId="90" borderId="0" applyNumberFormat="0" applyBorder="0" applyAlignment="0" applyProtection="0"/>
    <xf numFmtId="0" fontId="100" fillId="105" borderId="0" applyNumberFormat="0" applyBorder="0" applyAlignment="0" applyProtection="0"/>
    <xf numFmtId="0" fontId="101" fillId="105" borderId="0" applyNumberFormat="0" applyBorder="0" applyAlignment="0" applyProtection="0"/>
    <xf numFmtId="0" fontId="100" fillId="105" borderId="0" applyNumberFormat="0" applyBorder="0" applyAlignment="0" applyProtection="0"/>
    <xf numFmtId="0" fontId="101" fillId="105" borderId="0" applyNumberFormat="0" applyBorder="0" applyAlignment="0" applyProtection="0"/>
    <xf numFmtId="0" fontId="101" fillId="105" borderId="0" applyNumberFormat="0" applyBorder="0" applyAlignment="0" applyProtection="0"/>
    <xf numFmtId="0" fontId="100" fillId="105" borderId="0" applyNumberFormat="0" applyBorder="0" applyAlignment="0" applyProtection="0"/>
    <xf numFmtId="0" fontId="102"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0" fontId="1" fillId="0" borderId="0"/>
  </cellStyleXfs>
  <cellXfs count="98">
    <xf numFmtId="0" fontId="0" fillId="0" borderId="0" xfId="0"/>
    <xf numFmtId="4" fontId="7" fillId="0" borderId="10" xfId="3162" applyNumberFormat="1" applyFont="1" applyFill="1" applyBorder="1" applyAlignment="1">
      <alignment horizontal="center" wrapText="1"/>
    </xf>
    <xf numFmtId="4" fontId="7" fillId="0" borderId="10" xfId="3206" applyNumberFormat="1" applyFont="1" applyFill="1" applyBorder="1" applyAlignment="1">
      <alignment horizontal="center" wrapText="1"/>
    </xf>
    <xf numFmtId="4" fontId="7" fillId="0" borderId="10" xfId="3207" applyNumberFormat="1" applyFont="1" applyFill="1" applyBorder="1" applyAlignment="1">
      <alignment horizontal="center" wrapText="1"/>
    </xf>
    <xf numFmtId="0" fontId="7" fillId="0" borderId="10" xfId="2439" applyFont="1" applyFill="1" applyBorder="1" applyAlignment="1" applyProtection="1">
      <alignment horizontal="left" wrapText="1"/>
    </xf>
    <xf numFmtId="0" fontId="7" fillId="0" borderId="10" xfId="0" applyFont="1" applyFill="1" applyBorder="1" applyAlignment="1">
      <alignment horizontal="center" wrapText="1"/>
    </xf>
    <xf numFmtId="0" fontId="7" fillId="0" borderId="10" xfId="2598" applyFont="1" applyFill="1" applyBorder="1" applyAlignment="1">
      <alignment horizontal="left" wrapText="1"/>
    </xf>
    <xf numFmtId="49" fontId="7" fillId="0" borderId="10" xfId="2619" applyNumberFormat="1" applyFont="1" applyFill="1" applyBorder="1" applyAlignment="1">
      <alignment horizontal="left" wrapText="1"/>
    </xf>
    <xf numFmtId="0" fontId="7" fillId="0" borderId="10" xfId="0" applyFont="1" applyFill="1" applyBorder="1" applyAlignment="1">
      <alignment horizontal="left" wrapText="1"/>
    </xf>
    <xf numFmtId="49" fontId="7" fillId="0" borderId="10" xfId="2598" applyNumberFormat="1" applyFont="1" applyFill="1" applyBorder="1" applyAlignment="1">
      <alignment horizontal="left" wrapText="1"/>
    </xf>
    <xf numFmtId="0" fontId="7" fillId="0" borderId="10" xfId="2572" applyFont="1" applyFill="1" applyBorder="1" applyAlignment="1">
      <alignment horizontal="left" wrapText="1"/>
    </xf>
    <xf numFmtId="0" fontId="7" fillId="0" borderId="10" xfId="2598" applyFont="1" applyFill="1" applyBorder="1" applyAlignment="1">
      <alignment horizontal="center" wrapText="1"/>
    </xf>
    <xf numFmtId="49" fontId="7" fillId="0" borderId="10" xfId="2619" applyNumberFormat="1" applyFont="1" applyFill="1" applyBorder="1" applyAlignment="1">
      <alignment horizontal="center" wrapText="1"/>
    </xf>
    <xf numFmtId="0" fontId="7" fillId="0" borderId="10" xfId="2623" applyFont="1" applyFill="1" applyBorder="1" applyAlignment="1">
      <alignment horizontal="center" wrapText="1"/>
    </xf>
    <xf numFmtId="2" fontId="7" fillId="0" borderId="10" xfId="2598" applyNumberFormat="1" applyFont="1" applyFill="1" applyBorder="1" applyAlignment="1">
      <alignment horizontal="center" wrapText="1"/>
    </xf>
    <xf numFmtId="0" fontId="7" fillId="0" borderId="10" xfId="2615" applyFont="1" applyFill="1" applyBorder="1" applyAlignment="1">
      <alignment horizontal="center" wrapText="1"/>
    </xf>
    <xf numFmtId="0" fontId="7" fillId="0" borderId="10" xfId="2624" applyFont="1" applyFill="1" applyBorder="1" applyAlignment="1">
      <alignment horizontal="center" wrapText="1"/>
    </xf>
    <xf numFmtId="4" fontId="6" fillId="0" borderId="10" xfId="2598" applyNumberFormat="1" applyFont="1" applyFill="1" applyBorder="1" applyAlignment="1">
      <alignment horizontal="center" wrapText="1"/>
    </xf>
    <xf numFmtId="2" fontId="7" fillId="0" borderId="10" xfId="0" applyNumberFormat="1" applyFont="1" applyFill="1" applyBorder="1" applyAlignment="1">
      <alignment horizontal="center" wrapText="1"/>
    </xf>
    <xf numFmtId="4" fontId="7" fillId="0" borderId="10" xfId="0" applyNumberFormat="1" applyFont="1" applyFill="1" applyBorder="1" applyAlignment="1">
      <alignment horizontal="center" wrapText="1"/>
    </xf>
    <xf numFmtId="4" fontId="7" fillId="0" borderId="10" xfId="2598" applyNumberFormat="1" applyFont="1" applyFill="1" applyBorder="1" applyAlignment="1">
      <alignment horizontal="center" wrapText="1"/>
    </xf>
    <xf numFmtId="4" fontId="7" fillId="0" borderId="10" xfId="2615" applyNumberFormat="1" applyFont="1" applyFill="1" applyBorder="1" applyAlignment="1">
      <alignment horizontal="center" wrapText="1"/>
    </xf>
    <xf numFmtId="4" fontId="7" fillId="0" borderId="12" xfId="0" applyNumberFormat="1" applyFont="1" applyFill="1" applyBorder="1" applyAlignment="1">
      <alignment horizontal="center" wrapText="1"/>
    </xf>
    <xf numFmtId="4" fontId="7" fillId="0" borderId="10" xfId="2619" applyNumberFormat="1" applyFont="1" applyFill="1" applyBorder="1" applyAlignment="1">
      <alignment horizontal="center" wrapText="1"/>
    </xf>
    <xf numFmtId="2" fontId="7" fillId="0" borderId="10" xfId="2623" applyNumberFormat="1" applyFont="1" applyFill="1" applyBorder="1" applyAlignment="1">
      <alignment horizontal="center" wrapText="1"/>
    </xf>
    <xf numFmtId="4" fontId="7" fillId="0" borderId="10" xfId="2599" applyNumberFormat="1" applyFont="1" applyFill="1" applyBorder="1" applyAlignment="1">
      <alignment horizontal="center" wrapText="1"/>
    </xf>
    <xf numFmtId="4" fontId="9" fillId="0" borderId="10" xfId="0" applyNumberFormat="1" applyFont="1" applyFill="1" applyBorder="1" applyAlignment="1">
      <alignment horizontal="center" wrapText="1"/>
    </xf>
    <xf numFmtId="0" fontId="7" fillId="0" borderId="10" xfId="2572" applyFont="1" applyFill="1" applyBorder="1" applyAlignment="1">
      <alignment horizontal="center" wrapText="1"/>
    </xf>
    <xf numFmtId="0" fontId="7" fillId="0" borderId="0" xfId="0" applyFont="1" applyFill="1" applyAlignment="1">
      <alignment horizontal="center" wrapText="1"/>
    </xf>
    <xf numFmtId="0" fontId="7" fillId="0" borderId="10" xfId="2615" applyFont="1" applyFill="1" applyBorder="1" applyAlignment="1">
      <alignment horizontal="left" wrapText="1"/>
    </xf>
    <xf numFmtId="49" fontId="6" fillId="0" borderId="10" xfId="2598" applyNumberFormat="1" applyFont="1" applyFill="1" applyBorder="1" applyAlignment="1">
      <alignment horizontal="center" wrapText="1"/>
    </xf>
    <xf numFmtId="0" fontId="6" fillId="0" borderId="10" xfId="2598" applyFont="1" applyFill="1" applyBorder="1" applyAlignment="1">
      <alignment horizontal="center" wrapText="1"/>
    </xf>
    <xf numFmtId="2" fontId="6" fillId="0" borderId="10" xfId="2598" applyNumberFormat="1" applyFont="1" applyFill="1" applyBorder="1" applyAlignment="1">
      <alignment horizontal="center" wrapText="1"/>
    </xf>
    <xf numFmtId="0" fontId="6" fillId="0" borderId="0" xfId="0" applyFont="1" applyFill="1" applyAlignment="1">
      <alignment horizontal="center" wrapText="1"/>
    </xf>
    <xf numFmtId="0" fontId="7" fillId="0" borderId="10" xfId="2671" applyFont="1" applyFill="1" applyBorder="1" applyAlignment="1">
      <alignment horizontal="center" wrapText="1"/>
    </xf>
    <xf numFmtId="49" fontId="7" fillId="0" borderId="10" xfId="2615" applyNumberFormat="1" applyFont="1" applyFill="1" applyBorder="1" applyAlignment="1">
      <alignment horizontal="left" wrapText="1"/>
    </xf>
    <xf numFmtId="0" fontId="7" fillId="0" borderId="11" xfId="0" applyFont="1" applyFill="1" applyBorder="1" applyAlignment="1">
      <alignment horizontal="left" wrapText="1"/>
    </xf>
    <xf numFmtId="49" fontId="7" fillId="0" borderId="10" xfId="0" applyNumberFormat="1" applyFont="1" applyFill="1" applyBorder="1" applyAlignment="1">
      <alignment horizontal="left" wrapText="1"/>
    </xf>
    <xf numFmtId="49" fontId="7" fillId="0" borderId="10" xfId="2598" applyNumberFormat="1" applyFont="1" applyFill="1" applyBorder="1" applyAlignment="1">
      <alignment horizontal="center" wrapText="1"/>
    </xf>
    <xf numFmtId="49" fontId="7" fillId="0" borderId="10" xfId="0" applyNumberFormat="1" applyFont="1" applyFill="1" applyBorder="1" applyAlignment="1">
      <alignment horizontal="center" wrapText="1"/>
    </xf>
    <xf numFmtId="2" fontId="7" fillId="0" borderId="10" xfId="2598" applyNumberFormat="1" applyFont="1" applyFill="1" applyBorder="1" applyAlignment="1">
      <alignment horizontal="left" wrapText="1"/>
    </xf>
    <xf numFmtId="0" fontId="7" fillId="0" borderId="10" xfId="2790" applyFont="1" applyFill="1" applyBorder="1" applyAlignment="1">
      <alignment horizontal="left" wrapText="1"/>
    </xf>
    <xf numFmtId="0" fontId="7" fillId="0" borderId="10" xfId="2790" applyFont="1" applyFill="1" applyBorder="1" applyAlignment="1">
      <alignment horizontal="center" wrapText="1"/>
    </xf>
    <xf numFmtId="0" fontId="7" fillId="0" borderId="10" xfId="2888" applyFont="1" applyFill="1" applyBorder="1" applyAlignment="1">
      <alignment horizontal="center" wrapText="1"/>
    </xf>
    <xf numFmtId="4" fontId="7" fillId="0" borderId="10" xfId="2598" applyNumberFormat="1" applyFont="1" applyFill="1" applyBorder="1" applyAlignment="1">
      <alignment horizontal="left" wrapText="1"/>
    </xf>
    <xf numFmtId="49" fontId="7" fillId="0" borderId="10" xfId="2623" applyNumberFormat="1" applyFont="1" applyFill="1" applyBorder="1" applyAlignment="1">
      <alignment horizontal="left" wrapText="1"/>
    </xf>
    <xf numFmtId="0" fontId="7" fillId="0" borderId="10" xfId="2623" applyFont="1" applyFill="1" applyBorder="1" applyAlignment="1">
      <alignment horizontal="left" wrapText="1"/>
    </xf>
    <xf numFmtId="0" fontId="7" fillId="0" borderId="11" xfId="2598" applyFont="1" applyFill="1" applyBorder="1" applyAlignment="1">
      <alignment horizontal="center" wrapText="1"/>
    </xf>
    <xf numFmtId="2" fontId="7" fillId="0" borderId="10" xfId="2615" applyNumberFormat="1" applyFont="1" applyFill="1" applyBorder="1" applyAlignment="1">
      <alignment horizontal="center" wrapText="1"/>
    </xf>
    <xf numFmtId="0" fontId="7" fillId="0" borderId="10" xfId="2661" applyFont="1" applyFill="1" applyBorder="1" applyAlignment="1">
      <alignment horizontal="center" wrapText="1"/>
    </xf>
    <xf numFmtId="2" fontId="7" fillId="0" borderId="10" xfId="2615" applyNumberFormat="1" applyFont="1" applyFill="1" applyBorder="1" applyAlignment="1">
      <alignment horizontal="left" wrapText="1"/>
    </xf>
    <xf numFmtId="167" fontId="7" fillId="0" borderId="10" xfId="2598" applyNumberFormat="1" applyFont="1" applyFill="1" applyBorder="1" applyAlignment="1">
      <alignment horizontal="left" wrapText="1"/>
    </xf>
    <xf numFmtId="167" fontId="7" fillId="0" borderId="10" xfId="2598" applyNumberFormat="1" applyFont="1" applyFill="1" applyBorder="1" applyAlignment="1">
      <alignment horizontal="center" wrapText="1"/>
    </xf>
    <xf numFmtId="0" fontId="7" fillId="0" borderId="10" xfId="2570" applyFont="1" applyFill="1" applyBorder="1" applyAlignment="1">
      <alignment horizontal="left" wrapText="1"/>
    </xf>
    <xf numFmtId="0" fontId="7" fillId="0" borderId="10" xfId="2570" applyFont="1" applyFill="1" applyBorder="1" applyAlignment="1">
      <alignment horizontal="center" wrapText="1"/>
    </xf>
    <xf numFmtId="167" fontId="7" fillId="0" borderId="10" xfId="2671" applyNumberFormat="1" applyFont="1" applyFill="1" applyBorder="1" applyAlignment="1">
      <alignment horizontal="left" wrapText="1"/>
    </xf>
    <xf numFmtId="49" fontId="7" fillId="0" borderId="10" xfId="2671" applyNumberFormat="1" applyFont="1" applyFill="1" applyBorder="1" applyAlignment="1">
      <alignment horizontal="left" wrapText="1"/>
    </xf>
    <xf numFmtId="167" fontId="7" fillId="0" borderId="10" xfId="2671" applyNumberFormat="1" applyFont="1" applyFill="1" applyBorder="1" applyAlignment="1">
      <alignment horizontal="center" wrapText="1"/>
    </xf>
    <xf numFmtId="49" fontId="7" fillId="0" borderId="10" xfId="2671" applyNumberFormat="1" applyFont="1" applyFill="1" applyBorder="1" applyAlignment="1">
      <alignment horizontal="center" wrapText="1"/>
    </xf>
    <xf numFmtId="0" fontId="7" fillId="0" borderId="10" xfId="2810" applyFont="1" applyFill="1" applyBorder="1" applyAlignment="1">
      <alignment horizontal="left" wrapText="1"/>
    </xf>
    <xf numFmtId="0" fontId="7" fillId="0" borderId="10" xfId="2619" applyFont="1" applyFill="1" applyBorder="1" applyAlignment="1">
      <alignment horizontal="center" wrapText="1"/>
    </xf>
    <xf numFmtId="4" fontId="7" fillId="0" borderId="10" xfId="0" applyNumberFormat="1" applyFont="1" applyFill="1" applyBorder="1" applyAlignment="1">
      <alignment horizontal="left" wrapText="1"/>
    </xf>
    <xf numFmtId="0" fontId="7" fillId="0" borderId="10" xfId="2624" applyFont="1" applyFill="1" applyBorder="1" applyAlignment="1">
      <alignment horizontal="left" wrapText="1"/>
    </xf>
    <xf numFmtId="0" fontId="7" fillId="0" borderId="10" xfId="2599" applyFont="1" applyFill="1" applyBorder="1" applyAlignment="1">
      <alignment horizontal="left" wrapText="1"/>
    </xf>
    <xf numFmtId="0" fontId="7" fillId="0" borderId="10" xfId="2599" applyFont="1" applyFill="1" applyBorder="1" applyAlignment="1">
      <alignment horizontal="center" wrapText="1"/>
    </xf>
    <xf numFmtId="49" fontId="7" fillId="0" borderId="13" xfId="0" applyNumberFormat="1" applyFont="1" applyFill="1" applyBorder="1" applyAlignment="1">
      <alignment horizontal="center" wrapText="1"/>
    </xf>
    <xf numFmtId="2" fontId="7" fillId="0" borderId="13" xfId="2598" applyNumberFormat="1" applyFont="1" applyFill="1" applyBorder="1" applyAlignment="1">
      <alignment horizontal="center" wrapText="1"/>
    </xf>
    <xf numFmtId="0" fontId="7" fillId="0" borderId="10" xfId="2671" applyFont="1" applyFill="1" applyBorder="1" applyAlignment="1">
      <alignment horizontal="left" wrapText="1"/>
    </xf>
    <xf numFmtId="0" fontId="7" fillId="0" borderId="10" xfId="2619" applyFont="1" applyFill="1" applyBorder="1" applyAlignment="1">
      <alignment horizontal="left" wrapText="1"/>
    </xf>
    <xf numFmtId="0" fontId="7" fillId="0" borderId="10" xfId="2914" applyFont="1" applyFill="1" applyBorder="1" applyAlignment="1">
      <alignment horizontal="left" wrapText="1"/>
    </xf>
    <xf numFmtId="0" fontId="7" fillId="0" borderId="10" xfId="2914" applyFont="1" applyFill="1" applyBorder="1" applyAlignment="1">
      <alignment horizontal="center" wrapText="1"/>
    </xf>
    <xf numFmtId="0" fontId="7" fillId="0" borderId="0" xfId="0" applyFont="1" applyFill="1" applyAlignment="1">
      <alignment horizontal="left" wrapText="1"/>
    </xf>
    <xf numFmtId="49" fontId="7" fillId="0" borderId="10" xfId="2572" applyNumberFormat="1" applyFont="1" applyFill="1" applyBorder="1" applyAlignment="1">
      <alignment horizontal="left" wrapText="1"/>
    </xf>
    <xf numFmtId="0" fontId="7" fillId="0" borderId="0" xfId="0" applyFont="1" applyFill="1" applyAlignment="1">
      <alignment wrapText="1"/>
    </xf>
    <xf numFmtId="4" fontId="7" fillId="0" borderId="12" xfId="2598" applyNumberFormat="1" applyFont="1" applyFill="1" applyBorder="1" applyAlignment="1">
      <alignment horizontal="center" wrapText="1"/>
    </xf>
    <xf numFmtId="4" fontId="7" fillId="0" borderId="10" xfId="2565" applyNumberFormat="1" applyFont="1" applyFill="1" applyBorder="1" applyAlignment="1">
      <alignment horizontal="center" wrapText="1"/>
    </xf>
    <xf numFmtId="2" fontId="7" fillId="0" borderId="10" xfId="2914" applyNumberFormat="1" applyFont="1" applyFill="1" applyBorder="1" applyAlignment="1">
      <alignment horizontal="center" wrapText="1"/>
    </xf>
    <xf numFmtId="2" fontId="7" fillId="0" borderId="0" xfId="0" applyNumberFormat="1" applyFont="1" applyFill="1" applyAlignment="1">
      <alignment wrapText="1"/>
    </xf>
    <xf numFmtId="0" fontId="7" fillId="0" borderId="0" xfId="0" applyFont="1" applyFill="1" applyAlignment="1">
      <alignment horizontal="left" vertical="center" wrapText="1"/>
    </xf>
    <xf numFmtId="2" fontId="7" fillId="0" borderId="10" xfId="2671" applyNumberFormat="1" applyFont="1" applyFill="1" applyBorder="1" applyAlignment="1">
      <alignment horizontal="center" wrapText="1"/>
    </xf>
    <xf numFmtId="0" fontId="7" fillId="0" borderId="0" xfId="0" applyFont="1" applyFill="1" applyAlignment="1">
      <alignment horizontal="center" vertical="center" wrapText="1"/>
    </xf>
    <xf numFmtId="49" fontId="7" fillId="0" borderId="14" xfId="0" applyNumberFormat="1" applyFont="1" applyFill="1" applyBorder="1" applyAlignment="1">
      <alignment horizontal="center" wrapText="1"/>
    </xf>
    <xf numFmtId="4" fontId="7" fillId="0" borderId="10" xfId="2135" applyNumberFormat="1" applyFont="1" applyFill="1" applyBorder="1" applyAlignment="1">
      <alignment horizontal="center" wrapText="1"/>
    </xf>
    <xf numFmtId="49" fontId="7" fillId="0" borderId="0" xfId="0" applyNumberFormat="1" applyFont="1" applyFill="1" applyAlignment="1">
      <alignment wrapText="1"/>
    </xf>
    <xf numFmtId="4" fontId="7" fillId="0" borderId="13" xfId="0" applyNumberFormat="1" applyFont="1" applyFill="1" applyBorder="1" applyAlignment="1">
      <alignment horizontal="center" wrapText="1"/>
    </xf>
    <xf numFmtId="0" fontId="7" fillId="0" borderId="10" xfId="2807" applyFont="1" applyFill="1" applyBorder="1" applyAlignment="1">
      <alignment horizontal="center" wrapText="1"/>
    </xf>
    <xf numFmtId="4" fontId="7" fillId="0" borderId="10" xfId="2671" applyNumberFormat="1" applyFont="1" applyFill="1" applyBorder="1" applyAlignment="1">
      <alignment horizontal="center" wrapText="1"/>
    </xf>
    <xf numFmtId="4" fontId="7" fillId="0" borderId="0" xfId="0" applyNumberFormat="1" applyFont="1" applyFill="1" applyAlignment="1">
      <alignment horizontal="center" wrapText="1"/>
    </xf>
    <xf numFmtId="2" fontId="7" fillId="0" borderId="0" xfId="0" applyNumberFormat="1" applyFont="1" applyFill="1" applyAlignment="1">
      <alignment horizontal="center" wrapText="1"/>
    </xf>
    <xf numFmtId="2" fontId="7" fillId="0" borderId="10" xfId="2914" applyNumberFormat="1" applyFont="1" applyFill="1" applyBorder="1" applyAlignment="1">
      <alignment horizontal="left" wrapText="1"/>
    </xf>
    <xf numFmtId="1" fontId="7" fillId="0" borderId="10" xfId="2598" applyNumberFormat="1" applyFont="1" applyFill="1" applyBorder="1" applyAlignment="1">
      <alignment horizontal="left" wrapText="1"/>
    </xf>
    <xf numFmtId="14" fontId="7" fillId="0" borderId="10" xfId="2598" applyNumberFormat="1" applyFont="1" applyFill="1" applyBorder="1" applyAlignment="1">
      <alignment horizontal="left" wrapText="1"/>
    </xf>
    <xf numFmtId="49" fontId="7" fillId="0" borderId="13" xfId="0" applyNumberFormat="1" applyFont="1" applyFill="1" applyBorder="1" applyAlignment="1">
      <alignment horizontal="left" wrapText="1"/>
    </xf>
    <xf numFmtId="0" fontId="7" fillId="0" borderId="10" xfId="2595" applyFont="1" applyFill="1" applyBorder="1" applyAlignment="1">
      <alignment horizontal="center" wrapText="1"/>
    </xf>
    <xf numFmtId="49" fontId="7" fillId="0" borderId="11" xfId="2598" applyNumberFormat="1" applyFont="1" applyFill="1" applyBorder="1" applyAlignment="1">
      <alignment horizontal="left" wrapText="1"/>
    </xf>
    <xf numFmtId="0" fontId="7" fillId="0" borderId="11" xfId="2598" applyFont="1" applyFill="1" applyBorder="1" applyAlignment="1">
      <alignment horizontal="left" wrapText="1"/>
    </xf>
    <xf numFmtId="4" fontId="7" fillId="0" borderId="11" xfId="2598" applyNumberFormat="1" applyFont="1" applyFill="1" applyBorder="1" applyAlignment="1">
      <alignment horizontal="center" wrapText="1"/>
    </xf>
    <xf numFmtId="2" fontId="7" fillId="0" borderId="11" xfId="2598" applyNumberFormat="1" applyFont="1" applyFill="1" applyBorder="1" applyAlignment="1">
      <alignment horizontal="center" wrapText="1"/>
    </xf>
  </cellXfs>
  <cellStyles count="12222">
    <cellStyle name="20% - Accent1 2" xfId="1" xr:uid="{00000000-0005-0000-0000-000000000000}"/>
    <cellStyle name="20% - Accent1 2 10" xfId="2" xr:uid="{00000000-0005-0000-0000-000001000000}"/>
    <cellStyle name="20% - Accent1 2 10 2" xfId="3" xr:uid="{00000000-0005-0000-0000-000002000000}"/>
    <cellStyle name="20% - Accent1 2 11" xfId="4" xr:uid="{00000000-0005-0000-0000-000003000000}"/>
    <cellStyle name="20% - Accent1 2 11 2" xfId="5" xr:uid="{00000000-0005-0000-0000-000004000000}"/>
    <cellStyle name="20% - Accent1 2 12" xfId="6" xr:uid="{00000000-0005-0000-0000-000005000000}"/>
    <cellStyle name="20% - Accent1 2 12 2" xfId="7" xr:uid="{00000000-0005-0000-0000-000006000000}"/>
    <cellStyle name="20% - Accent1 2 13" xfId="8" xr:uid="{00000000-0005-0000-0000-000007000000}"/>
    <cellStyle name="20% - Accent1 2 13 2" xfId="9" xr:uid="{00000000-0005-0000-0000-000008000000}"/>
    <cellStyle name="20% - Accent1 2 14" xfId="10" xr:uid="{00000000-0005-0000-0000-000009000000}"/>
    <cellStyle name="20% - Accent1 2 14 2" xfId="11" xr:uid="{00000000-0005-0000-0000-00000A000000}"/>
    <cellStyle name="20% - Accent1 2 15" xfId="12" xr:uid="{00000000-0005-0000-0000-00000B000000}"/>
    <cellStyle name="20% - Accent1 2 15 2" xfId="13" xr:uid="{00000000-0005-0000-0000-00000C000000}"/>
    <cellStyle name="20% - Accent1 2 16" xfId="14" xr:uid="{00000000-0005-0000-0000-00000D000000}"/>
    <cellStyle name="20% - Accent1 2 16 2" xfId="15" xr:uid="{00000000-0005-0000-0000-00000E000000}"/>
    <cellStyle name="20% - Accent1 2 17" xfId="16" xr:uid="{00000000-0005-0000-0000-00000F000000}"/>
    <cellStyle name="20% - Accent1 2 17 2" xfId="17" xr:uid="{00000000-0005-0000-0000-000010000000}"/>
    <cellStyle name="20% - Accent1 2 18" xfId="18" xr:uid="{00000000-0005-0000-0000-000011000000}"/>
    <cellStyle name="20% - Accent1 2 18 2" xfId="19" xr:uid="{00000000-0005-0000-0000-000012000000}"/>
    <cellStyle name="20% - Accent1 2 19" xfId="20" xr:uid="{00000000-0005-0000-0000-000013000000}"/>
    <cellStyle name="20% - Accent1 2 2" xfId="21" xr:uid="{00000000-0005-0000-0000-000014000000}"/>
    <cellStyle name="20% - Accent1 2 2 2" xfId="22" xr:uid="{00000000-0005-0000-0000-000015000000}"/>
    <cellStyle name="20% - Accent1 2 2 3" xfId="23" xr:uid="{00000000-0005-0000-0000-000016000000}"/>
    <cellStyle name="20% - Accent1 2 2 4" xfId="24" xr:uid="{00000000-0005-0000-0000-000017000000}"/>
    <cellStyle name="20% - Accent1 2 2 5" xfId="25" xr:uid="{00000000-0005-0000-0000-000018000000}"/>
    <cellStyle name="20% - Accent1 2 20" xfId="26" xr:uid="{00000000-0005-0000-0000-000019000000}"/>
    <cellStyle name="20% - Accent1 2 3" xfId="27" xr:uid="{00000000-0005-0000-0000-00001A000000}"/>
    <cellStyle name="20% - Accent1 2 3 2" xfId="28" xr:uid="{00000000-0005-0000-0000-00001B000000}"/>
    <cellStyle name="20% - Accent1 2 4" xfId="29" xr:uid="{00000000-0005-0000-0000-00001C000000}"/>
    <cellStyle name="20% - Accent1 2 4 2" xfId="30" xr:uid="{00000000-0005-0000-0000-00001D000000}"/>
    <cellStyle name="20% - Accent1 2 5" xfId="31" xr:uid="{00000000-0005-0000-0000-00001E000000}"/>
    <cellStyle name="20% - Accent1 2 5 2" xfId="32" xr:uid="{00000000-0005-0000-0000-00001F000000}"/>
    <cellStyle name="20% - Accent1 2 6" xfId="33" xr:uid="{00000000-0005-0000-0000-000020000000}"/>
    <cellStyle name="20% - Accent1 2 6 2" xfId="34" xr:uid="{00000000-0005-0000-0000-000021000000}"/>
    <cellStyle name="20% - Accent1 2 7" xfId="35" xr:uid="{00000000-0005-0000-0000-000022000000}"/>
    <cellStyle name="20% - Accent1 2 7 2" xfId="36" xr:uid="{00000000-0005-0000-0000-000023000000}"/>
    <cellStyle name="20% - Accent1 2 8" xfId="37" xr:uid="{00000000-0005-0000-0000-000024000000}"/>
    <cellStyle name="20% - Accent1 2 8 2" xfId="38" xr:uid="{00000000-0005-0000-0000-000025000000}"/>
    <cellStyle name="20% - Accent1 2 9" xfId="39" xr:uid="{00000000-0005-0000-0000-000026000000}"/>
    <cellStyle name="20% - Accent1 2 9 2" xfId="40" xr:uid="{00000000-0005-0000-0000-000027000000}"/>
    <cellStyle name="20% - Accent1 3 10" xfId="41" xr:uid="{00000000-0005-0000-0000-000028000000}"/>
    <cellStyle name="20% - Accent1 3 10 2" xfId="42" xr:uid="{00000000-0005-0000-0000-000029000000}"/>
    <cellStyle name="20% - Accent1 3 11" xfId="43" xr:uid="{00000000-0005-0000-0000-00002A000000}"/>
    <cellStyle name="20% - Accent1 3 11 2" xfId="44" xr:uid="{00000000-0005-0000-0000-00002B000000}"/>
    <cellStyle name="20% - Accent1 3 12" xfId="45" xr:uid="{00000000-0005-0000-0000-00002C000000}"/>
    <cellStyle name="20% - Accent1 3 12 2" xfId="46" xr:uid="{00000000-0005-0000-0000-00002D000000}"/>
    <cellStyle name="20% - Accent1 3 13" xfId="47" xr:uid="{00000000-0005-0000-0000-00002E000000}"/>
    <cellStyle name="20% - Accent1 3 13 2" xfId="48" xr:uid="{00000000-0005-0000-0000-00002F000000}"/>
    <cellStyle name="20% - Accent1 3 14" xfId="49" xr:uid="{00000000-0005-0000-0000-000030000000}"/>
    <cellStyle name="20% - Accent1 3 14 2" xfId="50" xr:uid="{00000000-0005-0000-0000-000031000000}"/>
    <cellStyle name="20% - Accent1 3 15" xfId="51" xr:uid="{00000000-0005-0000-0000-000032000000}"/>
    <cellStyle name="20% - Accent1 3 15 2" xfId="52" xr:uid="{00000000-0005-0000-0000-000033000000}"/>
    <cellStyle name="20% - Accent1 3 16" xfId="53" xr:uid="{00000000-0005-0000-0000-000034000000}"/>
    <cellStyle name="20% - Accent1 3 16 2" xfId="54" xr:uid="{00000000-0005-0000-0000-000035000000}"/>
    <cellStyle name="20% - Accent1 3 17" xfId="55" xr:uid="{00000000-0005-0000-0000-000036000000}"/>
    <cellStyle name="20% - Accent1 3 17 2" xfId="56" xr:uid="{00000000-0005-0000-0000-000037000000}"/>
    <cellStyle name="20% - Accent1 3 2" xfId="57" xr:uid="{00000000-0005-0000-0000-000038000000}"/>
    <cellStyle name="20% - Accent1 3 2 2" xfId="58" xr:uid="{00000000-0005-0000-0000-000039000000}"/>
    <cellStyle name="20% - Accent1 3 3" xfId="59" xr:uid="{00000000-0005-0000-0000-00003A000000}"/>
    <cellStyle name="20% - Accent1 3 3 2" xfId="60" xr:uid="{00000000-0005-0000-0000-00003B000000}"/>
    <cellStyle name="20% - Accent1 3 4" xfId="61" xr:uid="{00000000-0005-0000-0000-00003C000000}"/>
    <cellStyle name="20% - Accent1 3 4 2" xfId="62" xr:uid="{00000000-0005-0000-0000-00003D000000}"/>
    <cellStyle name="20% - Accent1 3 5" xfId="63" xr:uid="{00000000-0005-0000-0000-00003E000000}"/>
    <cellStyle name="20% - Accent1 3 5 2" xfId="64" xr:uid="{00000000-0005-0000-0000-00003F000000}"/>
    <cellStyle name="20% - Accent1 3 6" xfId="65" xr:uid="{00000000-0005-0000-0000-000040000000}"/>
    <cellStyle name="20% - Accent1 3 6 2" xfId="66" xr:uid="{00000000-0005-0000-0000-000041000000}"/>
    <cellStyle name="20% - Accent1 3 7" xfId="67" xr:uid="{00000000-0005-0000-0000-000042000000}"/>
    <cellStyle name="20% - Accent1 3 7 2" xfId="68" xr:uid="{00000000-0005-0000-0000-000043000000}"/>
    <cellStyle name="20% - Accent1 3 8" xfId="69" xr:uid="{00000000-0005-0000-0000-000044000000}"/>
    <cellStyle name="20% - Accent1 3 8 2" xfId="70" xr:uid="{00000000-0005-0000-0000-000045000000}"/>
    <cellStyle name="20% - Accent1 3 9" xfId="71" xr:uid="{00000000-0005-0000-0000-000046000000}"/>
    <cellStyle name="20% - Accent1 3 9 2" xfId="72" xr:uid="{00000000-0005-0000-0000-000047000000}"/>
    <cellStyle name="20% - Accent2 2" xfId="73" xr:uid="{00000000-0005-0000-0000-000048000000}"/>
    <cellStyle name="20% - Accent2 2 10" xfId="74" xr:uid="{00000000-0005-0000-0000-000049000000}"/>
    <cellStyle name="20% - Accent2 2 10 2" xfId="75" xr:uid="{00000000-0005-0000-0000-00004A000000}"/>
    <cellStyle name="20% - Accent2 2 11" xfId="76" xr:uid="{00000000-0005-0000-0000-00004B000000}"/>
    <cellStyle name="20% - Accent2 2 11 2" xfId="77" xr:uid="{00000000-0005-0000-0000-00004C000000}"/>
    <cellStyle name="20% - Accent2 2 12" xfId="78" xr:uid="{00000000-0005-0000-0000-00004D000000}"/>
    <cellStyle name="20% - Accent2 2 12 2" xfId="79" xr:uid="{00000000-0005-0000-0000-00004E000000}"/>
    <cellStyle name="20% - Accent2 2 13" xfId="80" xr:uid="{00000000-0005-0000-0000-00004F000000}"/>
    <cellStyle name="20% - Accent2 2 13 2" xfId="81" xr:uid="{00000000-0005-0000-0000-000050000000}"/>
    <cellStyle name="20% - Accent2 2 14" xfId="82" xr:uid="{00000000-0005-0000-0000-000051000000}"/>
    <cellStyle name="20% - Accent2 2 14 2" xfId="83" xr:uid="{00000000-0005-0000-0000-000052000000}"/>
    <cellStyle name="20% - Accent2 2 15" xfId="84" xr:uid="{00000000-0005-0000-0000-000053000000}"/>
    <cellStyle name="20% - Accent2 2 15 2" xfId="85" xr:uid="{00000000-0005-0000-0000-000054000000}"/>
    <cellStyle name="20% - Accent2 2 16" xfId="86" xr:uid="{00000000-0005-0000-0000-000055000000}"/>
    <cellStyle name="20% - Accent2 2 16 2" xfId="87" xr:uid="{00000000-0005-0000-0000-000056000000}"/>
    <cellStyle name="20% - Accent2 2 17" xfId="88" xr:uid="{00000000-0005-0000-0000-000057000000}"/>
    <cellStyle name="20% - Accent2 2 17 2" xfId="89" xr:uid="{00000000-0005-0000-0000-000058000000}"/>
    <cellStyle name="20% - Accent2 2 18" xfId="90" xr:uid="{00000000-0005-0000-0000-000059000000}"/>
    <cellStyle name="20% - Accent2 2 18 2" xfId="91" xr:uid="{00000000-0005-0000-0000-00005A000000}"/>
    <cellStyle name="20% - Accent2 2 19" xfId="92" xr:uid="{00000000-0005-0000-0000-00005B000000}"/>
    <cellStyle name="20% - Accent2 2 2" xfId="93" xr:uid="{00000000-0005-0000-0000-00005C000000}"/>
    <cellStyle name="20% - Accent2 2 2 2" xfId="94" xr:uid="{00000000-0005-0000-0000-00005D000000}"/>
    <cellStyle name="20% - Accent2 2 2 3" xfId="95" xr:uid="{00000000-0005-0000-0000-00005E000000}"/>
    <cellStyle name="20% - Accent2 2 2 4" xfId="96" xr:uid="{00000000-0005-0000-0000-00005F000000}"/>
    <cellStyle name="20% - Accent2 2 2 5" xfId="97" xr:uid="{00000000-0005-0000-0000-000060000000}"/>
    <cellStyle name="20% - Accent2 2 20" xfId="98" xr:uid="{00000000-0005-0000-0000-000061000000}"/>
    <cellStyle name="20% - Accent2 2 3" xfId="99" xr:uid="{00000000-0005-0000-0000-000062000000}"/>
    <cellStyle name="20% - Accent2 2 3 2" xfId="100" xr:uid="{00000000-0005-0000-0000-000063000000}"/>
    <cellStyle name="20% - Accent2 2 4" xfId="101" xr:uid="{00000000-0005-0000-0000-000064000000}"/>
    <cellStyle name="20% - Accent2 2 4 2" xfId="102" xr:uid="{00000000-0005-0000-0000-000065000000}"/>
    <cellStyle name="20% - Accent2 2 5" xfId="103" xr:uid="{00000000-0005-0000-0000-000066000000}"/>
    <cellStyle name="20% - Accent2 2 5 2" xfId="104" xr:uid="{00000000-0005-0000-0000-000067000000}"/>
    <cellStyle name="20% - Accent2 2 6" xfId="105" xr:uid="{00000000-0005-0000-0000-000068000000}"/>
    <cellStyle name="20% - Accent2 2 6 2" xfId="106" xr:uid="{00000000-0005-0000-0000-000069000000}"/>
    <cellStyle name="20% - Accent2 2 7" xfId="107" xr:uid="{00000000-0005-0000-0000-00006A000000}"/>
    <cellStyle name="20% - Accent2 2 7 2" xfId="108" xr:uid="{00000000-0005-0000-0000-00006B000000}"/>
    <cellStyle name="20% - Accent2 2 8" xfId="109" xr:uid="{00000000-0005-0000-0000-00006C000000}"/>
    <cellStyle name="20% - Accent2 2 8 2" xfId="110" xr:uid="{00000000-0005-0000-0000-00006D000000}"/>
    <cellStyle name="20% - Accent2 2 9" xfId="111" xr:uid="{00000000-0005-0000-0000-00006E000000}"/>
    <cellStyle name="20% - Accent2 2 9 2" xfId="112" xr:uid="{00000000-0005-0000-0000-00006F000000}"/>
    <cellStyle name="20% - Accent2 3 10" xfId="113" xr:uid="{00000000-0005-0000-0000-000070000000}"/>
    <cellStyle name="20% - Accent2 3 10 2" xfId="114" xr:uid="{00000000-0005-0000-0000-000071000000}"/>
    <cellStyle name="20% - Accent2 3 11" xfId="115" xr:uid="{00000000-0005-0000-0000-000072000000}"/>
    <cellStyle name="20% - Accent2 3 11 2" xfId="116" xr:uid="{00000000-0005-0000-0000-000073000000}"/>
    <cellStyle name="20% - Accent2 3 12" xfId="117" xr:uid="{00000000-0005-0000-0000-000074000000}"/>
    <cellStyle name="20% - Accent2 3 12 2" xfId="118" xr:uid="{00000000-0005-0000-0000-000075000000}"/>
    <cellStyle name="20% - Accent2 3 13" xfId="119" xr:uid="{00000000-0005-0000-0000-000076000000}"/>
    <cellStyle name="20% - Accent2 3 13 2" xfId="120" xr:uid="{00000000-0005-0000-0000-000077000000}"/>
    <cellStyle name="20% - Accent2 3 14" xfId="121" xr:uid="{00000000-0005-0000-0000-000078000000}"/>
    <cellStyle name="20% - Accent2 3 14 2" xfId="122" xr:uid="{00000000-0005-0000-0000-000079000000}"/>
    <cellStyle name="20% - Accent2 3 15" xfId="123" xr:uid="{00000000-0005-0000-0000-00007A000000}"/>
    <cellStyle name="20% - Accent2 3 15 2" xfId="124" xr:uid="{00000000-0005-0000-0000-00007B000000}"/>
    <cellStyle name="20% - Accent2 3 16" xfId="125" xr:uid="{00000000-0005-0000-0000-00007C000000}"/>
    <cellStyle name="20% - Accent2 3 16 2" xfId="126" xr:uid="{00000000-0005-0000-0000-00007D000000}"/>
    <cellStyle name="20% - Accent2 3 17" xfId="127" xr:uid="{00000000-0005-0000-0000-00007E000000}"/>
    <cellStyle name="20% - Accent2 3 17 2" xfId="128" xr:uid="{00000000-0005-0000-0000-00007F000000}"/>
    <cellStyle name="20% - Accent2 3 2" xfId="129" xr:uid="{00000000-0005-0000-0000-000080000000}"/>
    <cellStyle name="20% - Accent2 3 2 2" xfId="130" xr:uid="{00000000-0005-0000-0000-000081000000}"/>
    <cellStyle name="20% - Accent2 3 3" xfId="131" xr:uid="{00000000-0005-0000-0000-000082000000}"/>
    <cellStyle name="20% - Accent2 3 3 2" xfId="132" xr:uid="{00000000-0005-0000-0000-000083000000}"/>
    <cellStyle name="20% - Accent2 3 4" xfId="133" xr:uid="{00000000-0005-0000-0000-000084000000}"/>
    <cellStyle name="20% - Accent2 3 4 2" xfId="134" xr:uid="{00000000-0005-0000-0000-000085000000}"/>
    <cellStyle name="20% - Accent2 3 5" xfId="135" xr:uid="{00000000-0005-0000-0000-000086000000}"/>
    <cellStyle name="20% - Accent2 3 5 2" xfId="136" xr:uid="{00000000-0005-0000-0000-000087000000}"/>
    <cellStyle name="20% - Accent2 3 6" xfId="137" xr:uid="{00000000-0005-0000-0000-000088000000}"/>
    <cellStyle name="20% - Accent2 3 6 2" xfId="138" xr:uid="{00000000-0005-0000-0000-000089000000}"/>
    <cellStyle name="20% - Accent2 3 7" xfId="139" xr:uid="{00000000-0005-0000-0000-00008A000000}"/>
    <cellStyle name="20% - Accent2 3 7 2" xfId="140" xr:uid="{00000000-0005-0000-0000-00008B000000}"/>
    <cellStyle name="20% - Accent2 3 8" xfId="141" xr:uid="{00000000-0005-0000-0000-00008C000000}"/>
    <cellStyle name="20% - Accent2 3 8 2" xfId="142" xr:uid="{00000000-0005-0000-0000-00008D000000}"/>
    <cellStyle name="20% - Accent2 3 9" xfId="143" xr:uid="{00000000-0005-0000-0000-00008E000000}"/>
    <cellStyle name="20% - Accent2 3 9 2" xfId="144" xr:uid="{00000000-0005-0000-0000-00008F000000}"/>
    <cellStyle name="20% - Accent3 2" xfId="145" xr:uid="{00000000-0005-0000-0000-000090000000}"/>
    <cellStyle name="20% - Accent3 2 10" xfId="146" xr:uid="{00000000-0005-0000-0000-000091000000}"/>
    <cellStyle name="20% - Accent3 2 10 2" xfId="147" xr:uid="{00000000-0005-0000-0000-000092000000}"/>
    <cellStyle name="20% - Accent3 2 11" xfId="148" xr:uid="{00000000-0005-0000-0000-000093000000}"/>
    <cellStyle name="20% - Accent3 2 11 2" xfId="149" xr:uid="{00000000-0005-0000-0000-000094000000}"/>
    <cellStyle name="20% - Accent3 2 12" xfId="150" xr:uid="{00000000-0005-0000-0000-000095000000}"/>
    <cellStyle name="20% - Accent3 2 12 2" xfId="151" xr:uid="{00000000-0005-0000-0000-000096000000}"/>
    <cellStyle name="20% - Accent3 2 13" xfId="152" xr:uid="{00000000-0005-0000-0000-000097000000}"/>
    <cellStyle name="20% - Accent3 2 13 2" xfId="153" xr:uid="{00000000-0005-0000-0000-000098000000}"/>
    <cellStyle name="20% - Accent3 2 14" xfId="154" xr:uid="{00000000-0005-0000-0000-000099000000}"/>
    <cellStyle name="20% - Accent3 2 14 2" xfId="155" xr:uid="{00000000-0005-0000-0000-00009A000000}"/>
    <cellStyle name="20% - Accent3 2 15" xfId="156" xr:uid="{00000000-0005-0000-0000-00009B000000}"/>
    <cellStyle name="20% - Accent3 2 15 2" xfId="157" xr:uid="{00000000-0005-0000-0000-00009C000000}"/>
    <cellStyle name="20% - Accent3 2 16" xfId="158" xr:uid="{00000000-0005-0000-0000-00009D000000}"/>
    <cellStyle name="20% - Accent3 2 16 2" xfId="159" xr:uid="{00000000-0005-0000-0000-00009E000000}"/>
    <cellStyle name="20% - Accent3 2 17" xfId="160" xr:uid="{00000000-0005-0000-0000-00009F000000}"/>
    <cellStyle name="20% - Accent3 2 17 2" xfId="161" xr:uid="{00000000-0005-0000-0000-0000A0000000}"/>
    <cellStyle name="20% - Accent3 2 18" xfId="162" xr:uid="{00000000-0005-0000-0000-0000A1000000}"/>
    <cellStyle name="20% - Accent3 2 18 2" xfId="163" xr:uid="{00000000-0005-0000-0000-0000A2000000}"/>
    <cellStyle name="20% - Accent3 2 19" xfId="164" xr:uid="{00000000-0005-0000-0000-0000A3000000}"/>
    <cellStyle name="20% - Accent3 2 2" xfId="165" xr:uid="{00000000-0005-0000-0000-0000A4000000}"/>
    <cellStyle name="20% - Accent3 2 2 2" xfId="166" xr:uid="{00000000-0005-0000-0000-0000A5000000}"/>
    <cellStyle name="20% - Accent3 2 2 3" xfId="167" xr:uid="{00000000-0005-0000-0000-0000A6000000}"/>
    <cellStyle name="20% - Accent3 2 2 4" xfId="168" xr:uid="{00000000-0005-0000-0000-0000A7000000}"/>
    <cellStyle name="20% - Accent3 2 2 5" xfId="169" xr:uid="{00000000-0005-0000-0000-0000A8000000}"/>
    <cellStyle name="20% - Accent3 2 20" xfId="170" xr:uid="{00000000-0005-0000-0000-0000A9000000}"/>
    <cellStyle name="20% - Accent3 2 3" xfId="171" xr:uid="{00000000-0005-0000-0000-0000AA000000}"/>
    <cellStyle name="20% - Accent3 2 3 2" xfId="172" xr:uid="{00000000-0005-0000-0000-0000AB000000}"/>
    <cellStyle name="20% - Accent3 2 4" xfId="173" xr:uid="{00000000-0005-0000-0000-0000AC000000}"/>
    <cellStyle name="20% - Accent3 2 4 2" xfId="174" xr:uid="{00000000-0005-0000-0000-0000AD000000}"/>
    <cellStyle name="20% - Accent3 2 5" xfId="175" xr:uid="{00000000-0005-0000-0000-0000AE000000}"/>
    <cellStyle name="20% - Accent3 2 5 2" xfId="176" xr:uid="{00000000-0005-0000-0000-0000AF000000}"/>
    <cellStyle name="20% - Accent3 2 6" xfId="177" xr:uid="{00000000-0005-0000-0000-0000B0000000}"/>
    <cellStyle name="20% - Accent3 2 6 2" xfId="178" xr:uid="{00000000-0005-0000-0000-0000B1000000}"/>
    <cellStyle name="20% - Accent3 2 7" xfId="179" xr:uid="{00000000-0005-0000-0000-0000B2000000}"/>
    <cellStyle name="20% - Accent3 2 7 2" xfId="180" xr:uid="{00000000-0005-0000-0000-0000B3000000}"/>
    <cellStyle name="20% - Accent3 2 8" xfId="181" xr:uid="{00000000-0005-0000-0000-0000B4000000}"/>
    <cellStyle name="20% - Accent3 2 8 2" xfId="182" xr:uid="{00000000-0005-0000-0000-0000B5000000}"/>
    <cellStyle name="20% - Accent3 2 9" xfId="183" xr:uid="{00000000-0005-0000-0000-0000B6000000}"/>
    <cellStyle name="20% - Accent3 2 9 2" xfId="184" xr:uid="{00000000-0005-0000-0000-0000B7000000}"/>
    <cellStyle name="20% - Accent3 3 10" xfId="185" xr:uid="{00000000-0005-0000-0000-0000B8000000}"/>
    <cellStyle name="20% - Accent3 3 10 2" xfId="186" xr:uid="{00000000-0005-0000-0000-0000B9000000}"/>
    <cellStyle name="20% - Accent3 3 11" xfId="187" xr:uid="{00000000-0005-0000-0000-0000BA000000}"/>
    <cellStyle name="20% - Accent3 3 11 2" xfId="188" xr:uid="{00000000-0005-0000-0000-0000BB000000}"/>
    <cellStyle name="20% - Accent3 3 12" xfId="189" xr:uid="{00000000-0005-0000-0000-0000BC000000}"/>
    <cellStyle name="20% - Accent3 3 12 2" xfId="190" xr:uid="{00000000-0005-0000-0000-0000BD000000}"/>
    <cellStyle name="20% - Accent3 3 13" xfId="191" xr:uid="{00000000-0005-0000-0000-0000BE000000}"/>
    <cellStyle name="20% - Accent3 3 13 2" xfId="192" xr:uid="{00000000-0005-0000-0000-0000BF000000}"/>
    <cellStyle name="20% - Accent3 3 14" xfId="193" xr:uid="{00000000-0005-0000-0000-0000C0000000}"/>
    <cellStyle name="20% - Accent3 3 14 2" xfId="194" xr:uid="{00000000-0005-0000-0000-0000C1000000}"/>
    <cellStyle name="20% - Accent3 3 15" xfId="195" xr:uid="{00000000-0005-0000-0000-0000C2000000}"/>
    <cellStyle name="20% - Accent3 3 15 2" xfId="196" xr:uid="{00000000-0005-0000-0000-0000C3000000}"/>
    <cellStyle name="20% - Accent3 3 16" xfId="197" xr:uid="{00000000-0005-0000-0000-0000C4000000}"/>
    <cellStyle name="20% - Accent3 3 16 2" xfId="198" xr:uid="{00000000-0005-0000-0000-0000C5000000}"/>
    <cellStyle name="20% - Accent3 3 17" xfId="199" xr:uid="{00000000-0005-0000-0000-0000C6000000}"/>
    <cellStyle name="20% - Accent3 3 17 2" xfId="200" xr:uid="{00000000-0005-0000-0000-0000C7000000}"/>
    <cellStyle name="20% - Accent3 3 2" xfId="201" xr:uid="{00000000-0005-0000-0000-0000C8000000}"/>
    <cellStyle name="20% - Accent3 3 2 2" xfId="202" xr:uid="{00000000-0005-0000-0000-0000C9000000}"/>
    <cellStyle name="20% - Accent3 3 3" xfId="203" xr:uid="{00000000-0005-0000-0000-0000CA000000}"/>
    <cellStyle name="20% - Accent3 3 3 2" xfId="204" xr:uid="{00000000-0005-0000-0000-0000CB000000}"/>
    <cellStyle name="20% - Accent3 3 4" xfId="205" xr:uid="{00000000-0005-0000-0000-0000CC000000}"/>
    <cellStyle name="20% - Accent3 3 4 2" xfId="206" xr:uid="{00000000-0005-0000-0000-0000CD000000}"/>
    <cellStyle name="20% - Accent3 3 5" xfId="207" xr:uid="{00000000-0005-0000-0000-0000CE000000}"/>
    <cellStyle name="20% - Accent3 3 5 2" xfId="208" xr:uid="{00000000-0005-0000-0000-0000CF000000}"/>
    <cellStyle name="20% - Accent3 3 6" xfId="209" xr:uid="{00000000-0005-0000-0000-0000D0000000}"/>
    <cellStyle name="20% - Accent3 3 6 2" xfId="210" xr:uid="{00000000-0005-0000-0000-0000D1000000}"/>
    <cellStyle name="20% - Accent3 3 7" xfId="211" xr:uid="{00000000-0005-0000-0000-0000D2000000}"/>
    <cellStyle name="20% - Accent3 3 7 2" xfId="212" xr:uid="{00000000-0005-0000-0000-0000D3000000}"/>
    <cellStyle name="20% - Accent3 3 8" xfId="213" xr:uid="{00000000-0005-0000-0000-0000D4000000}"/>
    <cellStyle name="20% - Accent3 3 8 2" xfId="214" xr:uid="{00000000-0005-0000-0000-0000D5000000}"/>
    <cellStyle name="20% - Accent3 3 9" xfId="215" xr:uid="{00000000-0005-0000-0000-0000D6000000}"/>
    <cellStyle name="20% - Accent3 3 9 2" xfId="216" xr:uid="{00000000-0005-0000-0000-0000D7000000}"/>
    <cellStyle name="20% - Accent4 2" xfId="217" xr:uid="{00000000-0005-0000-0000-0000D8000000}"/>
    <cellStyle name="20% - Accent4 2 10" xfId="218" xr:uid="{00000000-0005-0000-0000-0000D9000000}"/>
    <cellStyle name="20% - Accent4 2 10 2" xfId="219" xr:uid="{00000000-0005-0000-0000-0000DA000000}"/>
    <cellStyle name="20% - Accent4 2 11" xfId="220" xr:uid="{00000000-0005-0000-0000-0000DB000000}"/>
    <cellStyle name="20% - Accent4 2 11 2" xfId="221" xr:uid="{00000000-0005-0000-0000-0000DC000000}"/>
    <cellStyle name="20% - Accent4 2 12" xfId="222" xr:uid="{00000000-0005-0000-0000-0000DD000000}"/>
    <cellStyle name="20% - Accent4 2 12 2" xfId="223" xr:uid="{00000000-0005-0000-0000-0000DE000000}"/>
    <cellStyle name="20% - Accent4 2 13" xfId="224" xr:uid="{00000000-0005-0000-0000-0000DF000000}"/>
    <cellStyle name="20% - Accent4 2 13 2" xfId="225" xr:uid="{00000000-0005-0000-0000-0000E0000000}"/>
    <cellStyle name="20% - Accent4 2 14" xfId="226" xr:uid="{00000000-0005-0000-0000-0000E1000000}"/>
    <cellStyle name="20% - Accent4 2 14 2" xfId="227" xr:uid="{00000000-0005-0000-0000-0000E2000000}"/>
    <cellStyle name="20% - Accent4 2 15" xfId="228" xr:uid="{00000000-0005-0000-0000-0000E3000000}"/>
    <cellStyle name="20% - Accent4 2 15 2" xfId="229" xr:uid="{00000000-0005-0000-0000-0000E4000000}"/>
    <cellStyle name="20% - Accent4 2 16" xfId="230" xr:uid="{00000000-0005-0000-0000-0000E5000000}"/>
    <cellStyle name="20% - Accent4 2 16 2" xfId="231" xr:uid="{00000000-0005-0000-0000-0000E6000000}"/>
    <cellStyle name="20% - Accent4 2 17" xfId="232" xr:uid="{00000000-0005-0000-0000-0000E7000000}"/>
    <cellStyle name="20% - Accent4 2 17 2" xfId="233" xr:uid="{00000000-0005-0000-0000-0000E8000000}"/>
    <cellStyle name="20% - Accent4 2 18" xfId="234" xr:uid="{00000000-0005-0000-0000-0000E9000000}"/>
    <cellStyle name="20% - Accent4 2 18 2" xfId="235" xr:uid="{00000000-0005-0000-0000-0000EA000000}"/>
    <cellStyle name="20% - Accent4 2 19" xfId="236" xr:uid="{00000000-0005-0000-0000-0000EB000000}"/>
    <cellStyle name="20% - Accent4 2 2" xfId="237" xr:uid="{00000000-0005-0000-0000-0000EC000000}"/>
    <cellStyle name="20% - Accent4 2 2 2" xfId="238" xr:uid="{00000000-0005-0000-0000-0000ED000000}"/>
    <cellStyle name="20% - Accent4 2 2 3" xfId="239" xr:uid="{00000000-0005-0000-0000-0000EE000000}"/>
    <cellStyle name="20% - Accent4 2 2 4" xfId="240" xr:uid="{00000000-0005-0000-0000-0000EF000000}"/>
    <cellStyle name="20% - Accent4 2 2 5" xfId="241" xr:uid="{00000000-0005-0000-0000-0000F0000000}"/>
    <cellStyle name="20% - Accent4 2 20" xfId="242" xr:uid="{00000000-0005-0000-0000-0000F1000000}"/>
    <cellStyle name="20% - Accent4 2 3" xfId="243" xr:uid="{00000000-0005-0000-0000-0000F2000000}"/>
    <cellStyle name="20% - Accent4 2 3 2" xfId="244" xr:uid="{00000000-0005-0000-0000-0000F3000000}"/>
    <cellStyle name="20% - Accent4 2 4" xfId="245" xr:uid="{00000000-0005-0000-0000-0000F4000000}"/>
    <cellStyle name="20% - Accent4 2 4 2" xfId="246" xr:uid="{00000000-0005-0000-0000-0000F5000000}"/>
    <cellStyle name="20% - Accent4 2 5" xfId="247" xr:uid="{00000000-0005-0000-0000-0000F6000000}"/>
    <cellStyle name="20% - Accent4 2 5 2" xfId="248" xr:uid="{00000000-0005-0000-0000-0000F7000000}"/>
    <cellStyle name="20% - Accent4 2 6" xfId="249" xr:uid="{00000000-0005-0000-0000-0000F8000000}"/>
    <cellStyle name="20% - Accent4 2 6 2" xfId="250" xr:uid="{00000000-0005-0000-0000-0000F9000000}"/>
    <cellStyle name="20% - Accent4 2 7" xfId="251" xr:uid="{00000000-0005-0000-0000-0000FA000000}"/>
    <cellStyle name="20% - Accent4 2 7 2" xfId="252" xr:uid="{00000000-0005-0000-0000-0000FB000000}"/>
    <cellStyle name="20% - Accent4 2 8" xfId="253" xr:uid="{00000000-0005-0000-0000-0000FC000000}"/>
    <cellStyle name="20% - Accent4 2 8 2" xfId="254" xr:uid="{00000000-0005-0000-0000-0000FD000000}"/>
    <cellStyle name="20% - Accent4 2 9" xfId="255" xr:uid="{00000000-0005-0000-0000-0000FE000000}"/>
    <cellStyle name="20% - Accent4 2 9 2" xfId="256" xr:uid="{00000000-0005-0000-0000-0000FF000000}"/>
    <cellStyle name="20% - Accent4 3 10" xfId="257" xr:uid="{00000000-0005-0000-0000-000000010000}"/>
    <cellStyle name="20% - Accent4 3 10 2" xfId="258" xr:uid="{00000000-0005-0000-0000-000001010000}"/>
    <cellStyle name="20% - Accent4 3 11" xfId="259" xr:uid="{00000000-0005-0000-0000-000002010000}"/>
    <cellStyle name="20% - Accent4 3 11 2" xfId="260" xr:uid="{00000000-0005-0000-0000-000003010000}"/>
    <cellStyle name="20% - Accent4 3 12" xfId="261" xr:uid="{00000000-0005-0000-0000-000004010000}"/>
    <cellStyle name="20% - Accent4 3 12 2" xfId="262" xr:uid="{00000000-0005-0000-0000-000005010000}"/>
    <cellStyle name="20% - Accent4 3 13" xfId="263" xr:uid="{00000000-0005-0000-0000-000006010000}"/>
    <cellStyle name="20% - Accent4 3 13 2" xfId="264" xr:uid="{00000000-0005-0000-0000-000007010000}"/>
    <cellStyle name="20% - Accent4 3 14" xfId="265" xr:uid="{00000000-0005-0000-0000-000008010000}"/>
    <cellStyle name="20% - Accent4 3 14 2" xfId="266" xr:uid="{00000000-0005-0000-0000-000009010000}"/>
    <cellStyle name="20% - Accent4 3 15" xfId="267" xr:uid="{00000000-0005-0000-0000-00000A010000}"/>
    <cellStyle name="20% - Accent4 3 15 2" xfId="268" xr:uid="{00000000-0005-0000-0000-00000B010000}"/>
    <cellStyle name="20% - Accent4 3 16" xfId="269" xr:uid="{00000000-0005-0000-0000-00000C010000}"/>
    <cellStyle name="20% - Accent4 3 16 2" xfId="270" xr:uid="{00000000-0005-0000-0000-00000D010000}"/>
    <cellStyle name="20% - Accent4 3 17" xfId="271" xr:uid="{00000000-0005-0000-0000-00000E010000}"/>
    <cellStyle name="20% - Accent4 3 17 2" xfId="272" xr:uid="{00000000-0005-0000-0000-00000F010000}"/>
    <cellStyle name="20% - Accent4 3 2" xfId="273" xr:uid="{00000000-0005-0000-0000-000010010000}"/>
    <cellStyle name="20% - Accent4 3 2 2" xfId="274" xr:uid="{00000000-0005-0000-0000-000011010000}"/>
    <cellStyle name="20% - Accent4 3 3" xfId="275" xr:uid="{00000000-0005-0000-0000-000012010000}"/>
    <cellStyle name="20% - Accent4 3 3 2" xfId="276" xr:uid="{00000000-0005-0000-0000-000013010000}"/>
    <cellStyle name="20% - Accent4 3 4" xfId="277" xr:uid="{00000000-0005-0000-0000-000014010000}"/>
    <cellStyle name="20% - Accent4 3 4 2" xfId="278" xr:uid="{00000000-0005-0000-0000-000015010000}"/>
    <cellStyle name="20% - Accent4 3 5" xfId="279" xr:uid="{00000000-0005-0000-0000-000016010000}"/>
    <cellStyle name="20% - Accent4 3 5 2" xfId="280" xr:uid="{00000000-0005-0000-0000-000017010000}"/>
    <cellStyle name="20% - Accent4 3 6" xfId="281" xr:uid="{00000000-0005-0000-0000-000018010000}"/>
    <cellStyle name="20% - Accent4 3 6 2" xfId="282" xr:uid="{00000000-0005-0000-0000-000019010000}"/>
    <cellStyle name="20% - Accent4 3 7" xfId="283" xr:uid="{00000000-0005-0000-0000-00001A010000}"/>
    <cellStyle name="20% - Accent4 3 7 2" xfId="284" xr:uid="{00000000-0005-0000-0000-00001B010000}"/>
    <cellStyle name="20% - Accent4 3 8" xfId="285" xr:uid="{00000000-0005-0000-0000-00001C010000}"/>
    <cellStyle name="20% - Accent4 3 8 2" xfId="286" xr:uid="{00000000-0005-0000-0000-00001D010000}"/>
    <cellStyle name="20% - Accent4 3 9" xfId="287" xr:uid="{00000000-0005-0000-0000-00001E010000}"/>
    <cellStyle name="20% - Accent4 3 9 2" xfId="288" xr:uid="{00000000-0005-0000-0000-00001F010000}"/>
    <cellStyle name="20% - Accent5 2" xfId="289" xr:uid="{00000000-0005-0000-0000-000020010000}"/>
    <cellStyle name="20% - Accent5 2 10" xfId="290" xr:uid="{00000000-0005-0000-0000-000021010000}"/>
    <cellStyle name="20% - Accent5 2 10 2" xfId="291" xr:uid="{00000000-0005-0000-0000-000022010000}"/>
    <cellStyle name="20% - Accent5 2 11" xfId="292" xr:uid="{00000000-0005-0000-0000-000023010000}"/>
    <cellStyle name="20% - Accent5 2 11 2" xfId="293" xr:uid="{00000000-0005-0000-0000-000024010000}"/>
    <cellStyle name="20% - Accent5 2 12" xfId="294" xr:uid="{00000000-0005-0000-0000-000025010000}"/>
    <cellStyle name="20% - Accent5 2 12 2" xfId="295" xr:uid="{00000000-0005-0000-0000-000026010000}"/>
    <cellStyle name="20% - Accent5 2 13" xfId="296" xr:uid="{00000000-0005-0000-0000-000027010000}"/>
    <cellStyle name="20% - Accent5 2 13 2" xfId="297" xr:uid="{00000000-0005-0000-0000-000028010000}"/>
    <cellStyle name="20% - Accent5 2 14" xfId="298" xr:uid="{00000000-0005-0000-0000-000029010000}"/>
    <cellStyle name="20% - Accent5 2 14 2" xfId="299" xr:uid="{00000000-0005-0000-0000-00002A010000}"/>
    <cellStyle name="20% - Accent5 2 15" xfId="300" xr:uid="{00000000-0005-0000-0000-00002B010000}"/>
    <cellStyle name="20% - Accent5 2 15 2" xfId="301" xr:uid="{00000000-0005-0000-0000-00002C010000}"/>
    <cellStyle name="20% - Accent5 2 16" xfId="302" xr:uid="{00000000-0005-0000-0000-00002D010000}"/>
    <cellStyle name="20% - Accent5 2 16 2" xfId="303" xr:uid="{00000000-0005-0000-0000-00002E010000}"/>
    <cellStyle name="20% - Accent5 2 17" xfId="304" xr:uid="{00000000-0005-0000-0000-00002F010000}"/>
    <cellStyle name="20% - Accent5 2 17 2" xfId="305" xr:uid="{00000000-0005-0000-0000-000030010000}"/>
    <cellStyle name="20% - Accent5 2 18" xfId="306" xr:uid="{00000000-0005-0000-0000-000031010000}"/>
    <cellStyle name="20% - Accent5 2 18 2" xfId="307" xr:uid="{00000000-0005-0000-0000-000032010000}"/>
    <cellStyle name="20% - Accent5 2 19" xfId="308" xr:uid="{00000000-0005-0000-0000-000033010000}"/>
    <cellStyle name="20% - Accent5 2 2" xfId="309" xr:uid="{00000000-0005-0000-0000-000034010000}"/>
    <cellStyle name="20% - Accent5 2 2 2" xfId="310" xr:uid="{00000000-0005-0000-0000-000035010000}"/>
    <cellStyle name="20% - Accent5 2 2 3" xfId="311" xr:uid="{00000000-0005-0000-0000-000036010000}"/>
    <cellStyle name="20% - Accent5 2 2 4" xfId="312" xr:uid="{00000000-0005-0000-0000-000037010000}"/>
    <cellStyle name="20% - Accent5 2 2 5" xfId="313" xr:uid="{00000000-0005-0000-0000-000038010000}"/>
    <cellStyle name="20% - Accent5 2 20" xfId="314" xr:uid="{00000000-0005-0000-0000-000039010000}"/>
    <cellStyle name="20% - Accent5 2 3" xfId="315" xr:uid="{00000000-0005-0000-0000-00003A010000}"/>
    <cellStyle name="20% - Accent5 2 3 2" xfId="316" xr:uid="{00000000-0005-0000-0000-00003B010000}"/>
    <cellStyle name="20% - Accent5 2 4" xfId="317" xr:uid="{00000000-0005-0000-0000-00003C010000}"/>
    <cellStyle name="20% - Accent5 2 4 2" xfId="318" xr:uid="{00000000-0005-0000-0000-00003D010000}"/>
    <cellStyle name="20% - Accent5 2 5" xfId="319" xr:uid="{00000000-0005-0000-0000-00003E010000}"/>
    <cellStyle name="20% - Accent5 2 5 2" xfId="320" xr:uid="{00000000-0005-0000-0000-00003F010000}"/>
    <cellStyle name="20% - Accent5 2 6" xfId="321" xr:uid="{00000000-0005-0000-0000-000040010000}"/>
    <cellStyle name="20% - Accent5 2 6 2" xfId="322" xr:uid="{00000000-0005-0000-0000-000041010000}"/>
    <cellStyle name="20% - Accent5 2 7" xfId="323" xr:uid="{00000000-0005-0000-0000-000042010000}"/>
    <cellStyle name="20% - Accent5 2 7 2" xfId="324" xr:uid="{00000000-0005-0000-0000-000043010000}"/>
    <cellStyle name="20% - Accent5 2 8" xfId="325" xr:uid="{00000000-0005-0000-0000-000044010000}"/>
    <cellStyle name="20% - Accent5 2 8 2" xfId="326" xr:uid="{00000000-0005-0000-0000-000045010000}"/>
    <cellStyle name="20% - Accent5 2 9" xfId="327" xr:uid="{00000000-0005-0000-0000-000046010000}"/>
    <cellStyle name="20% - Accent5 2 9 2" xfId="328" xr:uid="{00000000-0005-0000-0000-000047010000}"/>
    <cellStyle name="20% - Accent5 3 10" xfId="329" xr:uid="{00000000-0005-0000-0000-000048010000}"/>
    <cellStyle name="20% - Accent5 3 10 2" xfId="330" xr:uid="{00000000-0005-0000-0000-000049010000}"/>
    <cellStyle name="20% - Accent5 3 11" xfId="331" xr:uid="{00000000-0005-0000-0000-00004A010000}"/>
    <cellStyle name="20% - Accent5 3 11 2" xfId="332" xr:uid="{00000000-0005-0000-0000-00004B010000}"/>
    <cellStyle name="20% - Accent5 3 12" xfId="333" xr:uid="{00000000-0005-0000-0000-00004C010000}"/>
    <cellStyle name="20% - Accent5 3 12 2" xfId="334" xr:uid="{00000000-0005-0000-0000-00004D010000}"/>
    <cellStyle name="20% - Accent5 3 13" xfId="335" xr:uid="{00000000-0005-0000-0000-00004E010000}"/>
    <cellStyle name="20% - Accent5 3 13 2" xfId="336" xr:uid="{00000000-0005-0000-0000-00004F010000}"/>
    <cellStyle name="20% - Accent5 3 14" xfId="337" xr:uid="{00000000-0005-0000-0000-000050010000}"/>
    <cellStyle name="20% - Accent5 3 14 2" xfId="338" xr:uid="{00000000-0005-0000-0000-000051010000}"/>
    <cellStyle name="20% - Accent5 3 15" xfId="339" xr:uid="{00000000-0005-0000-0000-000052010000}"/>
    <cellStyle name="20% - Accent5 3 15 2" xfId="340" xr:uid="{00000000-0005-0000-0000-000053010000}"/>
    <cellStyle name="20% - Accent5 3 16" xfId="341" xr:uid="{00000000-0005-0000-0000-000054010000}"/>
    <cellStyle name="20% - Accent5 3 16 2" xfId="342" xr:uid="{00000000-0005-0000-0000-000055010000}"/>
    <cellStyle name="20% - Accent5 3 17" xfId="343" xr:uid="{00000000-0005-0000-0000-000056010000}"/>
    <cellStyle name="20% - Accent5 3 17 2" xfId="344" xr:uid="{00000000-0005-0000-0000-000057010000}"/>
    <cellStyle name="20% - Accent5 3 2" xfId="345" xr:uid="{00000000-0005-0000-0000-000058010000}"/>
    <cellStyle name="20% - Accent5 3 2 2" xfId="346" xr:uid="{00000000-0005-0000-0000-000059010000}"/>
    <cellStyle name="20% - Accent5 3 3" xfId="347" xr:uid="{00000000-0005-0000-0000-00005A010000}"/>
    <cellStyle name="20% - Accent5 3 3 2" xfId="348" xr:uid="{00000000-0005-0000-0000-00005B010000}"/>
    <cellStyle name="20% - Accent5 3 4" xfId="349" xr:uid="{00000000-0005-0000-0000-00005C010000}"/>
    <cellStyle name="20% - Accent5 3 4 2" xfId="350" xr:uid="{00000000-0005-0000-0000-00005D010000}"/>
    <cellStyle name="20% - Accent5 3 5" xfId="351" xr:uid="{00000000-0005-0000-0000-00005E010000}"/>
    <cellStyle name="20% - Accent5 3 5 2" xfId="352" xr:uid="{00000000-0005-0000-0000-00005F010000}"/>
    <cellStyle name="20% - Accent5 3 6" xfId="353" xr:uid="{00000000-0005-0000-0000-000060010000}"/>
    <cellStyle name="20% - Accent5 3 6 2" xfId="354" xr:uid="{00000000-0005-0000-0000-000061010000}"/>
    <cellStyle name="20% - Accent5 3 7" xfId="355" xr:uid="{00000000-0005-0000-0000-000062010000}"/>
    <cellStyle name="20% - Accent5 3 7 2" xfId="356" xr:uid="{00000000-0005-0000-0000-000063010000}"/>
    <cellStyle name="20% - Accent5 3 8" xfId="357" xr:uid="{00000000-0005-0000-0000-000064010000}"/>
    <cellStyle name="20% - Accent5 3 8 2" xfId="358" xr:uid="{00000000-0005-0000-0000-000065010000}"/>
    <cellStyle name="20% - Accent5 3 9" xfId="359" xr:uid="{00000000-0005-0000-0000-000066010000}"/>
    <cellStyle name="20% - Accent5 3 9 2" xfId="360" xr:uid="{00000000-0005-0000-0000-000067010000}"/>
    <cellStyle name="20% - Accent6 2" xfId="361" xr:uid="{00000000-0005-0000-0000-000068010000}"/>
    <cellStyle name="20% - Accent6 2 10" xfId="362" xr:uid="{00000000-0005-0000-0000-000069010000}"/>
    <cellStyle name="20% - Accent6 2 10 2" xfId="363" xr:uid="{00000000-0005-0000-0000-00006A010000}"/>
    <cellStyle name="20% - Accent6 2 11" xfId="364" xr:uid="{00000000-0005-0000-0000-00006B010000}"/>
    <cellStyle name="20% - Accent6 2 11 2" xfId="365" xr:uid="{00000000-0005-0000-0000-00006C010000}"/>
    <cellStyle name="20% - Accent6 2 12" xfId="366" xr:uid="{00000000-0005-0000-0000-00006D010000}"/>
    <cellStyle name="20% - Accent6 2 12 2" xfId="367" xr:uid="{00000000-0005-0000-0000-00006E010000}"/>
    <cellStyle name="20% - Accent6 2 13" xfId="368" xr:uid="{00000000-0005-0000-0000-00006F010000}"/>
    <cellStyle name="20% - Accent6 2 13 2" xfId="369" xr:uid="{00000000-0005-0000-0000-000070010000}"/>
    <cellStyle name="20% - Accent6 2 14" xfId="370" xr:uid="{00000000-0005-0000-0000-000071010000}"/>
    <cellStyle name="20% - Accent6 2 14 2" xfId="371" xr:uid="{00000000-0005-0000-0000-000072010000}"/>
    <cellStyle name="20% - Accent6 2 15" xfId="372" xr:uid="{00000000-0005-0000-0000-000073010000}"/>
    <cellStyle name="20% - Accent6 2 15 2" xfId="373" xr:uid="{00000000-0005-0000-0000-000074010000}"/>
    <cellStyle name="20% - Accent6 2 16" xfId="374" xr:uid="{00000000-0005-0000-0000-000075010000}"/>
    <cellStyle name="20% - Accent6 2 16 2" xfId="375" xr:uid="{00000000-0005-0000-0000-000076010000}"/>
    <cellStyle name="20% - Accent6 2 17" xfId="376" xr:uid="{00000000-0005-0000-0000-000077010000}"/>
    <cellStyle name="20% - Accent6 2 17 2" xfId="377" xr:uid="{00000000-0005-0000-0000-000078010000}"/>
    <cellStyle name="20% - Accent6 2 18" xfId="378" xr:uid="{00000000-0005-0000-0000-000079010000}"/>
    <cellStyle name="20% - Accent6 2 18 2" xfId="379" xr:uid="{00000000-0005-0000-0000-00007A010000}"/>
    <cellStyle name="20% - Accent6 2 19" xfId="380" xr:uid="{00000000-0005-0000-0000-00007B010000}"/>
    <cellStyle name="20% - Accent6 2 2" xfId="381" xr:uid="{00000000-0005-0000-0000-00007C010000}"/>
    <cellStyle name="20% - Accent6 2 2 2" xfId="382" xr:uid="{00000000-0005-0000-0000-00007D010000}"/>
    <cellStyle name="20% - Accent6 2 2 3" xfId="383" xr:uid="{00000000-0005-0000-0000-00007E010000}"/>
    <cellStyle name="20% - Accent6 2 2 4" xfId="384" xr:uid="{00000000-0005-0000-0000-00007F010000}"/>
    <cellStyle name="20% - Accent6 2 2 5" xfId="385" xr:uid="{00000000-0005-0000-0000-000080010000}"/>
    <cellStyle name="20% - Accent6 2 20" xfId="386" xr:uid="{00000000-0005-0000-0000-000081010000}"/>
    <cellStyle name="20% - Accent6 2 3" xfId="387" xr:uid="{00000000-0005-0000-0000-000082010000}"/>
    <cellStyle name="20% - Accent6 2 3 2" xfId="388" xr:uid="{00000000-0005-0000-0000-000083010000}"/>
    <cellStyle name="20% - Accent6 2 4" xfId="389" xr:uid="{00000000-0005-0000-0000-000084010000}"/>
    <cellStyle name="20% - Accent6 2 4 2" xfId="390" xr:uid="{00000000-0005-0000-0000-000085010000}"/>
    <cellStyle name="20% - Accent6 2 5" xfId="391" xr:uid="{00000000-0005-0000-0000-000086010000}"/>
    <cellStyle name="20% - Accent6 2 5 2" xfId="392" xr:uid="{00000000-0005-0000-0000-000087010000}"/>
    <cellStyle name="20% - Accent6 2 6" xfId="393" xr:uid="{00000000-0005-0000-0000-000088010000}"/>
    <cellStyle name="20% - Accent6 2 6 2" xfId="394" xr:uid="{00000000-0005-0000-0000-000089010000}"/>
    <cellStyle name="20% - Accent6 2 7" xfId="395" xr:uid="{00000000-0005-0000-0000-00008A010000}"/>
    <cellStyle name="20% - Accent6 2 7 2" xfId="396" xr:uid="{00000000-0005-0000-0000-00008B010000}"/>
    <cellStyle name="20% - Accent6 2 8" xfId="397" xr:uid="{00000000-0005-0000-0000-00008C010000}"/>
    <cellStyle name="20% - Accent6 2 8 2" xfId="398" xr:uid="{00000000-0005-0000-0000-00008D010000}"/>
    <cellStyle name="20% - Accent6 2 9" xfId="399" xr:uid="{00000000-0005-0000-0000-00008E010000}"/>
    <cellStyle name="20% - Accent6 2 9 2" xfId="400" xr:uid="{00000000-0005-0000-0000-00008F010000}"/>
    <cellStyle name="20% - Accent6 3 10" xfId="401" xr:uid="{00000000-0005-0000-0000-000090010000}"/>
    <cellStyle name="20% - Accent6 3 10 2" xfId="402" xr:uid="{00000000-0005-0000-0000-000091010000}"/>
    <cellStyle name="20% - Accent6 3 11" xfId="403" xr:uid="{00000000-0005-0000-0000-000092010000}"/>
    <cellStyle name="20% - Accent6 3 11 2" xfId="404" xr:uid="{00000000-0005-0000-0000-000093010000}"/>
    <cellStyle name="20% - Accent6 3 12" xfId="405" xr:uid="{00000000-0005-0000-0000-000094010000}"/>
    <cellStyle name="20% - Accent6 3 12 2" xfId="406" xr:uid="{00000000-0005-0000-0000-000095010000}"/>
    <cellStyle name="20% - Accent6 3 13" xfId="407" xr:uid="{00000000-0005-0000-0000-000096010000}"/>
    <cellStyle name="20% - Accent6 3 13 2" xfId="408" xr:uid="{00000000-0005-0000-0000-000097010000}"/>
    <cellStyle name="20% - Accent6 3 14" xfId="409" xr:uid="{00000000-0005-0000-0000-000098010000}"/>
    <cellStyle name="20% - Accent6 3 14 2" xfId="410" xr:uid="{00000000-0005-0000-0000-000099010000}"/>
    <cellStyle name="20% - Accent6 3 15" xfId="411" xr:uid="{00000000-0005-0000-0000-00009A010000}"/>
    <cellStyle name="20% - Accent6 3 15 2" xfId="412" xr:uid="{00000000-0005-0000-0000-00009B010000}"/>
    <cellStyle name="20% - Accent6 3 16" xfId="413" xr:uid="{00000000-0005-0000-0000-00009C010000}"/>
    <cellStyle name="20% - Accent6 3 16 2" xfId="414" xr:uid="{00000000-0005-0000-0000-00009D010000}"/>
    <cellStyle name="20% - Accent6 3 17" xfId="415" xr:uid="{00000000-0005-0000-0000-00009E010000}"/>
    <cellStyle name="20% - Accent6 3 17 2" xfId="416" xr:uid="{00000000-0005-0000-0000-00009F010000}"/>
    <cellStyle name="20% - Accent6 3 2" xfId="417" xr:uid="{00000000-0005-0000-0000-0000A0010000}"/>
    <cellStyle name="20% - Accent6 3 2 2" xfId="418" xr:uid="{00000000-0005-0000-0000-0000A1010000}"/>
    <cellStyle name="20% - Accent6 3 3" xfId="419" xr:uid="{00000000-0005-0000-0000-0000A2010000}"/>
    <cellStyle name="20% - Accent6 3 3 2" xfId="420" xr:uid="{00000000-0005-0000-0000-0000A3010000}"/>
    <cellStyle name="20% - Accent6 3 4" xfId="421" xr:uid="{00000000-0005-0000-0000-0000A4010000}"/>
    <cellStyle name="20% - Accent6 3 4 2" xfId="422" xr:uid="{00000000-0005-0000-0000-0000A5010000}"/>
    <cellStyle name="20% - Accent6 3 5" xfId="423" xr:uid="{00000000-0005-0000-0000-0000A6010000}"/>
    <cellStyle name="20% - Accent6 3 5 2" xfId="424" xr:uid="{00000000-0005-0000-0000-0000A7010000}"/>
    <cellStyle name="20% - Accent6 3 6" xfId="425" xr:uid="{00000000-0005-0000-0000-0000A8010000}"/>
    <cellStyle name="20% - Accent6 3 6 2" xfId="426" xr:uid="{00000000-0005-0000-0000-0000A9010000}"/>
    <cellStyle name="20% - Accent6 3 7" xfId="427" xr:uid="{00000000-0005-0000-0000-0000AA010000}"/>
    <cellStyle name="20% - Accent6 3 7 2" xfId="428" xr:uid="{00000000-0005-0000-0000-0000AB010000}"/>
    <cellStyle name="20% - Accent6 3 8" xfId="429" xr:uid="{00000000-0005-0000-0000-0000AC010000}"/>
    <cellStyle name="20% - Accent6 3 8 2" xfId="430" xr:uid="{00000000-0005-0000-0000-0000AD010000}"/>
    <cellStyle name="20% - Accent6 3 9" xfId="431" xr:uid="{00000000-0005-0000-0000-0000AE010000}"/>
    <cellStyle name="20% - Accent6 3 9 2" xfId="432" xr:uid="{00000000-0005-0000-0000-0000AF010000}"/>
    <cellStyle name="20% - Colore 1" xfId="433" xr:uid="{00000000-0005-0000-0000-0000B0010000}"/>
    <cellStyle name="20% - Colore 1 10" xfId="434" xr:uid="{00000000-0005-0000-0000-0000B1010000}"/>
    <cellStyle name="20% - Colore 1 10 2" xfId="435" xr:uid="{00000000-0005-0000-0000-0000B2010000}"/>
    <cellStyle name="20% - Colore 1 10 3" xfId="436" xr:uid="{00000000-0005-0000-0000-0000B3010000}"/>
    <cellStyle name="20% - Colore 1 10 4" xfId="437" xr:uid="{00000000-0005-0000-0000-0000B4010000}"/>
    <cellStyle name="20% - Colore 1 10 4 2" xfId="438" xr:uid="{00000000-0005-0000-0000-0000B5010000}"/>
    <cellStyle name="20% - Colore 1 10 5" xfId="439" xr:uid="{00000000-0005-0000-0000-0000B6010000}"/>
    <cellStyle name="20% - Colore 1 11" xfId="440" xr:uid="{00000000-0005-0000-0000-0000B7010000}"/>
    <cellStyle name="20% - Colore 1 11 2" xfId="441" xr:uid="{00000000-0005-0000-0000-0000B8010000}"/>
    <cellStyle name="20% - Colore 1 11 3" xfId="442" xr:uid="{00000000-0005-0000-0000-0000B9010000}"/>
    <cellStyle name="20% - Colore 1 11 4" xfId="443" xr:uid="{00000000-0005-0000-0000-0000BA010000}"/>
    <cellStyle name="20% - Colore 1 11 4 2" xfId="444" xr:uid="{00000000-0005-0000-0000-0000BB010000}"/>
    <cellStyle name="20% - Colore 1 11 5" xfId="445" xr:uid="{00000000-0005-0000-0000-0000BC010000}"/>
    <cellStyle name="20% - Colore 1 12" xfId="446" xr:uid="{00000000-0005-0000-0000-0000BD010000}"/>
    <cellStyle name="20% - Colore 1 12 2" xfId="447" xr:uid="{00000000-0005-0000-0000-0000BE010000}"/>
    <cellStyle name="20% - Colore 1 12 3" xfId="448" xr:uid="{00000000-0005-0000-0000-0000BF010000}"/>
    <cellStyle name="20% - Colore 1 12 4" xfId="449" xr:uid="{00000000-0005-0000-0000-0000C0010000}"/>
    <cellStyle name="20% - Colore 1 12 4 2" xfId="450" xr:uid="{00000000-0005-0000-0000-0000C1010000}"/>
    <cellStyle name="20% - Colore 1 12 5" xfId="451" xr:uid="{00000000-0005-0000-0000-0000C2010000}"/>
    <cellStyle name="20% - Colore 1 13" xfId="452" xr:uid="{00000000-0005-0000-0000-0000C3010000}"/>
    <cellStyle name="20% - Colore 1 13 2" xfId="453" xr:uid="{00000000-0005-0000-0000-0000C4010000}"/>
    <cellStyle name="20% - Colore 1 13 3" xfId="454" xr:uid="{00000000-0005-0000-0000-0000C5010000}"/>
    <cellStyle name="20% - Colore 1 13 4" xfId="455" xr:uid="{00000000-0005-0000-0000-0000C6010000}"/>
    <cellStyle name="20% - Colore 1 13 4 2" xfId="456" xr:uid="{00000000-0005-0000-0000-0000C7010000}"/>
    <cellStyle name="20% - Colore 1 13 5" xfId="457" xr:uid="{00000000-0005-0000-0000-0000C8010000}"/>
    <cellStyle name="20% - Colore 1 14" xfId="458" xr:uid="{00000000-0005-0000-0000-0000C9010000}"/>
    <cellStyle name="20% - Colore 1 14 2" xfId="459" xr:uid="{00000000-0005-0000-0000-0000CA010000}"/>
    <cellStyle name="20% - Colore 1 14 3" xfId="460" xr:uid="{00000000-0005-0000-0000-0000CB010000}"/>
    <cellStyle name="20% - Colore 1 14 4" xfId="461" xr:uid="{00000000-0005-0000-0000-0000CC010000}"/>
    <cellStyle name="20% - Colore 1 14 4 2" xfId="462" xr:uid="{00000000-0005-0000-0000-0000CD010000}"/>
    <cellStyle name="20% - Colore 1 14 5" xfId="463" xr:uid="{00000000-0005-0000-0000-0000CE010000}"/>
    <cellStyle name="20% - Colore 1 15" xfId="464" xr:uid="{00000000-0005-0000-0000-0000CF010000}"/>
    <cellStyle name="20% - Colore 1 15 2" xfId="465" xr:uid="{00000000-0005-0000-0000-0000D0010000}"/>
    <cellStyle name="20% - Colore 1 15 2 2" xfId="466" xr:uid="{00000000-0005-0000-0000-0000D1010000}"/>
    <cellStyle name="20% - Colore 1 15 3" xfId="467" xr:uid="{00000000-0005-0000-0000-0000D2010000}"/>
    <cellStyle name="20% - Colore 1 15 4" xfId="468" xr:uid="{00000000-0005-0000-0000-0000D3010000}"/>
    <cellStyle name="20% - Colore 1 15 4 2" xfId="469" xr:uid="{00000000-0005-0000-0000-0000D4010000}"/>
    <cellStyle name="20% - Colore 1 15 5" xfId="470" xr:uid="{00000000-0005-0000-0000-0000D5010000}"/>
    <cellStyle name="20% - Colore 1 16" xfId="471" xr:uid="{00000000-0005-0000-0000-0000D6010000}"/>
    <cellStyle name="20% - Colore 1 16 2" xfId="472" xr:uid="{00000000-0005-0000-0000-0000D7010000}"/>
    <cellStyle name="20% - Colore 1 17" xfId="473" xr:uid="{00000000-0005-0000-0000-0000D8010000}"/>
    <cellStyle name="20% - Colore 1 18" xfId="474" xr:uid="{00000000-0005-0000-0000-0000D9010000}"/>
    <cellStyle name="20% - Colore 1 19" xfId="475" xr:uid="{00000000-0005-0000-0000-0000DA010000}"/>
    <cellStyle name="20% - Colore 1 2" xfId="476" xr:uid="{00000000-0005-0000-0000-0000DB010000}"/>
    <cellStyle name="20% - Colore 1 2 2" xfId="477" xr:uid="{00000000-0005-0000-0000-0000DC010000}"/>
    <cellStyle name="20% - Colore 1 2 3" xfId="478" xr:uid="{00000000-0005-0000-0000-0000DD010000}"/>
    <cellStyle name="20% - Colore 1 2 4" xfId="479" xr:uid="{00000000-0005-0000-0000-0000DE010000}"/>
    <cellStyle name="20% - Colore 1 2 4 2" xfId="480" xr:uid="{00000000-0005-0000-0000-0000DF010000}"/>
    <cellStyle name="20% - Colore 1 2 5" xfId="481" xr:uid="{00000000-0005-0000-0000-0000E0010000}"/>
    <cellStyle name="20% - Colore 1 20" xfId="482" xr:uid="{00000000-0005-0000-0000-0000E1010000}"/>
    <cellStyle name="20% - Colore 1 20 2" xfId="483" xr:uid="{00000000-0005-0000-0000-0000E2010000}"/>
    <cellStyle name="20% - Colore 1 21" xfId="484" xr:uid="{00000000-0005-0000-0000-0000E3010000}"/>
    <cellStyle name="20% - Colore 1 3" xfId="485" xr:uid="{00000000-0005-0000-0000-0000E4010000}"/>
    <cellStyle name="20% - Colore 1 3 2" xfId="486" xr:uid="{00000000-0005-0000-0000-0000E5010000}"/>
    <cellStyle name="20% - Colore 1 3 3" xfId="487" xr:uid="{00000000-0005-0000-0000-0000E6010000}"/>
    <cellStyle name="20% - Colore 1 3 4" xfId="488" xr:uid="{00000000-0005-0000-0000-0000E7010000}"/>
    <cellStyle name="20% - Colore 1 3 4 2" xfId="489" xr:uid="{00000000-0005-0000-0000-0000E8010000}"/>
    <cellStyle name="20% - Colore 1 3 5" xfId="490" xr:uid="{00000000-0005-0000-0000-0000E9010000}"/>
    <cellStyle name="20% - Colore 1 4" xfId="491" xr:uid="{00000000-0005-0000-0000-0000EA010000}"/>
    <cellStyle name="20% - Colore 1 4 2" xfId="492" xr:uid="{00000000-0005-0000-0000-0000EB010000}"/>
    <cellStyle name="20% - Colore 1 4 3" xfId="493" xr:uid="{00000000-0005-0000-0000-0000EC010000}"/>
    <cellStyle name="20% - Colore 1 4 4" xfId="494" xr:uid="{00000000-0005-0000-0000-0000ED010000}"/>
    <cellStyle name="20% - Colore 1 4 4 2" xfId="495" xr:uid="{00000000-0005-0000-0000-0000EE010000}"/>
    <cellStyle name="20% - Colore 1 4 5" xfId="496" xr:uid="{00000000-0005-0000-0000-0000EF010000}"/>
    <cellStyle name="20% - Colore 1 5" xfId="497" xr:uid="{00000000-0005-0000-0000-0000F0010000}"/>
    <cellStyle name="20% - Colore 1 5 2" xfId="498" xr:uid="{00000000-0005-0000-0000-0000F1010000}"/>
    <cellStyle name="20% - Colore 1 5 3" xfId="499" xr:uid="{00000000-0005-0000-0000-0000F2010000}"/>
    <cellStyle name="20% - Colore 1 5 4" xfId="500" xr:uid="{00000000-0005-0000-0000-0000F3010000}"/>
    <cellStyle name="20% - Colore 1 5 4 2" xfId="501" xr:uid="{00000000-0005-0000-0000-0000F4010000}"/>
    <cellStyle name="20% - Colore 1 5 5" xfId="502" xr:uid="{00000000-0005-0000-0000-0000F5010000}"/>
    <cellStyle name="20% - Colore 1 6" xfId="503" xr:uid="{00000000-0005-0000-0000-0000F6010000}"/>
    <cellStyle name="20% - Colore 1 6 2" xfId="504" xr:uid="{00000000-0005-0000-0000-0000F7010000}"/>
    <cellStyle name="20% - Colore 1 6 3" xfId="505" xr:uid="{00000000-0005-0000-0000-0000F8010000}"/>
    <cellStyle name="20% - Colore 1 6 4" xfId="506" xr:uid="{00000000-0005-0000-0000-0000F9010000}"/>
    <cellStyle name="20% - Colore 1 6 4 2" xfId="507" xr:uid="{00000000-0005-0000-0000-0000FA010000}"/>
    <cellStyle name="20% - Colore 1 6 5" xfId="508" xr:uid="{00000000-0005-0000-0000-0000FB010000}"/>
    <cellStyle name="20% - Colore 1 7" xfId="509" xr:uid="{00000000-0005-0000-0000-0000FC010000}"/>
    <cellStyle name="20% - Colore 1 7 2" xfId="510" xr:uid="{00000000-0005-0000-0000-0000FD010000}"/>
    <cellStyle name="20% - Colore 1 7 3" xfId="511" xr:uid="{00000000-0005-0000-0000-0000FE010000}"/>
    <cellStyle name="20% - Colore 1 7 4" xfId="512" xr:uid="{00000000-0005-0000-0000-0000FF010000}"/>
    <cellStyle name="20% - Colore 1 7 4 2" xfId="513" xr:uid="{00000000-0005-0000-0000-000000020000}"/>
    <cellStyle name="20% - Colore 1 7 5" xfId="514" xr:uid="{00000000-0005-0000-0000-000001020000}"/>
    <cellStyle name="20% - Colore 1 8" xfId="515" xr:uid="{00000000-0005-0000-0000-000002020000}"/>
    <cellStyle name="20% - Colore 1 8 2" xfId="516" xr:uid="{00000000-0005-0000-0000-000003020000}"/>
    <cellStyle name="20% - Colore 1 8 3" xfId="517" xr:uid="{00000000-0005-0000-0000-000004020000}"/>
    <cellStyle name="20% - Colore 1 8 4" xfId="518" xr:uid="{00000000-0005-0000-0000-000005020000}"/>
    <cellStyle name="20% - Colore 1 8 4 2" xfId="519" xr:uid="{00000000-0005-0000-0000-000006020000}"/>
    <cellStyle name="20% - Colore 1 8 5" xfId="520" xr:uid="{00000000-0005-0000-0000-000007020000}"/>
    <cellStyle name="20% - Colore 1 9" xfId="521" xr:uid="{00000000-0005-0000-0000-000008020000}"/>
    <cellStyle name="20% - Colore 1 9 2" xfId="522" xr:uid="{00000000-0005-0000-0000-000009020000}"/>
    <cellStyle name="20% - Colore 1 9 3" xfId="523" xr:uid="{00000000-0005-0000-0000-00000A020000}"/>
    <cellStyle name="20% - Colore 1 9 4" xfId="524" xr:uid="{00000000-0005-0000-0000-00000B020000}"/>
    <cellStyle name="20% - Colore 1 9 4 2" xfId="525" xr:uid="{00000000-0005-0000-0000-00000C020000}"/>
    <cellStyle name="20% - Colore 1 9 5" xfId="526" xr:uid="{00000000-0005-0000-0000-00000D020000}"/>
    <cellStyle name="20% - Colore 2" xfId="527" xr:uid="{00000000-0005-0000-0000-00000E020000}"/>
    <cellStyle name="20% - Colore 2 10" xfId="528" xr:uid="{00000000-0005-0000-0000-00000F020000}"/>
    <cellStyle name="20% - Colore 2 10 2" xfId="529" xr:uid="{00000000-0005-0000-0000-000010020000}"/>
    <cellStyle name="20% - Colore 2 10 3" xfId="530" xr:uid="{00000000-0005-0000-0000-000011020000}"/>
    <cellStyle name="20% - Colore 2 10 4" xfId="531" xr:uid="{00000000-0005-0000-0000-000012020000}"/>
    <cellStyle name="20% - Colore 2 10 4 2" xfId="532" xr:uid="{00000000-0005-0000-0000-000013020000}"/>
    <cellStyle name="20% - Colore 2 10 5" xfId="533" xr:uid="{00000000-0005-0000-0000-000014020000}"/>
    <cellStyle name="20% - Colore 2 11" xfId="534" xr:uid="{00000000-0005-0000-0000-000015020000}"/>
    <cellStyle name="20% - Colore 2 11 2" xfId="535" xr:uid="{00000000-0005-0000-0000-000016020000}"/>
    <cellStyle name="20% - Colore 2 11 3" xfId="536" xr:uid="{00000000-0005-0000-0000-000017020000}"/>
    <cellStyle name="20% - Colore 2 11 4" xfId="537" xr:uid="{00000000-0005-0000-0000-000018020000}"/>
    <cellStyle name="20% - Colore 2 11 4 2" xfId="538" xr:uid="{00000000-0005-0000-0000-000019020000}"/>
    <cellStyle name="20% - Colore 2 11 5" xfId="539" xr:uid="{00000000-0005-0000-0000-00001A020000}"/>
    <cellStyle name="20% - Colore 2 12" xfId="540" xr:uid="{00000000-0005-0000-0000-00001B020000}"/>
    <cellStyle name="20% - Colore 2 12 2" xfId="541" xr:uid="{00000000-0005-0000-0000-00001C020000}"/>
    <cellStyle name="20% - Colore 2 12 3" xfId="542" xr:uid="{00000000-0005-0000-0000-00001D020000}"/>
    <cellStyle name="20% - Colore 2 12 4" xfId="543" xr:uid="{00000000-0005-0000-0000-00001E020000}"/>
    <cellStyle name="20% - Colore 2 12 4 2" xfId="544" xr:uid="{00000000-0005-0000-0000-00001F020000}"/>
    <cellStyle name="20% - Colore 2 12 5" xfId="545" xr:uid="{00000000-0005-0000-0000-000020020000}"/>
    <cellStyle name="20% - Colore 2 13" xfId="546" xr:uid="{00000000-0005-0000-0000-000021020000}"/>
    <cellStyle name="20% - Colore 2 13 2" xfId="547" xr:uid="{00000000-0005-0000-0000-000022020000}"/>
    <cellStyle name="20% - Colore 2 13 3" xfId="548" xr:uid="{00000000-0005-0000-0000-000023020000}"/>
    <cellStyle name="20% - Colore 2 13 4" xfId="549" xr:uid="{00000000-0005-0000-0000-000024020000}"/>
    <cellStyle name="20% - Colore 2 13 4 2" xfId="550" xr:uid="{00000000-0005-0000-0000-000025020000}"/>
    <cellStyle name="20% - Colore 2 13 5" xfId="551" xr:uid="{00000000-0005-0000-0000-000026020000}"/>
    <cellStyle name="20% - Colore 2 14" xfId="552" xr:uid="{00000000-0005-0000-0000-000027020000}"/>
    <cellStyle name="20% - Colore 2 14 2" xfId="553" xr:uid="{00000000-0005-0000-0000-000028020000}"/>
    <cellStyle name="20% - Colore 2 14 3" xfId="554" xr:uid="{00000000-0005-0000-0000-000029020000}"/>
    <cellStyle name="20% - Colore 2 14 4" xfId="555" xr:uid="{00000000-0005-0000-0000-00002A020000}"/>
    <cellStyle name="20% - Colore 2 14 4 2" xfId="556" xr:uid="{00000000-0005-0000-0000-00002B020000}"/>
    <cellStyle name="20% - Colore 2 14 5" xfId="557" xr:uid="{00000000-0005-0000-0000-00002C020000}"/>
    <cellStyle name="20% - Colore 2 15" xfId="558" xr:uid="{00000000-0005-0000-0000-00002D020000}"/>
    <cellStyle name="20% - Colore 2 15 2" xfId="559" xr:uid="{00000000-0005-0000-0000-00002E020000}"/>
    <cellStyle name="20% - Colore 2 15 2 2" xfId="560" xr:uid="{00000000-0005-0000-0000-00002F020000}"/>
    <cellStyle name="20% - Colore 2 15 3" xfId="561" xr:uid="{00000000-0005-0000-0000-000030020000}"/>
    <cellStyle name="20% - Colore 2 15 4" xfId="562" xr:uid="{00000000-0005-0000-0000-000031020000}"/>
    <cellStyle name="20% - Colore 2 15 4 2" xfId="563" xr:uid="{00000000-0005-0000-0000-000032020000}"/>
    <cellStyle name="20% - Colore 2 15 5" xfId="564" xr:uid="{00000000-0005-0000-0000-000033020000}"/>
    <cellStyle name="20% - Colore 2 16" xfId="565" xr:uid="{00000000-0005-0000-0000-000034020000}"/>
    <cellStyle name="20% - Colore 2 16 2" xfId="566" xr:uid="{00000000-0005-0000-0000-000035020000}"/>
    <cellStyle name="20% - Colore 2 17" xfId="567" xr:uid="{00000000-0005-0000-0000-000036020000}"/>
    <cellStyle name="20% - Colore 2 18" xfId="568" xr:uid="{00000000-0005-0000-0000-000037020000}"/>
    <cellStyle name="20% - Colore 2 19" xfId="569" xr:uid="{00000000-0005-0000-0000-000038020000}"/>
    <cellStyle name="20% - Colore 2 2" xfId="570" xr:uid="{00000000-0005-0000-0000-000039020000}"/>
    <cellStyle name="20% - Colore 2 2 2" xfId="571" xr:uid="{00000000-0005-0000-0000-00003A020000}"/>
    <cellStyle name="20% - Colore 2 2 3" xfId="572" xr:uid="{00000000-0005-0000-0000-00003B020000}"/>
    <cellStyle name="20% - Colore 2 2 4" xfId="573" xr:uid="{00000000-0005-0000-0000-00003C020000}"/>
    <cellStyle name="20% - Colore 2 2 4 2" xfId="574" xr:uid="{00000000-0005-0000-0000-00003D020000}"/>
    <cellStyle name="20% - Colore 2 2 5" xfId="575" xr:uid="{00000000-0005-0000-0000-00003E020000}"/>
    <cellStyle name="20% - Colore 2 20" xfId="576" xr:uid="{00000000-0005-0000-0000-00003F020000}"/>
    <cellStyle name="20% - Colore 2 20 2" xfId="577" xr:uid="{00000000-0005-0000-0000-000040020000}"/>
    <cellStyle name="20% - Colore 2 21" xfId="578" xr:uid="{00000000-0005-0000-0000-000041020000}"/>
    <cellStyle name="20% - Colore 2 3" xfId="579" xr:uid="{00000000-0005-0000-0000-000042020000}"/>
    <cellStyle name="20% - Colore 2 3 2" xfId="580" xr:uid="{00000000-0005-0000-0000-000043020000}"/>
    <cellStyle name="20% - Colore 2 3 3" xfId="581" xr:uid="{00000000-0005-0000-0000-000044020000}"/>
    <cellStyle name="20% - Colore 2 3 4" xfId="582" xr:uid="{00000000-0005-0000-0000-000045020000}"/>
    <cellStyle name="20% - Colore 2 3 4 2" xfId="583" xr:uid="{00000000-0005-0000-0000-000046020000}"/>
    <cellStyle name="20% - Colore 2 3 5" xfId="584" xr:uid="{00000000-0005-0000-0000-000047020000}"/>
    <cellStyle name="20% - Colore 2 4" xfId="585" xr:uid="{00000000-0005-0000-0000-000048020000}"/>
    <cellStyle name="20% - Colore 2 4 2" xfId="586" xr:uid="{00000000-0005-0000-0000-000049020000}"/>
    <cellStyle name="20% - Colore 2 4 3" xfId="587" xr:uid="{00000000-0005-0000-0000-00004A020000}"/>
    <cellStyle name="20% - Colore 2 4 4" xfId="588" xr:uid="{00000000-0005-0000-0000-00004B020000}"/>
    <cellStyle name="20% - Colore 2 4 4 2" xfId="589" xr:uid="{00000000-0005-0000-0000-00004C020000}"/>
    <cellStyle name="20% - Colore 2 4 5" xfId="590" xr:uid="{00000000-0005-0000-0000-00004D020000}"/>
    <cellStyle name="20% - Colore 2 5" xfId="591" xr:uid="{00000000-0005-0000-0000-00004E020000}"/>
    <cellStyle name="20% - Colore 2 5 2" xfId="592" xr:uid="{00000000-0005-0000-0000-00004F020000}"/>
    <cellStyle name="20% - Colore 2 5 3" xfId="593" xr:uid="{00000000-0005-0000-0000-000050020000}"/>
    <cellStyle name="20% - Colore 2 5 4" xfId="594" xr:uid="{00000000-0005-0000-0000-000051020000}"/>
    <cellStyle name="20% - Colore 2 5 4 2" xfId="595" xr:uid="{00000000-0005-0000-0000-000052020000}"/>
    <cellStyle name="20% - Colore 2 5 5" xfId="596" xr:uid="{00000000-0005-0000-0000-000053020000}"/>
    <cellStyle name="20% - Colore 2 6" xfId="597" xr:uid="{00000000-0005-0000-0000-000054020000}"/>
    <cellStyle name="20% - Colore 2 6 2" xfId="598" xr:uid="{00000000-0005-0000-0000-000055020000}"/>
    <cellStyle name="20% - Colore 2 6 3" xfId="599" xr:uid="{00000000-0005-0000-0000-000056020000}"/>
    <cellStyle name="20% - Colore 2 6 4" xfId="600" xr:uid="{00000000-0005-0000-0000-000057020000}"/>
    <cellStyle name="20% - Colore 2 6 4 2" xfId="601" xr:uid="{00000000-0005-0000-0000-000058020000}"/>
    <cellStyle name="20% - Colore 2 6 5" xfId="602" xr:uid="{00000000-0005-0000-0000-000059020000}"/>
    <cellStyle name="20% - Colore 2 7" xfId="603" xr:uid="{00000000-0005-0000-0000-00005A020000}"/>
    <cellStyle name="20% - Colore 2 7 2" xfId="604" xr:uid="{00000000-0005-0000-0000-00005B020000}"/>
    <cellStyle name="20% - Colore 2 7 3" xfId="605" xr:uid="{00000000-0005-0000-0000-00005C020000}"/>
    <cellStyle name="20% - Colore 2 7 4" xfId="606" xr:uid="{00000000-0005-0000-0000-00005D020000}"/>
    <cellStyle name="20% - Colore 2 7 4 2" xfId="607" xr:uid="{00000000-0005-0000-0000-00005E020000}"/>
    <cellStyle name="20% - Colore 2 7 5" xfId="608" xr:uid="{00000000-0005-0000-0000-00005F020000}"/>
    <cellStyle name="20% - Colore 2 8" xfId="609" xr:uid="{00000000-0005-0000-0000-000060020000}"/>
    <cellStyle name="20% - Colore 2 8 2" xfId="610" xr:uid="{00000000-0005-0000-0000-000061020000}"/>
    <cellStyle name="20% - Colore 2 8 3" xfId="611" xr:uid="{00000000-0005-0000-0000-000062020000}"/>
    <cellStyle name="20% - Colore 2 8 4" xfId="612" xr:uid="{00000000-0005-0000-0000-000063020000}"/>
    <cellStyle name="20% - Colore 2 8 4 2" xfId="613" xr:uid="{00000000-0005-0000-0000-000064020000}"/>
    <cellStyle name="20% - Colore 2 8 5" xfId="614" xr:uid="{00000000-0005-0000-0000-000065020000}"/>
    <cellStyle name="20% - Colore 2 9" xfId="615" xr:uid="{00000000-0005-0000-0000-000066020000}"/>
    <cellStyle name="20% - Colore 2 9 2" xfId="616" xr:uid="{00000000-0005-0000-0000-000067020000}"/>
    <cellStyle name="20% - Colore 2 9 3" xfId="617" xr:uid="{00000000-0005-0000-0000-000068020000}"/>
    <cellStyle name="20% - Colore 2 9 4" xfId="618" xr:uid="{00000000-0005-0000-0000-000069020000}"/>
    <cellStyle name="20% - Colore 2 9 4 2" xfId="619" xr:uid="{00000000-0005-0000-0000-00006A020000}"/>
    <cellStyle name="20% - Colore 2 9 5" xfId="620" xr:uid="{00000000-0005-0000-0000-00006B020000}"/>
    <cellStyle name="20% - Colore 3" xfId="621" xr:uid="{00000000-0005-0000-0000-00006C020000}"/>
    <cellStyle name="20% - Colore 3 10" xfId="622" xr:uid="{00000000-0005-0000-0000-00006D020000}"/>
    <cellStyle name="20% - Colore 3 10 2" xfId="623" xr:uid="{00000000-0005-0000-0000-00006E020000}"/>
    <cellStyle name="20% - Colore 3 10 3" xfId="624" xr:uid="{00000000-0005-0000-0000-00006F020000}"/>
    <cellStyle name="20% - Colore 3 10 4" xfId="625" xr:uid="{00000000-0005-0000-0000-000070020000}"/>
    <cellStyle name="20% - Colore 3 10 4 2" xfId="626" xr:uid="{00000000-0005-0000-0000-000071020000}"/>
    <cellStyle name="20% - Colore 3 10 5" xfId="627" xr:uid="{00000000-0005-0000-0000-000072020000}"/>
    <cellStyle name="20% - Colore 3 11" xfId="628" xr:uid="{00000000-0005-0000-0000-000073020000}"/>
    <cellStyle name="20% - Colore 3 11 2" xfId="629" xr:uid="{00000000-0005-0000-0000-000074020000}"/>
    <cellStyle name="20% - Colore 3 11 3" xfId="630" xr:uid="{00000000-0005-0000-0000-000075020000}"/>
    <cellStyle name="20% - Colore 3 11 4" xfId="631" xr:uid="{00000000-0005-0000-0000-000076020000}"/>
    <cellStyle name="20% - Colore 3 11 4 2" xfId="632" xr:uid="{00000000-0005-0000-0000-000077020000}"/>
    <cellStyle name="20% - Colore 3 11 5" xfId="633" xr:uid="{00000000-0005-0000-0000-000078020000}"/>
    <cellStyle name="20% - Colore 3 12" xfId="634" xr:uid="{00000000-0005-0000-0000-000079020000}"/>
    <cellStyle name="20% - Colore 3 12 2" xfId="635" xr:uid="{00000000-0005-0000-0000-00007A020000}"/>
    <cellStyle name="20% - Colore 3 12 3" xfId="636" xr:uid="{00000000-0005-0000-0000-00007B020000}"/>
    <cellStyle name="20% - Colore 3 12 4" xfId="637" xr:uid="{00000000-0005-0000-0000-00007C020000}"/>
    <cellStyle name="20% - Colore 3 12 4 2" xfId="638" xr:uid="{00000000-0005-0000-0000-00007D020000}"/>
    <cellStyle name="20% - Colore 3 12 5" xfId="639" xr:uid="{00000000-0005-0000-0000-00007E020000}"/>
    <cellStyle name="20% - Colore 3 13" xfId="640" xr:uid="{00000000-0005-0000-0000-00007F020000}"/>
    <cellStyle name="20% - Colore 3 13 2" xfId="641" xr:uid="{00000000-0005-0000-0000-000080020000}"/>
    <cellStyle name="20% - Colore 3 13 3" xfId="642" xr:uid="{00000000-0005-0000-0000-000081020000}"/>
    <cellStyle name="20% - Colore 3 13 4" xfId="643" xr:uid="{00000000-0005-0000-0000-000082020000}"/>
    <cellStyle name="20% - Colore 3 13 4 2" xfId="644" xr:uid="{00000000-0005-0000-0000-000083020000}"/>
    <cellStyle name="20% - Colore 3 13 5" xfId="645" xr:uid="{00000000-0005-0000-0000-000084020000}"/>
    <cellStyle name="20% - Colore 3 14" xfId="646" xr:uid="{00000000-0005-0000-0000-000085020000}"/>
    <cellStyle name="20% - Colore 3 14 2" xfId="647" xr:uid="{00000000-0005-0000-0000-000086020000}"/>
    <cellStyle name="20% - Colore 3 14 3" xfId="648" xr:uid="{00000000-0005-0000-0000-000087020000}"/>
    <cellStyle name="20% - Colore 3 14 4" xfId="649" xr:uid="{00000000-0005-0000-0000-000088020000}"/>
    <cellStyle name="20% - Colore 3 14 4 2" xfId="650" xr:uid="{00000000-0005-0000-0000-000089020000}"/>
    <cellStyle name="20% - Colore 3 14 5" xfId="651" xr:uid="{00000000-0005-0000-0000-00008A020000}"/>
    <cellStyle name="20% - Colore 3 15" xfId="652" xr:uid="{00000000-0005-0000-0000-00008B020000}"/>
    <cellStyle name="20% - Colore 3 15 2" xfId="653" xr:uid="{00000000-0005-0000-0000-00008C020000}"/>
    <cellStyle name="20% - Colore 3 15 2 2" xfId="654" xr:uid="{00000000-0005-0000-0000-00008D020000}"/>
    <cellStyle name="20% - Colore 3 15 3" xfId="655" xr:uid="{00000000-0005-0000-0000-00008E020000}"/>
    <cellStyle name="20% - Colore 3 15 4" xfId="656" xr:uid="{00000000-0005-0000-0000-00008F020000}"/>
    <cellStyle name="20% - Colore 3 15 4 2" xfId="657" xr:uid="{00000000-0005-0000-0000-000090020000}"/>
    <cellStyle name="20% - Colore 3 15 5" xfId="658" xr:uid="{00000000-0005-0000-0000-000091020000}"/>
    <cellStyle name="20% - Colore 3 16" xfId="659" xr:uid="{00000000-0005-0000-0000-000092020000}"/>
    <cellStyle name="20% - Colore 3 16 2" xfId="660" xr:uid="{00000000-0005-0000-0000-000093020000}"/>
    <cellStyle name="20% - Colore 3 17" xfId="661" xr:uid="{00000000-0005-0000-0000-000094020000}"/>
    <cellStyle name="20% - Colore 3 18" xfId="662" xr:uid="{00000000-0005-0000-0000-000095020000}"/>
    <cellStyle name="20% - Colore 3 19" xfId="663" xr:uid="{00000000-0005-0000-0000-000096020000}"/>
    <cellStyle name="20% - Colore 3 2" xfId="664" xr:uid="{00000000-0005-0000-0000-000097020000}"/>
    <cellStyle name="20% - Colore 3 2 2" xfId="665" xr:uid="{00000000-0005-0000-0000-000098020000}"/>
    <cellStyle name="20% - Colore 3 2 3" xfId="666" xr:uid="{00000000-0005-0000-0000-000099020000}"/>
    <cellStyle name="20% - Colore 3 2 4" xfId="667" xr:uid="{00000000-0005-0000-0000-00009A020000}"/>
    <cellStyle name="20% - Colore 3 2 4 2" xfId="668" xr:uid="{00000000-0005-0000-0000-00009B020000}"/>
    <cellStyle name="20% - Colore 3 2 5" xfId="669" xr:uid="{00000000-0005-0000-0000-00009C020000}"/>
    <cellStyle name="20% - Colore 3 20" xfId="670" xr:uid="{00000000-0005-0000-0000-00009D020000}"/>
    <cellStyle name="20% - Colore 3 20 2" xfId="671" xr:uid="{00000000-0005-0000-0000-00009E020000}"/>
    <cellStyle name="20% - Colore 3 21" xfId="672" xr:uid="{00000000-0005-0000-0000-00009F020000}"/>
    <cellStyle name="20% - Colore 3 3" xfId="673" xr:uid="{00000000-0005-0000-0000-0000A0020000}"/>
    <cellStyle name="20% - Colore 3 3 2" xfId="674" xr:uid="{00000000-0005-0000-0000-0000A1020000}"/>
    <cellStyle name="20% - Colore 3 3 3" xfId="675" xr:uid="{00000000-0005-0000-0000-0000A2020000}"/>
    <cellStyle name="20% - Colore 3 3 4" xfId="676" xr:uid="{00000000-0005-0000-0000-0000A3020000}"/>
    <cellStyle name="20% - Colore 3 3 4 2" xfId="677" xr:uid="{00000000-0005-0000-0000-0000A4020000}"/>
    <cellStyle name="20% - Colore 3 3 5" xfId="678" xr:uid="{00000000-0005-0000-0000-0000A5020000}"/>
    <cellStyle name="20% - Colore 3 4" xfId="679" xr:uid="{00000000-0005-0000-0000-0000A6020000}"/>
    <cellStyle name="20% - Colore 3 4 2" xfId="680" xr:uid="{00000000-0005-0000-0000-0000A7020000}"/>
    <cellStyle name="20% - Colore 3 4 3" xfId="681" xr:uid="{00000000-0005-0000-0000-0000A8020000}"/>
    <cellStyle name="20% - Colore 3 4 4" xfId="682" xr:uid="{00000000-0005-0000-0000-0000A9020000}"/>
    <cellStyle name="20% - Colore 3 4 4 2" xfId="683" xr:uid="{00000000-0005-0000-0000-0000AA020000}"/>
    <cellStyle name="20% - Colore 3 4 5" xfId="684" xr:uid="{00000000-0005-0000-0000-0000AB020000}"/>
    <cellStyle name="20% - Colore 3 5" xfId="685" xr:uid="{00000000-0005-0000-0000-0000AC020000}"/>
    <cellStyle name="20% - Colore 3 5 2" xfId="686" xr:uid="{00000000-0005-0000-0000-0000AD020000}"/>
    <cellStyle name="20% - Colore 3 5 3" xfId="687" xr:uid="{00000000-0005-0000-0000-0000AE020000}"/>
    <cellStyle name="20% - Colore 3 5 4" xfId="688" xr:uid="{00000000-0005-0000-0000-0000AF020000}"/>
    <cellStyle name="20% - Colore 3 5 4 2" xfId="689" xr:uid="{00000000-0005-0000-0000-0000B0020000}"/>
    <cellStyle name="20% - Colore 3 5 5" xfId="690" xr:uid="{00000000-0005-0000-0000-0000B1020000}"/>
    <cellStyle name="20% - Colore 3 6" xfId="691" xr:uid="{00000000-0005-0000-0000-0000B2020000}"/>
    <cellStyle name="20% - Colore 3 6 2" xfId="692" xr:uid="{00000000-0005-0000-0000-0000B3020000}"/>
    <cellStyle name="20% - Colore 3 6 3" xfId="693" xr:uid="{00000000-0005-0000-0000-0000B4020000}"/>
    <cellStyle name="20% - Colore 3 6 4" xfId="694" xr:uid="{00000000-0005-0000-0000-0000B5020000}"/>
    <cellStyle name="20% - Colore 3 6 4 2" xfId="695" xr:uid="{00000000-0005-0000-0000-0000B6020000}"/>
    <cellStyle name="20% - Colore 3 6 5" xfId="696" xr:uid="{00000000-0005-0000-0000-0000B7020000}"/>
    <cellStyle name="20% - Colore 3 7" xfId="697" xr:uid="{00000000-0005-0000-0000-0000B8020000}"/>
    <cellStyle name="20% - Colore 3 7 2" xfId="698" xr:uid="{00000000-0005-0000-0000-0000B9020000}"/>
    <cellStyle name="20% - Colore 3 7 3" xfId="699" xr:uid="{00000000-0005-0000-0000-0000BA020000}"/>
    <cellStyle name="20% - Colore 3 7 4" xfId="700" xr:uid="{00000000-0005-0000-0000-0000BB020000}"/>
    <cellStyle name="20% - Colore 3 7 4 2" xfId="701" xr:uid="{00000000-0005-0000-0000-0000BC020000}"/>
    <cellStyle name="20% - Colore 3 7 5" xfId="702" xr:uid="{00000000-0005-0000-0000-0000BD020000}"/>
    <cellStyle name="20% - Colore 3 8" xfId="703" xr:uid="{00000000-0005-0000-0000-0000BE020000}"/>
    <cellStyle name="20% - Colore 3 8 2" xfId="704" xr:uid="{00000000-0005-0000-0000-0000BF020000}"/>
    <cellStyle name="20% - Colore 3 8 3" xfId="705" xr:uid="{00000000-0005-0000-0000-0000C0020000}"/>
    <cellStyle name="20% - Colore 3 8 4" xfId="706" xr:uid="{00000000-0005-0000-0000-0000C1020000}"/>
    <cellStyle name="20% - Colore 3 8 4 2" xfId="707" xr:uid="{00000000-0005-0000-0000-0000C2020000}"/>
    <cellStyle name="20% - Colore 3 8 5" xfId="708" xr:uid="{00000000-0005-0000-0000-0000C3020000}"/>
    <cellStyle name="20% - Colore 3 9" xfId="709" xr:uid="{00000000-0005-0000-0000-0000C4020000}"/>
    <cellStyle name="20% - Colore 3 9 2" xfId="710" xr:uid="{00000000-0005-0000-0000-0000C5020000}"/>
    <cellStyle name="20% - Colore 3 9 3" xfId="711" xr:uid="{00000000-0005-0000-0000-0000C6020000}"/>
    <cellStyle name="20% - Colore 3 9 4" xfId="712" xr:uid="{00000000-0005-0000-0000-0000C7020000}"/>
    <cellStyle name="20% - Colore 3 9 4 2" xfId="713" xr:uid="{00000000-0005-0000-0000-0000C8020000}"/>
    <cellStyle name="20% - Colore 3 9 5" xfId="714" xr:uid="{00000000-0005-0000-0000-0000C9020000}"/>
    <cellStyle name="20% - Colore 4" xfId="715" xr:uid="{00000000-0005-0000-0000-0000CA020000}"/>
    <cellStyle name="20% - Colore 4 10" xfId="716" xr:uid="{00000000-0005-0000-0000-0000CB020000}"/>
    <cellStyle name="20% - Colore 4 10 2" xfId="717" xr:uid="{00000000-0005-0000-0000-0000CC020000}"/>
    <cellStyle name="20% - Colore 4 10 3" xfId="718" xr:uid="{00000000-0005-0000-0000-0000CD020000}"/>
    <cellStyle name="20% - Colore 4 10 4" xfId="719" xr:uid="{00000000-0005-0000-0000-0000CE020000}"/>
    <cellStyle name="20% - Colore 4 10 4 2" xfId="720" xr:uid="{00000000-0005-0000-0000-0000CF020000}"/>
    <cellStyle name="20% - Colore 4 10 5" xfId="721" xr:uid="{00000000-0005-0000-0000-0000D0020000}"/>
    <cellStyle name="20% - Colore 4 11" xfId="722" xr:uid="{00000000-0005-0000-0000-0000D1020000}"/>
    <cellStyle name="20% - Colore 4 11 2" xfId="723" xr:uid="{00000000-0005-0000-0000-0000D2020000}"/>
    <cellStyle name="20% - Colore 4 11 3" xfId="724" xr:uid="{00000000-0005-0000-0000-0000D3020000}"/>
    <cellStyle name="20% - Colore 4 11 4" xfId="725" xr:uid="{00000000-0005-0000-0000-0000D4020000}"/>
    <cellStyle name="20% - Colore 4 11 4 2" xfId="726" xr:uid="{00000000-0005-0000-0000-0000D5020000}"/>
    <cellStyle name="20% - Colore 4 11 5" xfId="727" xr:uid="{00000000-0005-0000-0000-0000D6020000}"/>
    <cellStyle name="20% - Colore 4 12" xfId="728" xr:uid="{00000000-0005-0000-0000-0000D7020000}"/>
    <cellStyle name="20% - Colore 4 12 2" xfId="729" xr:uid="{00000000-0005-0000-0000-0000D8020000}"/>
    <cellStyle name="20% - Colore 4 12 3" xfId="730" xr:uid="{00000000-0005-0000-0000-0000D9020000}"/>
    <cellStyle name="20% - Colore 4 12 4" xfId="731" xr:uid="{00000000-0005-0000-0000-0000DA020000}"/>
    <cellStyle name="20% - Colore 4 12 4 2" xfId="732" xr:uid="{00000000-0005-0000-0000-0000DB020000}"/>
    <cellStyle name="20% - Colore 4 12 5" xfId="733" xr:uid="{00000000-0005-0000-0000-0000DC020000}"/>
    <cellStyle name="20% - Colore 4 13" xfId="734" xr:uid="{00000000-0005-0000-0000-0000DD020000}"/>
    <cellStyle name="20% - Colore 4 13 2" xfId="735" xr:uid="{00000000-0005-0000-0000-0000DE020000}"/>
    <cellStyle name="20% - Colore 4 13 3" xfId="736" xr:uid="{00000000-0005-0000-0000-0000DF020000}"/>
    <cellStyle name="20% - Colore 4 13 4" xfId="737" xr:uid="{00000000-0005-0000-0000-0000E0020000}"/>
    <cellStyle name="20% - Colore 4 13 4 2" xfId="738" xr:uid="{00000000-0005-0000-0000-0000E1020000}"/>
    <cellStyle name="20% - Colore 4 13 5" xfId="739" xr:uid="{00000000-0005-0000-0000-0000E2020000}"/>
    <cellStyle name="20% - Colore 4 14" xfId="740" xr:uid="{00000000-0005-0000-0000-0000E3020000}"/>
    <cellStyle name="20% - Colore 4 14 2" xfId="741" xr:uid="{00000000-0005-0000-0000-0000E4020000}"/>
    <cellStyle name="20% - Colore 4 14 3" xfId="742" xr:uid="{00000000-0005-0000-0000-0000E5020000}"/>
    <cellStyle name="20% - Colore 4 14 4" xfId="743" xr:uid="{00000000-0005-0000-0000-0000E6020000}"/>
    <cellStyle name="20% - Colore 4 14 4 2" xfId="744" xr:uid="{00000000-0005-0000-0000-0000E7020000}"/>
    <cellStyle name="20% - Colore 4 14 5" xfId="745" xr:uid="{00000000-0005-0000-0000-0000E8020000}"/>
    <cellStyle name="20% - Colore 4 15" xfId="746" xr:uid="{00000000-0005-0000-0000-0000E9020000}"/>
    <cellStyle name="20% - Colore 4 15 2" xfId="747" xr:uid="{00000000-0005-0000-0000-0000EA020000}"/>
    <cellStyle name="20% - Colore 4 15 2 2" xfId="748" xr:uid="{00000000-0005-0000-0000-0000EB020000}"/>
    <cellStyle name="20% - Colore 4 15 3" xfId="749" xr:uid="{00000000-0005-0000-0000-0000EC020000}"/>
    <cellStyle name="20% - Colore 4 15 4" xfId="750" xr:uid="{00000000-0005-0000-0000-0000ED020000}"/>
    <cellStyle name="20% - Colore 4 15 4 2" xfId="751" xr:uid="{00000000-0005-0000-0000-0000EE020000}"/>
    <cellStyle name="20% - Colore 4 15 5" xfId="752" xr:uid="{00000000-0005-0000-0000-0000EF020000}"/>
    <cellStyle name="20% - Colore 4 16" xfId="753" xr:uid="{00000000-0005-0000-0000-0000F0020000}"/>
    <cellStyle name="20% - Colore 4 16 2" xfId="754" xr:uid="{00000000-0005-0000-0000-0000F1020000}"/>
    <cellStyle name="20% - Colore 4 17" xfId="755" xr:uid="{00000000-0005-0000-0000-0000F2020000}"/>
    <cellStyle name="20% - Colore 4 18" xfId="756" xr:uid="{00000000-0005-0000-0000-0000F3020000}"/>
    <cellStyle name="20% - Colore 4 19" xfId="757" xr:uid="{00000000-0005-0000-0000-0000F4020000}"/>
    <cellStyle name="20% - Colore 4 2" xfId="758" xr:uid="{00000000-0005-0000-0000-0000F5020000}"/>
    <cellStyle name="20% - Colore 4 2 2" xfId="759" xr:uid="{00000000-0005-0000-0000-0000F6020000}"/>
    <cellStyle name="20% - Colore 4 2 3" xfId="760" xr:uid="{00000000-0005-0000-0000-0000F7020000}"/>
    <cellStyle name="20% - Colore 4 2 4" xfId="761" xr:uid="{00000000-0005-0000-0000-0000F8020000}"/>
    <cellStyle name="20% - Colore 4 2 4 2" xfId="762" xr:uid="{00000000-0005-0000-0000-0000F9020000}"/>
    <cellStyle name="20% - Colore 4 2 5" xfId="763" xr:uid="{00000000-0005-0000-0000-0000FA020000}"/>
    <cellStyle name="20% - Colore 4 20" xfId="764" xr:uid="{00000000-0005-0000-0000-0000FB020000}"/>
    <cellStyle name="20% - Colore 4 20 2" xfId="765" xr:uid="{00000000-0005-0000-0000-0000FC020000}"/>
    <cellStyle name="20% - Colore 4 21" xfId="766" xr:uid="{00000000-0005-0000-0000-0000FD020000}"/>
    <cellStyle name="20% - Colore 4 3" xfId="767" xr:uid="{00000000-0005-0000-0000-0000FE020000}"/>
    <cellStyle name="20% - Colore 4 3 2" xfId="768" xr:uid="{00000000-0005-0000-0000-0000FF020000}"/>
    <cellStyle name="20% - Colore 4 3 3" xfId="769" xr:uid="{00000000-0005-0000-0000-000000030000}"/>
    <cellStyle name="20% - Colore 4 3 4" xfId="770" xr:uid="{00000000-0005-0000-0000-000001030000}"/>
    <cellStyle name="20% - Colore 4 3 4 2" xfId="771" xr:uid="{00000000-0005-0000-0000-000002030000}"/>
    <cellStyle name="20% - Colore 4 3 5" xfId="772" xr:uid="{00000000-0005-0000-0000-000003030000}"/>
    <cellStyle name="20% - Colore 4 4" xfId="773" xr:uid="{00000000-0005-0000-0000-000004030000}"/>
    <cellStyle name="20% - Colore 4 4 2" xfId="774" xr:uid="{00000000-0005-0000-0000-000005030000}"/>
    <cellStyle name="20% - Colore 4 4 3" xfId="775" xr:uid="{00000000-0005-0000-0000-000006030000}"/>
    <cellStyle name="20% - Colore 4 4 4" xfId="776" xr:uid="{00000000-0005-0000-0000-000007030000}"/>
    <cellStyle name="20% - Colore 4 4 4 2" xfId="777" xr:uid="{00000000-0005-0000-0000-000008030000}"/>
    <cellStyle name="20% - Colore 4 4 5" xfId="778" xr:uid="{00000000-0005-0000-0000-000009030000}"/>
    <cellStyle name="20% - Colore 4 5" xfId="779" xr:uid="{00000000-0005-0000-0000-00000A030000}"/>
    <cellStyle name="20% - Colore 4 5 2" xfId="780" xr:uid="{00000000-0005-0000-0000-00000B030000}"/>
    <cellStyle name="20% - Colore 4 5 3" xfId="781" xr:uid="{00000000-0005-0000-0000-00000C030000}"/>
    <cellStyle name="20% - Colore 4 5 4" xfId="782" xr:uid="{00000000-0005-0000-0000-00000D030000}"/>
    <cellStyle name="20% - Colore 4 5 4 2" xfId="783" xr:uid="{00000000-0005-0000-0000-00000E030000}"/>
    <cellStyle name="20% - Colore 4 5 5" xfId="784" xr:uid="{00000000-0005-0000-0000-00000F030000}"/>
    <cellStyle name="20% - Colore 4 6" xfId="785" xr:uid="{00000000-0005-0000-0000-000010030000}"/>
    <cellStyle name="20% - Colore 4 6 2" xfId="786" xr:uid="{00000000-0005-0000-0000-000011030000}"/>
    <cellStyle name="20% - Colore 4 6 3" xfId="787" xr:uid="{00000000-0005-0000-0000-000012030000}"/>
    <cellStyle name="20% - Colore 4 6 4" xfId="788" xr:uid="{00000000-0005-0000-0000-000013030000}"/>
    <cellStyle name="20% - Colore 4 6 4 2" xfId="789" xr:uid="{00000000-0005-0000-0000-000014030000}"/>
    <cellStyle name="20% - Colore 4 6 5" xfId="790" xr:uid="{00000000-0005-0000-0000-000015030000}"/>
    <cellStyle name="20% - Colore 4 7" xfId="791" xr:uid="{00000000-0005-0000-0000-000016030000}"/>
    <cellStyle name="20% - Colore 4 7 2" xfId="792" xr:uid="{00000000-0005-0000-0000-000017030000}"/>
    <cellStyle name="20% - Colore 4 7 3" xfId="793" xr:uid="{00000000-0005-0000-0000-000018030000}"/>
    <cellStyle name="20% - Colore 4 7 4" xfId="794" xr:uid="{00000000-0005-0000-0000-000019030000}"/>
    <cellStyle name="20% - Colore 4 7 4 2" xfId="795" xr:uid="{00000000-0005-0000-0000-00001A030000}"/>
    <cellStyle name="20% - Colore 4 7 5" xfId="796" xr:uid="{00000000-0005-0000-0000-00001B030000}"/>
    <cellStyle name="20% - Colore 4 8" xfId="797" xr:uid="{00000000-0005-0000-0000-00001C030000}"/>
    <cellStyle name="20% - Colore 4 8 2" xfId="798" xr:uid="{00000000-0005-0000-0000-00001D030000}"/>
    <cellStyle name="20% - Colore 4 8 3" xfId="799" xr:uid="{00000000-0005-0000-0000-00001E030000}"/>
    <cellStyle name="20% - Colore 4 8 4" xfId="800" xr:uid="{00000000-0005-0000-0000-00001F030000}"/>
    <cellStyle name="20% - Colore 4 8 4 2" xfId="801" xr:uid="{00000000-0005-0000-0000-000020030000}"/>
    <cellStyle name="20% - Colore 4 8 5" xfId="802" xr:uid="{00000000-0005-0000-0000-000021030000}"/>
    <cellStyle name="20% - Colore 4 9" xfId="803" xr:uid="{00000000-0005-0000-0000-000022030000}"/>
    <cellStyle name="20% - Colore 4 9 2" xfId="804" xr:uid="{00000000-0005-0000-0000-000023030000}"/>
    <cellStyle name="20% - Colore 4 9 3" xfId="805" xr:uid="{00000000-0005-0000-0000-000024030000}"/>
    <cellStyle name="20% - Colore 4 9 4" xfId="806" xr:uid="{00000000-0005-0000-0000-000025030000}"/>
    <cellStyle name="20% - Colore 4 9 4 2" xfId="807" xr:uid="{00000000-0005-0000-0000-000026030000}"/>
    <cellStyle name="20% - Colore 4 9 5" xfId="808" xr:uid="{00000000-0005-0000-0000-000027030000}"/>
    <cellStyle name="20% - Colore 5" xfId="809" xr:uid="{00000000-0005-0000-0000-000028030000}"/>
    <cellStyle name="20% - Colore 5 2" xfId="810" xr:uid="{00000000-0005-0000-0000-000029030000}"/>
    <cellStyle name="20% - Colore 5 2 2" xfId="811" xr:uid="{00000000-0005-0000-0000-00002A030000}"/>
    <cellStyle name="20% - Colore 5 2 3" xfId="812" xr:uid="{00000000-0005-0000-0000-00002B030000}"/>
    <cellStyle name="20% - Colore 5 2 4" xfId="813" xr:uid="{00000000-0005-0000-0000-00002C030000}"/>
    <cellStyle name="20% - Colore 5 2 4 2" xfId="814" xr:uid="{00000000-0005-0000-0000-00002D030000}"/>
    <cellStyle name="20% - Colore 5 2 5" xfId="815" xr:uid="{00000000-0005-0000-0000-00002E030000}"/>
    <cellStyle name="20% - Colore 5 3" xfId="816" xr:uid="{00000000-0005-0000-0000-00002F030000}"/>
    <cellStyle name="20% - Colore 5 3 2" xfId="817" xr:uid="{00000000-0005-0000-0000-000030030000}"/>
    <cellStyle name="20% - Colore 5 3 2 2" xfId="818" xr:uid="{00000000-0005-0000-0000-000031030000}"/>
    <cellStyle name="20% - Colore 5 3 3" xfId="819" xr:uid="{00000000-0005-0000-0000-000032030000}"/>
    <cellStyle name="20% - Colore 5 3 4" xfId="820" xr:uid="{00000000-0005-0000-0000-000033030000}"/>
    <cellStyle name="20% - Colore 5 3 4 2" xfId="821" xr:uid="{00000000-0005-0000-0000-000034030000}"/>
    <cellStyle name="20% - Colore 5 3 5" xfId="822" xr:uid="{00000000-0005-0000-0000-000035030000}"/>
    <cellStyle name="20% - Colore 5 4" xfId="823" xr:uid="{00000000-0005-0000-0000-000036030000}"/>
    <cellStyle name="20% - Colore 5 4 2" xfId="824" xr:uid="{00000000-0005-0000-0000-000037030000}"/>
    <cellStyle name="20% - Colore 5 5" xfId="825" xr:uid="{00000000-0005-0000-0000-000038030000}"/>
    <cellStyle name="20% - Colore 5 6" xfId="826" xr:uid="{00000000-0005-0000-0000-000039030000}"/>
    <cellStyle name="20% - Colore 5 7" xfId="827" xr:uid="{00000000-0005-0000-0000-00003A030000}"/>
    <cellStyle name="20% - Colore 5 8" xfId="828" xr:uid="{00000000-0005-0000-0000-00003B030000}"/>
    <cellStyle name="20% - Colore 5 8 2" xfId="829" xr:uid="{00000000-0005-0000-0000-00003C030000}"/>
    <cellStyle name="20% - Colore 5 9" xfId="830" xr:uid="{00000000-0005-0000-0000-00003D030000}"/>
    <cellStyle name="20% - Colore 6" xfId="831" xr:uid="{00000000-0005-0000-0000-00003E030000}"/>
    <cellStyle name="20% - Colore 6 2" xfId="832" xr:uid="{00000000-0005-0000-0000-00003F030000}"/>
    <cellStyle name="20% - Colore 6 2 2" xfId="833" xr:uid="{00000000-0005-0000-0000-000040030000}"/>
    <cellStyle name="20% - Colore 6 2 3" xfId="834" xr:uid="{00000000-0005-0000-0000-000041030000}"/>
    <cellStyle name="20% - Colore 6 2 4" xfId="835" xr:uid="{00000000-0005-0000-0000-000042030000}"/>
    <cellStyle name="20% - Colore 6 2 4 2" xfId="836" xr:uid="{00000000-0005-0000-0000-000043030000}"/>
    <cellStyle name="20% - Colore 6 2 5" xfId="837" xr:uid="{00000000-0005-0000-0000-000044030000}"/>
    <cellStyle name="20% - Colore 6 3" xfId="838" xr:uid="{00000000-0005-0000-0000-000045030000}"/>
    <cellStyle name="20% - Colore 6 3 2" xfId="839" xr:uid="{00000000-0005-0000-0000-000046030000}"/>
    <cellStyle name="20% - Colore 6 3 2 2" xfId="840" xr:uid="{00000000-0005-0000-0000-000047030000}"/>
    <cellStyle name="20% - Colore 6 3 3" xfId="841" xr:uid="{00000000-0005-0000-0000-000048030000}"/>
    <cellStyle name="20% - Colore 6 3 4" xfId="842" xr:uid="{00000000-0005-0000-0000-000049030000}"/>
    <cellStyle name="20% - Colore 6 3 4 2" xfId="843" xr:uid="{00000000-0005-0000-0000-00004A030000}"/>
    <cellStyle name="20% - Colore 6 3 5" xfId="844" xr:uid="{00000000-0005-0000-0000-00004B030000}"/>
    <cellStyle name="20% - Colore 6 4" xfId="845" xr:uid="{00000000-0005-0000-0000-00004C030000}"/>
    <cellStyle name="20% - Colore 6 4 2" xfId="846" xr:uid="{00000000-0005-0000-0000-00004D030000}"/>
    <cellStyle name="20% - Colore 6 5" xfId="847" xr:uid="{00000000-0005-0000-0000-00004E030000}"/>
    <cellStyle name="20% - Colore 6 6" xfId="848" xr:uid="{00000000-0005-0000-0000-00004F030000}"/>
    <cellStyle name="20% - Colore 6 7" xfId="849" xr:uid="{00000000-0005-0000-0000-000050030000}"/>
    <cellStyle name="20% - Colore 6 8" xfId="850" xr:uid="{00000000-0005-0000-0000-000051030000}"/>
    <cellStyle name="20% - Colore 6 8 2" xfId="851" xr:uid="{00000000-0005-0000-0000-000052030000}"/>
    <cellStyle name="20% - Colore 6 9" xfId="852" xr:uid="{00000000-0005-0000-0000-000053030000}"/>
    <cellStyle name="40% - Accent1 2" xfId="853" xr:uid="{00000000-0005-0000-0000-000054030000}"/>
    <cellStyle name="40% - Accent1 2 10" xfId="854" xr:uid="{00000000-0005-0000-0000-000055030000}"/>
    <cellStyle name="40% - Accent1 2 10 2" xfId="855" xr:uid="{00000000-0005-0000-0000-000056030000}"/>
    <cellStyle name="40% - Accent1 2 11" xfId="856" xr:uid="{00000000-0005-0000-0000-000057030000}"/>
    <cellStyle name="40% - Accent1 2 11 2" xfId="857" xr:uid="{00000000-0005-0000-0000-000058030000}"/>
    <cellStyle name="40% - Accent1 2 12" xfId="858" xr:uid="{00000000-0005-0000-0000-000059030000}"/>
    <cellStyle name="40% - Accent1 2 12 2" xfId="859" xr:uid="{00000000-0005-0000-0000-00005A030000}"/>
    <cellStyle name="40% - Accent1 2 13" xfId="860" xr:uid="{00000000-0005-0000-0000-00005B030000}"/>
    <cellStyle name="40% - Accent1 2 13 2" xfId="861" xr:uid="{00000000-0005-0000-0000-00005C030000}"/>
    <cellStyle name="40% - Accent1 2 14" xfId="862" xr:uid="{00000000-0005-0000-0000-00005D030000}"/>
    <cellStyle name="40% - Accent1 2 14 2" xfId="863" xr:uid="{00000000-0005-0000-0000-00005E030000}"/>
    <cellStyle name="40% - Accent1 2 15" xfId="864" xr:uid="{00000000-0005-0000-0000-00005F030000}"/>
    <cellStyle name="40% - Accent1 2 15 2" xfId="865" xr:uid="{00000000-0005-0000-0000-000060030000}"/>
    <cellStyle name="40% - Accent1 2 16" xfId="866" xr:uid="{00000000-0005-0000-0000-000061030000}"/>
    <cellStyle name="40% - Accent1 2 16 2" xfId="867" xr:uid="{00000000-0005-0000-0000-000062030000}"/>
    <cellStyle name="40% - Accent1 2 17" xfId="868" xr:uid="{00000000-0005-0000-0000-000063030000}"/>
    <cellStyle name="40% - Accent1 2 17 2" xfId="869" xr:uid="{00000000-0005-0000-0000-000064030000}"/>
    <cellStyle name="40% - Accent1 2 18" xfId="870" xr:uid="{00000000-0005-0000-0000-000065030000}"/>
    <cellStyle name="40% - Accent1 2 18 2" xfId="871" xr:uid="{00000000-0005-0000-0000-000066030000}"/>
    <cellStyle name="40% - Accent1 2 19" xfId="872" xr:uid="{00000000-0005-0000-0000-000067030000}"/>
    <cellStyle name="40% - Accent1 2 2" xfId="873" xr:uid="{00000000-0005-0000-0000-000068030000}"/>
    <cellStyle name="40% - Accent1 2 2 2" xfId="874" xr:uid="{00000000-0005-0000-0000-000069030000}"/>
    <cellStyle name="40% - Accent1 2 2 3" xfId="875" xr:uid="{00000000-0005-0000-0000-00006A030000}"/>
    <cellStyle name="40% - Accent1 2 2 4" xfId="876" xr:uid="{00000000-0005-0000-0000-00006B030000}"/>
    <cellStyle name="40% - Accent1 2 2 5" xfId="877" xr:uid="{00000000-0005-0000-0000-00006C030000}"/>
    <cellStyle name="40% - Accent1 2 20" xfId="878" xr:uid="{00000000-0005-0000-0000-00006D030000}"/>
    <cellStyle name="40% - Accent1 2 3" xfId="879" xr:uid="{00000000-0005-0000-0000-00006E030000}"/>
    <cellStyle name="40% - Accent1 2 3 2" xfId="880" xr:uid="{00000000-0005-0000-0000-00006F030000}"/>
    <cellStyle name="40% - Accent1 2 4" xfId="881" xr:uid="{00000000-0005-0000-0000-000070030000}"/>
    <cellStyle name="40% - Accent1 2 4 2" xfId="882" xr:uid="{00000000-0005-0000-0000-000071030000}"/>
    <cellStyle name="40% - Accent1 2 5" xfId="883" xr:uid="{00000000-0005-0000-0000-000072030000}"/>
    <cellStyle name="40% - Accent1 2 5 2" xfId="884" xr:uid="{00000000-0005-0000-0000-000073030000}"/>
    <cellStyle name="40% - Accent1 2 6" xfId="885" xr:uid="{00000000-0005-0000-0000-000074030000}"/>
    <cellStyle name="40% - Accent1 2 6 2" xfId="886" xr:uid="{00000000-0005-0000-0000-000075030000}"/>
    <cellStyle name="40% - Accent1 2 7" xfId="887" xr:uid="{00000000-0005-0000-0000-000076030000}"/>
    <cellStyle name="40% - Accent1 2 7 2" xfId="888" xr:uid="{00000000-0005-0000-0000-000077030000}"/>
    <cellStyle name="40% - Accent1 2 8" xfId="889" xr:uid="{00000000-0005-0000-0000-000078030000}"/>
    <cellStyle name="40% - Accent1 2 8 2" xfId="890" xr:uid="{00000000-0005-0000-0000-000079030000}"/>
    <cellStyle name="40% - Accent1 2 9" xfId="891" xr:uid="{00000000-0005-0000-0000-00007A030000}"/>
    <cellStyle name="40% - Accent1 2 9 2" xfId="892" xr:uid="{00000000-0005-0000-0000-00007B030000}"/>
    <cellStyle name="40% - Accent1 3 10" xfId="893" xr:uid="{00000000-0005-0000-0000-00007C030000}"/>
    <cellStyle name="40% - Accent1 3 10 2" xfId="894" xr:uid="{00000000-0005-0000-0000-00007D030000}"/>
    <cellStyle name="40% - Accent1 3 11" xfId="895" xr:uid="{00000000-0005-0000-0000-00007E030000}"/>
    <cellStyle name="40% - Accent1 3 11 2" xfId="896" xr:uid="{00000000-0005-0000-0000-00007F030000}"/>
    <cellStyle name="40% - Accent1 3 12" xfId="897" xr:uid="{00000000-0005-0000-0000-000080030000}"/>
    <cellStyle name="40% - Accent1 3 12 2" xfId="898" xr:uid="{00000000-0005-0000-0000-000081030000}"/>
    <cellStyle name="40% - Accent1 3 13" xfId="899" xr:uid="{00000000-0005-0000-0000-000082030000}"/>
    <cellStyle name="40% - Accent1 3 13 2" xfId="900" xr:uid="{00000000-0005-0000-0000-000083030000}"/>
    <cellStyle name="40% - Accent1 3 14" xfId="901" xr:uid="{00000000-0005-0000-0000-000084030000}"/>
    <cellStyle name="40% - Accent1 3 14 2" xfId="902" xr:uid="{00000000-0005-0000-0000-000085030000}"/>
    <cellStyle name="40% - Accent1 3 15" xfId="903" xr:uid="{00000000-0005-0000-0000-000086030000}"/>
    <cellStyle name="40% - Accent1 3 15 2" xfId="904" xr:uid="{00000000-0005-0000-0000-000087030000}"/>
    <cellStyle name="40% - Accent1 3 16" xfId="905" xr:uid="{00000000-0005-0000-0000-000088030000}"/>
    <cellStyle name="40% - Accent1 3 16 2" xfId="906" xr:uid="{00000000-0005-0000-0000-000089030000}"/>
    <cellStyle name="40% - Accent1 3 17" xfId="907" xr:uid="{00000000-0005-0000-0000-00008A030000}"/>
    <cellStyle name="40% - Accent1 3 17 2" xfId="908" xr:uid="{00000000-0005-0000-0000-00008B030000}"/>
    <cellStyle name="40% - Accent1 3 2" xfId="909" xr:uid="{00000000-0005-0000-0000-00008C030000}"/>
    <cellStyle name="40% - Accent1 3 2 2" xfId="910" xr:uid="{00000000-0005-0000-0000-00008D030000}"/>
    <cellStyle name="40% - Accent1 3 3" xfId="911" xr:uid="{00000000-0005-0000-0000-00008E030000}"/>
    <cellStyle name="40% - Accent1 3 3 2" xfId="912" xr:uid="{00000000-0005-0000-0000-00008F030000}"/>
    <cellStyle name="40% - Accent1 3 4" xfId="913" xr:uid="{00000000-0005-0000-0000-000090030000}"/>
    <cellStyle name="40% - Accent1 3 4 2" xfId="914" xr:uid="{00000000-0005-0000-0000-000091030000}"/>
    <cellStyle name="40% - Accent1 3 5" xfId="915" xr:uid="{00000000-0005-0000-0000-000092030000}"/>
    <cellStyle name="40% - Accent1 3 5 2" xfId="916" xr:uid="{00000000-0005-0000-0000-000093030000}"/>
    <cellStyle name="40% - Accent1 3 6" xfId="917" xr:uid="{00000000-0005-0000-0000-000094030000}"/>
    <cellStyle name="40% - Accent1 3 6 2" xfId="918" xr:uid="{00000000-0005-0000-0000-000095030000}"/>
    <cellStyle name="40% - Accent1 3 7" xfId="919" xr:uid="{00000000-0005-0000-0000-000096030000}"/>
    <cellStyle name="40% - Accent1 3 7 2" xfId="920" xr:uid="{00000000-0005-0000-0000-000097030000}"/>
    <cellStyle name="40% - Accent1 3 8" xfId="921" xr:uid="{00000000-0005-0000-0000-000098030000}"/>
    <cellStyle name="40% - Accent1 3 8 2" xfId="922" xr:uid="{00000000-0005-0000-0000-000099030000}"/>
    <cellStyle name="40% - Accent1 3 9" xfId="923" xr:uid="{00000000-0005-0000-0000-00009A030000}"/>
    <cellStyle name="40% - Accent1 3 9 2" xfId="924" xr:uid="{00000000-0005-0000-0000-00009B030000}"/>
    <cellStyle name="40% - Accent2 2" xfId="925" xr:uid="{00000000-0005-0000-0000-00009C030000}"/>
    <cellStyle name="40% - Accent2 2 10" xfId="926" xr:uid="{00000000-0005-0000-0000-00009D030000}"/>
    <cellStyle name="40% - Accent2 2 10 2" xfId="927" xr:uid="{00000000-0005-0000-0000-00009E030000}"/>
    <cellStyle name="40% - Accent2 2 11" xfId="928" xr:uid="{00000000-0005-0000-0000-00009F030000}"/>
    <cellStyle name="40% - Accent2 2 11 2" xfId="929" xr:uid="{00000000-0005-0000-0000-0000A0030000}"/>
    <cellStyle name="40% - Accent2 2 12" xfId="930" xr:uid="{00000000-0005-0000-0000-0000A1030000}"/>
    <cellStyle name="40% - Accent2 2 12 2" xfId="931" xr:uid="{00000000-0005-0000-0000-0000A2030000}"/>
    <cellStyle name="40% - Accent2 2 13" xfId="932" xr:uid="{00000000-0005-0000-0000-0000A3030000}"/>
    <cellStyle name="40% - Accent2 2 13 2" xfId="933" xr:uid="{00000000-0005-0000-0000-0000A4030000}"/>
    <cellStyle name="40% - Accent2 2 14" xfId="934" xr:uid="{00000000-0005-0000-0000-0000A5030000}"/>
    <cellStyle name="40% - Accent2 2 14 2" xfId="935" xr:uid="{00000000-0005-0000-0000-0000A6030000}"/>
    <cellStyle name="40% - Accent2 2 15" xfId="936" xr:uid="{00000000-0005-0000-0000-0000A7030000}"/>
    <cellStyle name="40% - Accent2 2 15 2" xfId="937" xr:uid="{00000000-0005-0000-0000-0000A8030000}"/>
    <cellStyle name="40% - Accent2 2 16" xfId="938" xr:uid="{00000000-0005-0000-0000-0000A9030000}"/>
    <cellStyle name="40% - Accent2 2 16 2" xfId="939" xr:uid="{00000000-0005-0000-0000-0000AA030000}"/>
    <cellStyle name="40% - Accent2 2 17" xfId="940" xr:uid="{00000000-0005-0000-0000-0000AB030000}"/>
    <cellStyle name="40% - Accent2 2 17 2" xfId="941" xr:uid="{00000000-0005-0000-0000-0000AC030000}"/>
    <cellStyle name="40% - Accent2 2 18" xfId="942" xr:uid="{00000000-0005-0000-0000-0000AD030000}"/>
    <cellStyle name="40% - Accent2 2 18 2" xfId="943" xr:uid="{00000000-0005-0000-0000-0000AE030000}"/>
    <cellStyle name="40% - Accent2 2 19" xfId="944" xr:uid="{00000000-0005-0000-0000-0000AF030000}"/>
    <cellStyle name="40% - Accent2 2 2" xfId="945" xr:uid="{00000000-0005-0000-0000-0000B0030000}"/>
    <cellStyle name="40% - Accent2 2 2 2" xfId="946" xr:uid="{00000000-0005-0000-0000-0000B1030000}"/>
    <cellStyle name="40% - Accent2 2 2 3" xfId="947" xr:uid="{00000000-0005-0000-0000-0000B2030000}"/>
    <cellStyle name="40% - Accent2 2 2 4" xfId="948" xr:uid="{00000000-0005-0000-0000-0000B3030000}"/>
    <cellStyle name="40% - Accent2 2 2 5" xfId="949" xr:uid="{00000000-0005-0000-0000-0000B4030000}"/>
    <cellStyle name="40% - Accent2 2 20" xfId="950" xr:uid="{00000000-0005-0000-0000-0000B5030000}"/>
    <cellStyle name="40% - Accent2 2 3" xfId="951" xr:uid="{00000000-0005-0000-0000-0000B6030000}"/>
    <cellStyle name="40% - Accent2 2 3 2" xfId="952" xr:uid="{00000000-0005-0000-0000-0000B7030000}"/>
    <cellStyle name="40% - Accent2 2 4" xfId="953" xr:uid="{00000000-0005-0000-0000-0000B8030000}"/>
    <cellStyle name="40% - Accent2 2 4 2" xfId="954" xr:uid="{00000000-0005-0000-0000-0000B9030000}"/>
    <cellStyle name="40% - Accent2 2 5" xfId="955" xr:uid="{00000000-0005-0000-0000-0000BA030000}"/>
    <cellStyle name="40% - Accent2 2 5 2" xfId="956" xr:uid="{00000000-0005-0000-0000-0000BB030000}"/>
    <cellStyle name="40% - Accent2 2 6" xfId="957" xr:uid="{00000000-0005-0000-0000-0000BC030000}"/>
    <cellStyle name="40% - Accent2 2 6 2" xfId="958" xr:uid="{00000000-0005-0000-0000-0000BD030000}"/>
    <cellStyle name="40% - Accent2 2 7" xfId="959" xr:uid="{00000000-0005-0000-0000-0000BE030000}"/>
    <cellStyle name="40% - Accent2 2 7 2" xfId="960" xr:uid="{00000000-0005-0000-0000-0000BF030000}"/>
    <cellStyle name="40% - Accent2 2 8" xfId="961" xr:uid="{00000000-0005-0000-0000-0000C0030000}"/>
    <cellStyle name="40% - Accent2 2 8 2" xfId="962" xr:uid="{00000000-0005-0000-0000-0000C1030000}"/>
    <cellStyle name="40% - Accent2 2 9" xfId="963" xr:uid="{00000000-0005-0000-0000-0000C2030000}"/>
    <cellStyle name="40% - Accent2 2 9 2" xfId="964" xr:uid="{00000000-0005-0000-0000-0000C3030000}"/>
    <cellStyle name="40% - Accent2 3 10" xfId="965" xr:uid="{00000000-0005-0000-0000-0000C4030000}"/>
    <cellStyle name="40% - Accent2 3 10 2" xfId="966" xr:uid="{00000000-0005-0000-0000-0000C5030000}"/>
    <cellStyle name="40% - Accent2 3 11" xfId="967" xr:uid="{00000000-0005-0000-0000-0000C6030000}"/>
    <cellStyle name="40% - Accent2 3 11 2" xfId="968" xr:uid="{00000000-0005-0000-0000-0000C7030000}"/>
    <cellStyle name="40% - Accent2 3 12" xfId="969" xr:uid="{00000000-0005-0000-0000-0000C8030000}"/>
    <cellStyle name="40% - Accent2 3 12 2" xfId="970" xr:uid="{00000000-0005-0000-0000-0000C9030000}"/>
    <cellStyle name="40% - Accent2 3 13" xfId="971" xr:uid="{00000000-0005-0000-0000-0000CA030000}"/>
    <cellStyle name="40% - Accent2 3 13 2" xfId="972" xr:uid="{00000000-0005-0000-0000-0000CB030000}"/>
    <cellStyle name="40% - Accent2 3 14" xfId="973" xr:uid="{00000000-0005-0000-0000-0000CC030000}"/>
    <cellStyle name="40% - Accent2 3 14 2" xfId="974" xr:uid="{00000000-0005-0000-0000-0000CD030000}"/>
    <cellStyle name="40% - Accent2 3 15" xfId="975" xr:uid="{00000000-0005-0000-0000-0000CE030000}"/>
    <cellStyle name="40% - Accent2 3 15 2" xfId="976" xr:uid="{00000000-0005-0000-0000-0000CF030000}"/>
    <cellStyle name="40% - Accent2 3 16" xfId="977" xr:uid="{00000000-0005-0000-0000-0000D0030000}"/>
    <cellStyle name="40% - Accent2 3 16 2" xfId="978" xr:uid="{00000000-0005-0000-0000-0000D1030000}"/>
    <cellStyle name="40% - Accent2 3 17" xfId="979" xr:uid="{00000000-0005-0000-0000-0000D2030000}"/>
    <cellStyle name="40% - Accent2 3 17 2" xfId="980" xr:uid="{00000000-0005-0000-0000-0000D3030000}"/>
    <cellStyle name="40% - Accent2 3 2" xfId="981" xr:uid="{00000000-0005-0000-0000-0000D4030000}"/>
    <cellStyle name="40% - Accent2 3 2 2" xfId="982" xr:uid="{00000000-0005-0000-0000-0000D5030000}"/>
    <cellStyle name="40% - Accent2 3 3" xfId="983" xr:uid="{00000000-0005-0000-0000-0000D6030000}"/>
    <cellStyle name="40% - Accent2 3 3 2" xfId="984" xr:uid="{00000000-0005-0000-0000-0000D7030000}"/>
    <cellStyle name="40% - Accent2 3 4" xfId="985" xr:uid="{00000000-0005-0000-0000-0000D8030000}"/>
    <cellStyle name="40% - Accent2 3 4 2" xfId="986" xr:uid="{00000000-0005-0000-0000-0000D9030000}"/>
    <cellStyle name="40% - Accent2 3 5" xfId="987" xr:uid="{00000000-0005-0000-0000-0000DA030000}"/>
    <cellStyle name="40% - Accent2 3 5 2" xfId="988" xr:uid="{00000000-0005-0000-0000-0000DB030000}"/>
    <cellStyle name="40% - Accent2 3 6" xfId="989" xr:uid="{00000000-0005-0000-0000-0000DC030000}"/>
    <cellStyle name="40% - Accent2 3 6 2" xfId="990" xr:uid="{00000000-0005-0000-0000-0000DD030000}"/>
    <cellStyle name="40% - Accent2 3 7" xfId="991" xr:uid="{00000000-0005-0000-0000-0000DE030000}"/>
    <cellStyle name="40% - Accent2 3 7 2" xfId="992" xr:uid="{00000000-0005-0000-0000-0000DF030000}"/>
    <cellStyle name="40% - Accent2 3 8" xfId="993" xr:uid="{00000000-0005-0000-0000-0000E0030000}"/>
    <cellStyle name="40% - Accent2 3 8 2" xfId="994" xr:uid="{00000000-0005-0000-0000-0000E1030000}"/>
    <cellStyle name="40% - Accent2 3 9" xfId="995" xr:uid="{00000000-0005-0000-0000-0000E2030000}"/>
    <cellStyle name="40% - Accent2 3 9 2" xfId="996" xr:uid="{00000000-0005-0000-0000-0000E3030000}"/>
    <cellStyle name="40% - Accent3 2" xfId="997" xr:uid="{00000000-0005-0000-0000-0000E4030000}"/>
    <cellStyle name="40% - Accent3 2 10" xfId="998" xr:uid="{00000000-0005-0000-0000-0000E5030000}"/>
    <cellStyle name="40% - Accent3 2 10 2" xfId="999" xr:uid="{00000000-0005-0000-0000-0000E6030000}"/>
    <cellStyle name="40% - Accent3 2 11" xfId="1000" xr:uid="{00000000-0005-0000-0000-0000E7030000}"/>
    <cellStyle name="40% - Accent3 2 11 2" xfId="1001" xr:uid="{00000000-0005-0000-0000-0000E8030000}"/>
    <cellStyle name="40% - Accent3 2 12" xfId="1002" xr:uid="{00000000-0005-0000-0000-0000E9030000}"/>
    <cellStyle name="40% - Accent3 2 12 2" xfId="1003" xr:uid="{00000000-0005-0000-0000-0000EA030000}"/>
    <cellStyle name="40% - Accent3 2 13" xfId="1004" xr:uid="{00000000-0005-0000-0000-0000EB030000}"/>
    <cellStyle name="40% - Accent3 2 13 2" xfId="1005" xr:uid="{00000000-0005-0000-0000-0000EC030000}"/>
    <cellStyle name="40% - Accent3 2 14" xfId="1006" xr:uid="{00000000-0005-0000-0000-0000ED030000}"/>
    <cellStyle name="40% - Accent3 2 14 2" xfId="1007" xr:uid="{00000000-0005-0000-0000-0000EE030000}"/>
    <cellStyle name="40% - Accent3 2 15" xfId="1008" xr:uid="{00000000-0005-0000-0000-0000EF030000}"/>
    <cellStyle name="40% - Accent3 2 15 2" xfId="1009" xr:uid="{00000000-0005-0000-0000-0000F0030000}"/>
    <cellStyle name="40% - Accent3 2 16" xfId="1010" xr:uid="{00000000-0005-0000-0000-0000F1030000}"/>
    <cellStyle name="40% - Accent3 2 16 2" xfId="1011" xr:uid="{00000000-0005-0000-0000-0000F2030000}"/>
    <cellStyle name="40% - Accent3 2 17" xfId="1012" xr:uid="{00000000-0005-0000-0000-0000F3030000}"/>
    <cellStyle name="40% - Accent3 2 17 2" xfId="1013" xr:uid="{00000000-0005-0000-0000-0000F4030000}"/>
    <cellStyle name="40% - Accent3 2 18" xfId="1014" xr:uid="{00000000-0005-0000-0000-0000F5030000}"/>
    <cellStyle name="40% - Accent3 2 18 2" xfId="1015" xr:uid="{00000000-0005-0000-0000-0000F6030000}"/>
    <cellStyle name="40% - Accent3 2 19" xfId="1016" xr:uid="{00000000-0005-0000-0000-0000F7030000}"/>
    <cellStyle name="40% - Accent3 2 2" xfId="1017" xr:uid="{00000000-0005-0000-0000-0000F8030000}"/>
    <cellStyle name="40% - Accent3 2 2 2" xfId="1018" xr:uid="{00000000-0005-0000-0000-0000F9030000}"/>
    <cellStyle name="40% - Accent3 2 2 3" xfId="1019" xr:uid="{00000000-0005-0000-0000-0000FA030000}"/>
    <cellStyle name="40% - Accent3 2 2 4" xfId="1020" xr:uid="{00000000-0005-0000-0000-0000FB030000}"/>
    <cellStyle name="40% - Accent3 2 2 5" xfId="1021" xr:uid="{00000000-0005-0000-0000-0000FC030000}"/>
    <cellStyle name="40% - Accent3 2 20" xfId="1022" xr:uid="{00000000-0005-0000-0000-0000FD030000}"/>
    <cellStyle name="40% - Accent3 2 3" xfId="1023" xr:uid="{00000000-0005-0000-0000-0000FE030000}"/>
    <cellStyle name="40% - Accent3 2 3 2" xfId="1024" xr:uid="{00000000-0005-0000-0000-0000FF030000}"/>
    <cellStyle name="40% - Accent3 2 4" xfId="1025" xr:uid="{00000000-0005-0000-0000-000000040000}"/>
    <cellStyle name="40% - Accent3 2 4 2" xfId="1026" xr:uid="{00000000-0005-0000-0000-000001040000}"/>
    <cellStyle name="40% - Accent3 2 5" xfId="1027" xr:uid="{00000000-0005-0000-0000-000002040000}"/>
    <cellStyle name="40% - Accent3 2 5 2" xfId="1028" xr:uid="{00000000-0005-0000-0000-000003040000}"/>
    <cellStyle name="40% - Accent3 2 6" xfId="1029" xr:uid="{00000000-0005-0000-0000-000004040000}"/>
    <cellStyle name="40% - Accent3 2 6 2" xfId="1030" xr:uid="{00000000-0005-0000-0000-000005040000}"/>
    <cellStyle name="40% - Accent3 2 7" xfId="1031" xr:uid="{00000000-0005-0000-0000-000006040000}"/>
    <cellStyle name="40% - Accent3 2 7 2" xfId="1032" xr:uid="{00000000-0005-0000-0000-000007040000}"/>
    <cellStyle name="40% - Accent3 2 8" xfId="1033" xr:uid="{00000000-0005-0000-0000-000008040000}"/>
    <cellStyle name="40% - Accent3 2 8 2" xfId="1034" xr:uid="{00000000-0005-0000-0000-000009040000}"/>
    <cellStyle name="40% - Accent3 2 9" xfId="1035" xr:uid="{00000000-0005-0000-0000-00000A040000}"/>
    <cellStyle name="40% - Accent3 2 9 2" xfId="1036" xr:uid="{00000000-0005-0000-0000-00000B040000}"/>
    <cellStyle name="40% - Accent3 3 10" xfId="1037" xr:uid="{00000000-0005-0000-0000-00000C040000}"/>
    <cellStyle name="40% - Accent3 3 10 2" xfId="1038" xr:uid="{00000000-0005-0000-0000-00000D040000}"/>
    <cellStyle name="40% - Accent3 3 11" xfId="1039" xr:uid="{00000000-0005-0000-0000-00000E040000}"/>
    <cellStyle name="40% - Accent3 3 11 2" xfId="1040" xr:uid="{00000000-0005-0000-0000-00000F040000}"/>
    <cellStyle name="40% - Accent3 3 12" xfId="1041" xr:uid="{00000000-0005-0000-0000-000010040000}"/>
    <cellStyle name="40% - Accent3 3 12 2" xfId="1042" xr:uid="{00000000-0005-0000-0000-000011040000}"/>
    <cellStyle name="40% - Accent3 3 13" xfId="1043" xr:uid="{00000000-0005-0000-0000-000012040000}"/>
    <cellStyle name="40% - Accent3 3 13 2" xfId="1044" xr:uid="{00000000-0005-0000-0000-000013040000}"/>
    <cellStyle name="40% - Accent3 3 14" xfId="1045" xr:uid="{00000000-0005-0000-0000-000014040000}"/>
    <cellStyle name="40% - Accent3 3 14 2" xfId="1046" xr:uid="{00000000-0005-0000-0000-000015040000}"/>
    <cellStyle name="40% - Accent3 3 15" xfId="1047" xr:uid="{00000000-0005-0000-0000-000016040000}"/>
    <cellStyle name="40% - Accent3 3 15 2" xfId="1048" xr:uid="{00000000-0005-0000-0000-000017040000}"/>
    <cellStyle name="40% - Accent3 3 16" xfId="1049" xr:uid="{00000000-0005-0000-0000-000018040000}"/>
    <cellStyle name="40% - Accent3 3 16 2" xfId="1050" xr:uid="{00000000-0005-0000-0000-000019040000}"/>
    <cellStyle name="40% - Accent3 3 17" xfId="1051" xr:uid="{00000000-0005-0000-0000-00001A040000}"/>
    <cellStyle name="40% - Accent3 3 17 2" xfId="1052" xr:uid="{00000000-0005-0000-0000-00001B040000}"/>
    <cellStyle name="40% - Accent3 3 2" xfId="1053" xr:uid="{00000000-0005-0000-0000-00001C040000}"/>
    <cellStyle name="40% - Accent3 3 2 2" xfId="1054" xr:uid="{00000000-0005-0000-0000-00001D040000}"/>
    <cellStyle name="40% - Accent3 3 3" xfId="1055" xr:uid="{00000000-0005-0000-0000-00001E040000}"/>
    <cellStyle name="40% - Accent3 3 3 2" xfId="1056" xr:uid="{00000000-0005-0000-0000-00001F040000}"/>
    <cellStyle name="40% - Accent3 3 4" xfId="1057" xr:uid="{00000000-0005-0000-0000-000020040000}"/>
    <cellStyle name="40% - Accent3 3 4 2" xfId="1058" xr:uid="{00000000-0005-0000-0000-000021040000}"/>
    <cellStyle name="40% - Accent3 3 5" xfId="1059" xr:uid="{00000000-0005-0000-0000-000022040000}"/>
    <cellStyle name="40% - Accent3 3 5 2" xfId="1060" xr:uid="{00000000-0005-0000-0000-000023040000}"/>
    <cellStyle name="40% - Accent3 3 6" xfId="1061" xr:uid="{00000000-0005-0000-0000-000024040000}"/>
    <cellStyle name="40% - Accent3 3 6 2" xfId="1062" xr:uid="{00000000-0005-0000-0000-000025040000}"/>
    <cellStyle name="40% - Accent3 3 7" xfId="1063" xr:uid="{00000000-0005-0000-0000-000026040000}"/>
    <cellStyle name="40% - Accent3 3 7 2" xfId="1064" xr:uid="{00000000-0005-0000-0000-000027040000}"/>
    <cellStyle name="40% - Accent3 3 8" xfId="1065" xr:uid="{00000000-0005-0000-0000-000028040000}"/>
    <cellStyle name="40% - Accent3 3 8 2" xfId="1066" xr:uid="{00000000-0005-0000-0000-000029040000}"/>
    <cellStyle name="40% - Accent3 3 9" xfId="1067" xr:uid="{00000000-0005-0000-0000-00002A040000}"/>
    <cellStyle name="40% - Accent3 3 9 2" xfId="1068" xr:uid="{00000000-0005-0000-0000-00002B040000}"/>
    <cellStyle name="40% - Accent4 2" xfId="1069" xr:uid="{00000000-0005-0000-0000-00002C040000}"/>
    <cellStyle name="40% - Accent4 2 10" xfId="1070" xr:uid="{00000000-0005-0000-0000-00002D040000}"/>
    <cellStyle name="40% - Accent4 2 10 2" xfId="1071" xr:uid="{00000000-0005-0000-0000-00002E040000}"/>
    <cellStyle name="40% - Accent4 2 11" xfId="1072" xr:uid="{00000000-0005-0000-0000-00002F040000}"/>
    <cellStyle name="40% - Accent4 2 11 2" xfId="1073" xr:uid="{00000000-0005-0000-0000-000030040000}"/>
    <cellStyle name="40% - Accent4 2 12" xfId="1074" xr:uid="{00000000-0005-0000-0000-000031040000}"/>
    <cellStyle name="40% - Accent4 2 12 2" xfId="1075" xr:uid="{00000000-0005-0000-0000-000032040000}"/>
    <cellStyle name="40% - Accent4 2 13" xfId="1076" xr:uid="{00000000-0005-0000-0000-000033040000}"/>
    <cellStyle name="40% - Accent4 2 13 2" xfId="1077" xr:uid="{00000000-0005-0000-0000-000034040000}"/>
    <cellStyle name="40% - Accent4 2 14" xfId="1078" xr:uid="{00000000-0005-0000-0000-000035040000}"/>
    <cellStyle name="40% - Accent4 2 14 2" xfId="1079" xr:uid="{00000000-0005-0000-0000-000036040000}"/>
    <cellStyle name="40% - Accent4 2 15" xfId="1080" xr:uid="{00000000-0005-0000-0000-000037040000}"/>
    <cellStyle name="40% - Accent4 2 15 2" xfId="1081" xr:uid="{00000000-0005-0000-0000-000038040000}"/>
    <cellStyle name="40% - Accent4 2 16" xfId="1082" xr:uid="{00000000-0005-0000-0000-000039040000}"/>
    <cellStyle name="40% - Accent4 2 16 2" xfId="1083" xr:uid="{00000000-0005-0000-0000-00003A040000}"/>
    <cellStyle name="40% - Accent4 2 17" xfId="1084" xr:uid="{00000000-0005-0000-0000-00003B040000}"/>
    <cellStyle name="40% - Accent4 2 17 2" xfId="1085" xr:uid="{00000000-0005-0000-0000-00003C040000}"/>
    <cellStyle name="40% - Accent4 2 18" xfId="1086" xr:uid="{00000000-0005-0000-0000-00003D040000}"/>
    <cellStyle name="40% - Accent4 2 18 2" xfId="1087" xr:uid="{00000000-0005-0000-0000-00003E040000}"/>
    <cellStyle name="40% - Accent4 2 19" xfId="1088" xr:uid="{00000000-0005-0000-0000-00003F040000}"/>
    <cellStyle name="40% - Accent4 2 2" xfId="1089" xr:uid="{00000000-0005-0000-0000-000040040000}"/>
    <cellStyle name="40% - Accent4 2 2 2" xfId="1090" xr:uid="{00000000-0005-0000-0000-000041040000}"/>
    <cellStyle name="40% - Accent4 2 2 3" xfId="1091" xr:uid="{00000000-0005-0000-0000-000042040000}"/>
    <cellStyle name="40% - Accent4 2 2 4" xfId="1092" xr:uid="{00000000-0005-0000-0000-000043040000}"/>
    <cellStyle name="40% - Accent4 2 2 5" xfId="1093" xr:uid="{00000000-0005-0000-0000-000044040000}"/>
    <cellStyle name="40% - Accent4 2 20" xfId="1094" xr:uid="{00000000-0005-0000-0000-000045040000}"/>
    <cellStyle name="40% - Accent4 2 3" xfId="1095" xr:uid="{00000000-0005-0000-0000-000046040000}"/>
    <cellStyle name="40% - Accent4 2 3 2" xfId="1096" xr:uid="{00000000-0005-0000-0000-000047040000}"/>
    <cellStyle name="40% - Accent4 2 4" xfId="1097" xr:uid="{00000000-0005-0000-0000-000048040000}"/>
    <cellStyle name="40% - Accent4 2 4 2" xfId="1098" xr:uid="{00000000-0005-0000-0000-000049040000}"/>
    <cellStyle name="40% - Accent4 2 5" xfId="1099" xr:uid="{00000000-0005-0000-0000-00004A040000}"/>
    <cellStyle name="40% - Accent4 2 5 2" xfId="1100" xr:uid="{00000000-0005-0000-0000-00004B040000}"/>
    <cellStyle name="40% - Accent4 2 6" xfId="1101" xr:uid="{00000000-0005-0000-0000-00004C040000}"/>
    <cellStyle name="40% - Accent4 2 6 2" xfId="1102" xr:uid="{00000000-0005-0000-0000-00004D040000}"/>
    <cellStyle name="40% - Accent4 2 7" xfId="1103" xr:uid="{00000000-0005-0000-0000-00004E040000}"/>
    <cellStyle name="40% - Accent4 2 7 2" xfId="1104" xr:uid="{00000000-0005-0000-0000-00004F040000}"/>
    <cellStyle name="40% - Accent4 2 8" xfId="1105" xr:uid="{00000000-0005-0000-0000-000050040000}"/>
    <cellStyle name="40% - Accent4 2 8 2" xfId="1106" xr:uid="{00000000-0005-0000-0000-000051040000}"/>
    <cellStyle name="40% - Accent4 2 9" xfId="1107" xr:uid="{00000000-0005-0000-0000-000052040000}"/>
    <cellStyle name="40% - Accent4 2 9 2" xfId="1108" xr:uid="{00000000-0005-0000-0000-000053040000}"/>
    <cellStyle name="40% - Accent4 3 10" xfId="1109" xr:uid="{00000000-0005-0000-0000-000054040000}"/>
    <cellStyle name="40% - Accent4 3 10 2" xfId="1110" xr:uid="{00000000-0005-0000-0000-000055040000}"/>
    <cellStyle name="40% - Accent4 3 11" xfId="1111" xr:uid="{00000000-0005-0000-0000-000056040000}"/>
    <cellStyle name="40% - Accent4 3 11 2" xfId="1112" xr:uid="{00000000-0005-0000-0000-000057040000}"/>
    <cellStyle name="40% - Accent4 3 12" xfId="1113" xr:uid="{00000000-0005-0000-0000-000058040000}"/>
    <cellStyle name="40% - Accent4 3 12 2" xfId="1114" xr:uid="{00000000-0005-0000-0000-000059040000}"/>
    <cellStyle name="40% - Accent4 3 13" xfId="1115" xr:uid="{00000000-0005-0000-0000-00005A040000}"/>
    <cellStyle name="40% - Accent4 3 13 2" xfId="1116" xr:uid="{00000000-0005-0000-0000-00005B040000}"/>
    <cellStyle name="40% - Accent4 3 14" xfId="1117" xr:uid="{00000000-0005-0000-0000-00005C040000}"/>
    <cellStyle name="40% - Accent4 3 14 2" xfId="1118" xr:uid="{00000000-0005-0000-0000-00005D040000}"/>
    <cellStyle name="40% - Accent4 3 15" xfId="1119" xr:uid="{00000000-0005-0000-0000-00005E040000}"/>
    <cellStyle name="40% - Accent4 3 15 2" xfId="1120" xr:uid="{00000000-0005-0000-0000-00005F040000}"/>
    <cellStyle name="40% - Accent4 3 16" xfId="1121" xr:uid="{00000000-0005-0000-0000-000060040000}"/>
    <cellStyle name="40% - Accent4 3 16 2" xfId="1122" xr:uid="{00000000-0005-0000-0000-000061040000}"/>
    <cellStyle name="40% - Accent4 3 17" xfId="1123" xr:uid="{00000000-0005-0000-0000-000062040000}"/>
    <cellStyle name="40% - Accent4 3 17 2" xfId="1124" xr:uid="{00000000-0005-0000-0000-000063040000}"/>
    <cellStyle name="40% - Accent4 3 2" xfId="1125" xr:uid="{00000000-0005-0000-0000-000064040000}"/>
    <cellStyle name="40% - Accent4 3 2 2" xfId="1126" xr:uid="{00000000-0005-0000-0000-000065040000}"/>
    <cellStyle name="40% - Accent4 3 3" xfId="1127" xr:uid="{00000000-0005-0000-0000-000066040000}"/>
    <cellStyle name="40% - Accent4 3 3 2" xfId="1128" xr:uid="{00000000-0005-0000-0000-000067040000}"/>
    <cellStyle name="40% - Accent4 3 4" xfId="1129" xr:uid="{00000000-0005-0000-0000-000068040000}"/>
    <cellStyle name="40% - Accent4 3 4 2" xfId="1130" xr:uid="{00000000-0005-0000-0000-000069040000}"/>
    <cellStyle name="40% - Accent4 3 5" xfId="1131" xr:uid="{00000000-0005-0000-0000-00006A040000}"/>
    <cellStyle name="40% - Accent4 3 5 2" xfId="1132" xr:uid="{00000000-0005-0000-0000-00006B040000}"/>
    <cellStyle name="40% - Accent4 3 6" xfId="1133" xr:uid="{00000000-0005-0000-0000-00006C040000}"/>
    <cellStyle name="40% - Accent4 3 6 2" xfId="1134" xr:uid="{00000000-0005-0000-0000-00006D040000}"/>
    <cellStyle name="40% - Accent4 3 7" xfId="1135" xr:uid="{00000000-0005-0000-0000-00006E040000}"/>
    <cellStyle name="40% - Accent4 3 7 2" xfId="1136" xr:uid="{00000000-0005-0000-0000-00006F040000}"/>
    <cellStyle name="40% - Accent4 3 8" xfId="1137" xr:uid="{00000000-0005-0000-0000-000070040000}"/>
    <cellStyle name="40% - Accent4 3 8 2" xfId="1138" xr:uid="{00000000-0005-0000-0000-000071040000}"/>
    <cellStyle name="40% - Accent4 3 9" xfId="1139" xr:uid="{00000000-0005-0000-0000-000072040000}"/>
    <cellStyle name="40% - Accent4 3 9 2" xfId="1140" xr:uid="{00000000-0005-0000-0000-000073040000}"/>
    <cellStyle name="40% - Accent5 2" xfId="1141" xr:uid="{00000000-0005-0000-0000-000074040000}"/>
    <cellStyle name="40% - Accent5 2 10" xfId="1142" xr:uid="{00000000-0005-0000-0000-000075040000}"/>
    <cellStyle name="40% - Accent5 2 10 2" xfId="1143" xr:uid="{00000000-0005-0000-0000-000076040000}"/>
    <cellStyle name="40% - Accent5 2 11" xfId="1144" xr:uid="{00000000-0005-0000-0000-000077040000}"/>
    <cellStyle name="40% - Accent5 2 11 2" xfId="1145" xr:uid="{00000000-0005-0000-0000-000078040000}"/>
    <cellStyle name="40% - Accent5 2 12" xfId="1146" xr:uid="{00000000-0005-0000-0000-000079040000}"/>
    <cellStyle name="40% - Accent5 2 12 2" xfId="1147" xr:uid="{00000000-0005-0000-0000-00007A040000}"/>
    <cellStyle name="40% - Accent5 2 13" xfId="1148" xr:uid="{00000000-0005-0000-0000-00007B040000}"/>
    <cellStyle name="40% - Accent5 2 13 2" xfId="1149" xr:uid="{00000000-0005-0000-0000-00007C040000}"/>
    <cellStyle name="40% - Accent5 2 14" xfId="1150" xr:uid="{00000000-0005-0000-0000-00007D040000}"/>
    <cellStyle name="40% - Accent5 2 14 2" xfId="1151" xr:uid="{00000000-0005-0000-0000-00007E040000}"/>
    <cellStyle name="40% - Accent5 2 15" xfId="1152" xr:uid="{00000000-0005-0000-0000-00007F040000}"/>
    <cellStyle name="40% - Accent5 2 15 2" xfId="1153" xr:uid="{00000000-0005-0000-0000-000080040000}"/>
    <cellStyle name="40% - Accent5 2 16" xfId="1154" xr:uid="{00000000-0005-0000-0000-000081040000}"/>
    <cellStyle name="40% - Accent5 2 16 2" xfId="1155" xr:uid="{00000000-0005-0000-0000-000082040000}"/>
    <cellStyle name="40% - Accent5 2 17" xfId="1156" xr:uid="{00000000-0005-0000-0000-000083040000}"/>
    <cellStyle name="40% - Accent5 2 17 2" xfId="1157" xr:uid="{00000000-0005-0000-0000-000084040000}"/>
    <cellStyle name="40% - Accent5 2 18" xfId="1158" xr:uid="{00000000-0005-0000-0000-000085040000}"/>
    <cellStyle name="40% - Accent5 2 18 2" xfId="1159" xr:uid="{00000000-0005-0000-0000-000086040000}"/>
    <cellStyle name="40% - Accent5 2 19" xfId="1160" xr:uid="{00000000-0005-0000-0000-000087040000}"/>
    <cellStyle name="40% - Accent5 2 2" xfId="1161" xr:uid="{00000000-0005-0000-0000-000088040000}"/>
    <cellStyle name="40% - Accent5 2 2 2" xfId="1162" xr:uid="{00000000-0005-0000-0000-000089040000}"/>
    <cellStyle name="40% - Accent5 2 2 3" xfId="1163" xr:uid="{00000000-0005-0000-0000-00008A040000}"/>
    <cellStyle name="40% - Accent5 2 2 4" xfId="1164" xr:uid="{00000000-0005-0000-0000-00008B040000}"/>
    <cellStyle name="40% - Accent5 2 2 5" xfId="1165" xr:uid="{00000000-0005-0000-0000-00008C040000}"/>
    <cellStyle name="40% - Accent5 2 20" xfId="1166" xr:uid="{00000000-0005-0000-0000-00008D040000}"/>
    <cellStyle name="40% - Accent5 2 3" xfId="1167" xr:uid="{00000000-0005-0000-0000-00008E040000}"/>
    <cellStyle name="40% - Accent5 2 3 2" xfId="1168" xr:uid="{00000000-0005-0000-0000-00008F040000}"/>
    <cellStyle name="40% - Accent5 2 4" xfId="1169" xr:uid="{00000000-0005-0000-0000-000090040000}"/>
    <cellStyle name="40% - Accent5 2 4 2" xfId="1170" xr:uid="{00000000-0005-0000-0000-000091040000}"/>
    <cellStyle name="40% - Accent5 2 5" xfId="1171" xr:uid="{00000000-0005-0000-0000-000092040000}"/>
    <cellStyle name="40% - Accent5 2 5 2" xfId="1172" xr:uid="{00000000-0005-0000-0000-000093040000}"/>
    <cellStyle name="40% - Accent5 2 6" xfId="1173" xr:uid="{00000000-0005-0000-0000-000094040000}"/>
    <cellStyle name="40% - Accent5 2 6 2" xfId="1174" xr:uid="{00000000-0005-0000-0000-000095040000}"/>
    <cellStyle name="40% - Accent5 2 7" xfId="1175" xr:uid="{00000000-0005-0000-0000-000096040000}"/>
    <cellStyle name="40% - Accent5 2 7 2" xfId="1176" xr:uid="{00000000-0005-0000-0000-000097040000}"/>
    <cellStyle name="40% - Accent5 2 8" xfId="1177" xr:uid="{00000000-0005-0000-0000-000098040000}"/>
    <cellStyle name="40% - Accent5 2 8 2" xfId="1178" xr:uid="{00000000-0005-0000-0000-000099040000}"/>
    <cellStyle name="40% - Accent5 2 9" xfId="1179" xr:uid="{00000000-0005-0000-0000-00009A040000}"/>
    <cellStyle name="40% - Accent5 2 9 2" xfId="1180" xr:uid="{00000000-0005-0000-0000-00009B040000}"/>
    <cellStyle name="40% - Accent5 3 10" xfId="1181" xr:uid="{00000000-0005-0000-0000-00009C040000}"/>
    <cellStyle name="40% - Accent5 3 10 2" xfId="1182" xr:uid="{00000000-0005-0000-0000-00009D040000}"/>
    <cellStyle name="40% - Accent5 3 11" xfId="1183" xr:uid="{00000000-0005-0000-0000-00009E040000}"/>
    <cellStyle name="40% - Accent5 3 11 2" xfId="1184" xr:uid="{00000000-0005-0000-0000-00009F040000}"/>
    <cellStyle name="40% - Accent5 3 12" xfId="1185" xr:uid="{00000000-0005-0000-0000-0000A0040000}"/>
    <cellStyle name="40% - Accent5 3 12 2" xfId="1186" xr:uid="{00000000-0005-0000-0000-0000A1040000}"/>
    <cellStyle name="40% - Accent5 3 13" xfId="1187" xr:uid="{00000000-0005-0000-0000-0000A2040000}"/>
    <cellStyle name="40% - Accent5 3 13 2" xfId="1188" xr:uid="{00000000-0005-0000-0000-0000A3040000}"/>
    <cellStyle name="40% - Accent5 3 14" xfId="1189" xr:uid="{00000000-0005-0000-0000-0000A4040000}"/>
    <cellStyle name="40% - Accent5 3 14 2" xfId="1190" xr:uid="{00000000-0005-0000-0000-0000A5040000}"/>
    <cellStyle name="40% - Accent5 3 15" xfId="1191" xr:uid="{00000000-0005-0000-0000-0000A6040000}"/>
    <cellStyle name="40% - Accent5 3 15 2" xfId="1192" xr:uid="{00000000-0005-0000-0000-0000A7040000}"/>
    <cellStyle name="40% - Accent5 3 16" xfId="1193" xr:uid="{00000000-0005-0000-0000-0000A8040000}"/>
    <cellStyle name="40% - Accent5 3 16 2" xfId="1194" xr:uid="{00000000-0005-0000-0000-0000A9040000}"/>
    <cellStyle name="40% - Accent5 3 17" xfId="1195" xr:uid="{00000000-0005-0000-0000-0000AA040000}"/>
    <cellStyle name="40% - Accent5 3 17 2" xfId="1196" xr:uid="{00000000-0005-0000-0000-0000AB040000}"/>
    <cellStyle name="40% - Accent5 3 2" xfId="1197" xr:uid="{00000000-0005-0000-0000-0000AC040000}"/>
    <cellStyle name="40% - Accent5 3 2 2" xfId="1198" xr:uid="{00000000-0005-0000-0000-0000AD040000}"/>
    <cellStyle name="40% - Accent5 3 3" xfId="1199" xr:uid="{00000000-0005-0000-0000-0000AE040000}"/>
    <cellStyle name="40% - Accent5 3 3 2" xfId="1200" xr:uid="{00000000-0005-0000-0000-0000AF040000}"/>
    <cellStyle name="40% - Accent5 3 4" xfId="1201" xr:uid="{00000000-0005-0000-0000-0000B0040000}"/>
    <cellStyle name="40% - Accent5 3 4 2" xfId="1202" xr:uid="{00000000-0005-0000-0000-0000B1040000}"/>
    <cellStyle name="40% - Accent5 3 5" xfId="1203" xr:uid="{00000000-0005-0000-0000-0000B2040000}"/>
    <cellStyle name="40% - Accent5 3 5 2" xfId="1204" xr:uid="{00000000-0005-0000-0000-0000B3040000}"/>
    <cellStyle name="40% - Accent5 3 6" xfId="1205" xr:uid="{00000000-0005-0000-0000-0000B4040000}"/>
    <cellStyle name="40% - Accent5 3 6 2" xfId="1206" xr:uid="{00000000-0005-0000-0000-0000B5040000}"/>
    <cellStyle name="40% - Accent5 3 7" xfId="1207" xr:uid="{00000000-0005-0000-0000-0000B6040000}"/>
    <cellStyle name="40% - Accent5 3 7 2" xfId="1208" xr:uid="{00000000-0005-0000-0000-0000B7040000}"/>
    <cellStyle name="40% - Accent5 3 8" xfId="1209" xr:uid="{00000000-0005-0000-0000-0000B8040000}"/>
    <cellStyle name="40% - Accent5 3 8 2" xfId="1210" xr:uid="{00000000-0005-0000-0000-0000B9040000}"/>
    <cellStyle name="40% - Accent5 3 9" xfId="1211" xr:uid="{00000000-0005-0000-0000-0000BA040000}"/>
    <cellStyle name="40% - Accent5 3 9 2" xfId="1212" xr:uid="{00000000-0005-0000-0000-0000BB040000}"/>
    <cellStyle name="40% - Accent6 2" xfId="1213" xr:uid="{00000000-0005-0000-0000-0000BC040000}"/>
    <cellStyle name="40% - Accent6 2 10" xfId="1214" xr:uid="{00000000-0005-0000-0000-0000BD040000}"/>
    <cellStyle name="40% - Accent6 2 10 2" xfId="1215" xr:uid="{00000000-0005-0000-0000-0000BE040000}"/>
    <cellStyle name="40% - Accent6 2 11" xfId="1216" xr:uid="{00000000-0005-0000-0000-0000BF040000}"/>
    <cellStyle name="40% - Accent6 2 11 2" xfId="1217" xr:uid="{00000000-0005-0000-0000-0000C0040000}"/>
    <cellStyle name="40% - Accent6 2 12" xfId="1218" xr:uid="{00000000-0005-0000-0000-0000C1040000}"/>
    <cellStyle name="40% - Accent6 2 12 2" xfId="1219" xr:uid="{00000000-0005-0000-0000-0000C2040000}"/>
    <cellStyle name="40% - Accent6 2 13" xfId="1220" xr:uid="{00000000-0005-0000-0000-0000C3040000}"/>
    <cellStyle name="40% - Accent6 2 13 2" xfId="1221" xr:uid="{00000000-0005-0000-0000-0000C4040000}"/>
    <cellStyle name="40% - Accent6 2 14" xfId="1222" xr:uid="{00000000-0005-0000-0000-0000C5040000}"/>
    <cellStyle name="40% - Accent6 2 14 2" xfId="1223" xr:uid="{00000000-0005-0000-0000-0000C6040000}"/>
    <cellStyle name="40% - Accent6 2 15" xfId="1224" xr:uid="{00000000-0005-0000-0000-0000C7040000}"/>
    <cellStyle name="40% - Accent6 2 15 2" xfId="1225" xr:uid="{00000000-0005-0000-0000-0000C8040000}"/>
    <cellStyle name="40% - Accent6 2 16" xfId="1226" xr:uid="{00000000-0005-0000-0000-0000C9040000}"/>
    <cellStyle name="40% - Accent6 2 16 2" xfId="1227" xr:uid="{00000000-0005-0000-0000-0000CA040000}"/>
    <cellStyle name="40% - Accent6 2 17" xfId="1228" xr:uid="{00000000-0005-0000-0000-0000CB040000}"/>
    <cellStyle name="40% - Accent6 2 17 2" xfId="1229" xr:uid="{00000000-0005-0000-0000-0000CC040000}"/>
    <cellStyle name="40% - Accent6 2 18" xfId="1230" xr:uid="{00000000-0005-0000-0000-0000CD040000}"/>
    <cellStyle name="40% - Accent6 2 18 2" xfId="1231" xr:uid="{00000000-0005-0000-0000-0000CE040000}"/>
    <cellStyle name="40% - Accent6 2 19" xfId="1232" xr:uid="{00000000-0005-0000-0000-0000CF040000}"/>
    <cellStyle name="40% - Accent6 2 2" xfId="1233" xr:uid="{00000000-0005-0000-0000-0000D0040000}"/>
    <cellStyle name="40% - Accent6 2 2 2" xfId="1234" xr:uid="{00000000-0005-0000-0000-0000D1040000}"/>
    <cellStyle name="40% - Accent6 2 2 3" xfId="1235" xr:uid="{00000000-0005-0000-0000-0000D2040000}"/>
    <cellStyle name="40% - Accent6 2 2 4" xfId="1236" xr:uid="{00000000-0005-0000-0000-0000D3040000}"/>
    <cellStyle name="40% - Accent6 2 2 5" xfId="1237" xr:uid="{00000000-0005-0000-0000-0000D4040000}"/>
    <cellStyle name="40% - Accent6 2 20" xfId="1238" xr:uid="{00000000-0005-0000-0000-0000D5040000}"/>
    <cellStyle name="40% - Accent6 2 3" xfId="1239" xr:uid="{00000000-0005-0000-0000-0000D6040000}"/>
    <cellStyle name="40% - Accent6 2 3 2" xfId="1240" xr:uid="{00000000-0005-0000-0000-0000D7040000}"/>
    <cellStyle name="40% - Accent6 2 4" xfId="1241" xr:uid="{00000000-0005-0000-0000-0000D8040000}"/>
    <cellStyle name="40% - Accent6 2 4 2" xfId="1242" xr:uid="{00000000-0005-0000-0000-0000D9040000}"/>
    <cellStyle name="40% - Accent6 2 5" xfId="1243" xr:uid="{00000000-0005-0000-0000-0000DA040000}"/>
    <cellStyle name="40% - Accent6 2 5 2" xfId="1244" xr:uid="{00000000-0005-0000-0000-0000DB040000}"/>
    <cellStyle name="40% - Accent6 2 6" xfId="1245" xr:uid="{00000000-0005-0000-0000-0000DC040000}"/>
    <cellStyle name="40% - Accent6 2 6 2" xfId="1246" xr:uid="{00000000-0005-0000-0000-0000DD040000}"/>
    <cellStyle name="40% - Accent6 2 7" xfId="1247" xr:uid="{00000000-0005-0000-0000-0000DE040000}"/>
    <cellStyle name="40% - Accent6 2 7 2" xfId="1248" xr:uid="{00000000-0005-0000-0000-0000DF040000}"/>
    <cellStyle name="40% - Accent6 2 8" xfId="1249" xr:uid="{00000000-0005-0000-0000-0000E0040000}"/>
    <cellStyle name="40% - Accent6 2 8 2" xfId="1250" xr:uid="{00000000-0005-0000-0000-0000E1040000}"/>
    <cellStyle name="40% - Accent6 2 9" xfId="1251" xr:uid="{00000000-0005-0000-0000-0000E2040000}"/>
    <cellStyle name="40% - Accent6 2 9 2" xfId="1252" xr:uid="{00000000-0005-0000-0000-0000E3040000}"/>
    <cellStyle name="40% - Accent6 3 10" xfId="1253" xr:uid="{00000000-0005-0000-0000-0000E4040000}"/>
    <cellStyle name="40% - Accent6 3 10 2" xfId="1254" xr:uid="{00000000-0005-0000-0000-0000E5040000}"/>
    <cellStyle name="40% - Accent6 3 11" xfId="1255" xr:uid="{00000000-0005-0000-0000-0000E6040000}"/>
    <cellStyle name="40% - Accent6 3 11 2" xfId="1256" xr:uid="{00000000-0005-0000-0000-0000E7040000}"/>
    <cellStyle name="40% - Accent6 3 12" xfId="1257" xr:uid="{00000000-0005-0000-0000-0000E8040000}"/>
    <cellStyle name="40% - Accent6 3 12 2" xfId="1258" xr:uid="{00000000-0005-0000-0000-0000E9040000}"/>
    <cellStyle name="40% - Accent6 3 13" xfId="1259" xr:uid="{00000000-0005-0000-0000-0000EA040000}"/>
    <cellStyle name="40% - Accent6 3 13 2" xfId="1260" xr:uid="{00000000-0005-0000-0000-0000EB040000}"/>
    <cellStyle name="40% - Accent6 3 14" xfId="1261" xr:uid="{00000000-0005-0000-0000-0000EC040000}"/>
    <cellStyle name="40% - Accent6 3 14 2" xfId="1262" xr:uid="{00000000-0005-0000-0000-0000ED040000}"/>
    <cellStyle name="40% - Accent6 3 15" xfId="1263" xr:uid="{00000000-0005-0000-0000-0000EE040000}"/>
    <cellStyle name="40% - Accent6 3 15 2" xfId="1264" xr:uid="{00000000-0005-0000-0000-0000EF040000}"/>
    <cellStyle name="40% - Accent6 3 16" xfId="1265" xr:uid="{00000000-0005-0000-0000-0000F0040000}"/>
    <cellStyle name="40% - Accent6 3 16 2" xfId="1266" xr:uid="{00000000-0005-0000-0000-0000F1040000}"/>
    <cellStyle name="40% - Accent6 3 17" xfId="1267" xr:uid="{00000000-0005-0000-0000-0000F2040000}"/>
    <cellStyle name="40% - Accent6 3 17 2" xfId="1268" xr:uid="{00000000-0005-0000-0000-0000F3040000}"/>
    <cellStyle name="40% - Accent6 3 2" xfId="1269" xr:uid="{00000000-0005-0000-0000-0000F4040000}"/>
    <cellStyle name="40% - Accent6 3 2 2" xfId="1270" xr:uid="{00000000-0005-0000-0000-0000F5040000}"/>
    <cellStyle name="40% - Accent6 3 3" xfId="1271" xr:uid="{00000000-0005-0000-0000-0000F6040000}"/>
    <cellStyle name="40% - Accent6 3 3 2" xfId="1272" xr:uid="{00000000-0005-0000-0000-0000F7040000}"/>
    <cellStyle name="40% - Accent6 3 4" xfId="1273" xr:uid="{00000000-0005-0000-0000-0000F8040000}"/>
    <cellStyle name="40% - Accent6 3 4 2" xfId="1274" xr:uid="{00000000-0005-0000-0000-0000F9040000}"/>
    <cellStyle name="40% - Accent6 3 5" xfId="1275" xr:uid="{00000000-0005-0000-0000-0000FA040000}"/>
    <cellStyle name="40% - Accent6 3 5 2" xfId="1276" xr:uid="{00000000-0005-0000-0000-0000FB040000}"/>
    <cellStyle name="40% - Accent6 3 6" xfId="1277" xr:uid="{00000000-0005-0000-0000-0000FC040000}"/>
    <cellStyle name="40% - Accent6 3 6 2" xfId="1278" xr:uid="{00000000-0005-0000-0000-0000FD040000}"/>
    <cellStyle name="40% - Accent6 3 7" xfId="1279" xr:uid="{00000000-0005-0000-0000-0000FE040000}"/>
    <cellStyle name="40% - Accent6 3 7 2" xfId="1280" xr:uid="{00000000-0005-0000-0000-0000FF040000}"/>
    <cellStyle name="40% - Accent6 3 8" xfId="1281" xr:uid="{00000000-0005-0000-0000-000000050000}"/>
    <cellStyle name="40% - Accent6 3 8 2" xfId="1282" xr:uid="{00000000-0005-0000-0000-000001050000}"/>
    <cellStyle name="40% - Accent6 3 9" xfId="1283" xr:uid="{00000000-0005-0000-0000-000002050000}"/>
    <cellStyle name="40% - Accent6 3 9 2" xfId="1284" xr:uid="{00000000-0005-0000-0000-000003050000}"/>
    <cellStyle name="40% - Colore 1" xfId="1285" xr:uid="{00000000-0005-0000-0000-000004050000}"/>
    <cellStyle name="40% - Colore 1 2" xfId="1286" xr:uid="{00000000-0005-0000-0000-000005050000}"/>
    <cellStyle name="40% - Colore 1 2 2" xfId="1287" xr:uid="{00000000-0005-0000-0000-000006050000}"/>
    <cellStyle name="40% - Colore 1 2 3" xfId="1288" xr:uid="{00000000-0005-0000-0000-000007050000}"/>
    <cellStyle name="40% - Colore 1 2 4" xfId="1289" xr:uid="{00000000-0005-0000-0000-000008050000}"/>
    <cellStyle name="40% - Colore 1 2 4 2" xfId="1290" xr:uid="{00000000-0005-0000-0000-000009050000}"/>
    <cellStyle name="40% - Colore 1 2 5" xfId="1291" xr:uid="{00000000-0005-0000-0000-00000A050000}"/>
    <cellStyle name="40% - Colore 1 3" xfId="1292" xr:uid="{00000000-0005-0000-0000-00000B050000}"/>
    <cellStyle name="40% - Colore 1 3 2" xfId="1293" xr:uid="{00000000-0005-0000-0000-00000C050000}"/>
    <cellStyle name="40% - Colore 1 3 2 2" xfId="1294" xr:uid="{00000000-0005-0000-0000-00000D050000}"/>
    <cellStyle name="40% - Colore 1 3 3" xfId="1295" xr:uid="{00000000-0005-0000-0000-00000E050000}"/>
    <cellStyle name="40% - Colore 1 3 4" xfId="1296" xr:uid="{00000000-0005-0000-0000-00000F050000}"/>
    <cellStyle name="40% - Colore 1 3 4 2" xfId="1297" xr:uid="{00000000-0005-0000-0000-000010050000}"/>
    <cellStyle name="40% - Colore 1 3 5" xfId="1298" xr:uid="{00000000-0005-0000-0000-000011050000}"/>
    <cellStyle name="40% - Colore 1 4" xfId="1299" xr:uid="{00000000-0005-0000-0000-000012050000}"/>
    <cellStyle name="40% - Colore 1 4 2" xfId="1300" xr:uid="{00000000-0005-0000-0000-000013050000}"/>
    <cellStyle name="40% - Colore 1 5" xfId="1301" xr:uid="{00000000-0005-0000-0000-000014050000}"/>
    <cellStyle name="40% - Colore 1 6" xfId="1302" xr:uid="{00000000-0005-0000-0000-000015050000}"/>
    <cellStyle name="40% - Colore 1 7" xfId="1303" xr:uid="{00000000-0005-0000-0000-000016050000}"/>
    <cellStyle name="40% - Colore 1 8" xfId="1304" xr:uid="{00000000-0005-0000-0000-000017050000}"/>
    <cellStyle name="40% - Colore 1 8 2" xfId="1305" xr:uid="{00000000-0005-0000-0000-000018050000}"/>
    <cellStyle name="40% - Colore 1 9" xfId="1306" xr:uid="{00000000-0005-0000-0000-000019050000}"/>
    <cellStyle name="40% - Colore 2" xfId="1307" xr:uid="{00000000-0005-0000-0000-00001A050000}"/>
    <cellStyle name="40% - Colore 2 2" xfId="1308" xr:uid="{00000000-0005-0000-0000-00001B050000}"/>
    <cellStyle name="40% - Colore 2 2 2" xfId="1309" xr:uid="{00000000-0005-0000-0000-00001C050000}"/>
    <cellStyle name="40% - Colore 2 2 3" xfId="1310" xr:uid="{00000000-0005-0000-0000-00001D050000}"/>
    <cellStyle name="40% - Colore 2 2 4" xfId="1311" xr:uid="{00000000-0005-0000-0000-00001E050000}"/>
    <cellStyle name="40% - Colore 2 2 4 2" xfId="1312" xr:uid="{00000000-0005-0000-0000-00001F050000}"/>
    <cellStyle name="40% - Colore 2 2 5" xfId="1313" xr:uid="{00000000-0005-0000-0000-000020050000}"/>
    <cellStyle name="40% - Colore 2 3" xfId="1314" xr:uid="{00000000-0005-0000-0000-000021050000}"/>
    <cellStyle name="40% - Colore 2 3 2" xfId="1315" xr:uid="{00000000-0005-0000-0000-000022050000}"/>
    <cellStyle name="40% - Colore 2 3 2 2" xfId="1316" xr:uid="{00000000-0005-0000-0000-000023050000}"/>
    <cellStyle name="40% - Colore 2 3 3" xfId="1317" xr:uid="{00000000-0005-0000-0000-000024050000}"/>
    <cellStyle name="40% - Colore 2 3 4" xfId="1318" xr:uid="{00000000-0005-0000-0000-000025050000}"/>
    <cellStyle name="40% - Colore 2 3 4 2" xfId="1319" xr:uid="{00000000-0005-0000-0000-000026050000}"/>
    <cellStyle name="40% - Colore 2 3 5" xfId="1320" xr:uid="{00000000-0005-0000-0000-000027050000}"/>
    <cellStyle name="40% - Colore 2 4" xfId="1321" xr:uid="{00000000-0005-0000-0000-000028050000}"/>
    <cellStyle name="40% - Colore 2 4 2" xfId="1322" xr:uid="{00000000-0005-0000-0000-000029050000}"/>
    <cellStyle name="40% - Colore 2 5" xfId="1323" xr:uid="{00000000-0005-0000-0000-00002A050000}"/>
    <cellStyle name="40% - Colore 2 6" xfId="1324" xr:uid="{00000000-0005-0000-0000-00002B050000}"/>
    <cellStyle name="40% - Colore 2 7" xfId="1325" xr:uid="{00000000-0005-0000-0000-00002C050000}"/>
    <cellStyle name="40% - Colore 2 8" xfId="1326" xr:uid="{00000000-0005-0000-0000-00002D050000}"/>
    <cellStyle name="40% - Colore 2 8 2" xfId="1327" xr:uid="{00000000-0005-0000-0000-00002E050000}"/>
    <cellStyle name="40% - Colore 2 9" xfId="1328" xr:uid="{00000000-0005-0000-0000-00002F050000}"/>
    <cellStyle name="40% - Colore 3" xfId="1329" xr:uid="{00000000-0005-0000-0000-000030050000}"/>
    <cellStyle name="40% - Colore 3 10" xfId="1330" xr:uid="{00000000-0005-0000-0000-000031050000}"/>
    <cellStyle name="40% - Colore 3 10 2" xfId="1331" xr:uid="{00000000-0005-0000-0000-000032050000}"/>
    <cellStyle name="40% - Colore 3 10 3" xfId="1332" xr:uid="{00000000-0005-0000-0000-000033050000}"/>
    <cellStyle name="40% - Colore 3 10 4" xfId="1333" xr:uid="{00000000-0005-0000-0000-000034050000}"/>
    <cellStyle name="40% - Colore 3 10 4 2" xfId="1334" xr:uid="{00000000-0005-0000-0000-000035050000}"/>
    <cellStyle name="40% - Colore 3 10 5" xfId="1335" xr:uid="{00000000-0005-0000-0000-000036050000}"/>
    <cellStyle name="40% - Colore 3 11" xfId="1336" xr:uid="{00000000-0005-0000-0000-000037050000}"/>
    <cellStyle name="40% - Colore 3 11 2" xfId="1337" xr:uid="{00000000-0005-0000-0000-000038050000}"/>
    <cellStyle name="40% - Colore 3 11 3" xfId="1338" xr:uid="{00000000-0005-0000-0000-000039050000}"/>
    <cellStyle name="40% - Colore 3 11 4" xfId="1339" xr:uid="{00000000-0005-0000-0000-00003A050000}"/>
    <cellStyle name="40% - Colore 3 11 4 2" xfId="1340" xr:uid="{00000000-0005-0000-0000-00003B050000}"/>
    <cellStyle name="40% - Colore 3 11 5" xfId="1341" xr:uid="{00000000-0005-0000-0000-00003C050000}"/>
    <cellStyle name="40% - Colore 3 12" xfId="1342" xr:uid="{00000000-0005-0000-0000-00003D050000}"/>
    <cellStyle name="40% - Colore 3 12 2" xfId="1343" xr:uid="{00000000-0005-0000-0000-00003E050000}"/>
    <cellStyle name="40% - Colore 3 12 3" xfId="1344" xr:uid="{00000000-0005-0000-0000-00003F050000}"/>
    <cellStyle name="40% - Colore 3 12 4" xfId="1345" xr:uid="{00000000-0005-0000-0000-000040050000}"/>
    <cellStyle name="40% - Colore 3 12 4 2" xfId="1346" xr:uid="{00000000-0005-0000-0000-000041050000}"/>
    <cellStyle name="40% - Colore 3 12 5" xfId="1347" xr:uid="{00000000-0005-0000-0000-000042050000}"/>
    <cellStyle name="40% - Colore 3 13" xfId="1348" xr:uid="{00000000-0005-0000-0000-000043050000}"/>
    <cellStyle name="40% - Colore 3 13 2" xfId="1349" xr:uid="{00000000-0005-0000-0000-000044050000}"/>
    <cellStyle name="40% - Colore 3 13 3" xfId="1350" xr:uid="{00000000-0005-0000-0000-000045050000}"/>
    <cellStyle name="40% - Colore 3 13 4" xfId="1351" xr:uid="{00000000-0005-0000-0000-000046050000}"/>
    <cellStyle name="40% - Colore 3 13 4 2" xfId="1352" xr:uid="{00000000-0005-0000-0000-000047050000}"/>
    <cellStyle name="40% - Colore 3 13 5" xfId="1353" xr:uid="{00000000-0005-0000-0000-000048050000}"/>
    <cellStyle name="40% - Colore 3 14" xfId="1354" xr:uid="{00000000-0005-0000-0000-000049050000}"/>
    <cellStyle name="40% - Colore 3 14 2" xfId="1355" xr:uid="{00000000-0005-0000-0000-00004A050000}"/>
    <cellStyle name="40% - Colore 3 14 3" xfId="1356" xr:uid="{00000000-0005-0000-0000-00004B050000}"/>
    <cellStyle name="40% - Colore 3 14 4" xfId="1357" xr:uid="{00000000-0005-0000-0000-00004C050000}"/>
    <cellStyle name="40% - Colore 3 14 4 2" xfId="1358" xr:uid="{00000000-0005-0000-0000-00004D050000}"/>
    <cellStyle name="40% - Colore 3 14 5" xfId="1359" xr:uid="{00000000-0005-0000-0000-00004E050000}"/>
    <cellStyle name="40% - Colore 3 15" xfId="1360" xr:uid="{00000000-0005-0000-0000-00004F050000}"/>
    <cellStyle name="40% - Colore 3 15 2" xfId="1361" xr:uid="{00000000-0005-0000-0000-000050050000}"/>
    <cellStyle name="40% - Colore 3 15 2 2" xfId="1362" xr:uid="{00000000-0005-0000-0000-000051050000}"/>
    <cellStyle name="40% - Colore 3 15 3" xfId="1363" xr:uid="{00000000-0005-0000-0000-000052050000}"/>
    <cellStyle name="40% - Colore 3 15 4" xfId="1364" xr:uid="{00000000-0005-0000-0000-000053050000}"/>
    <cellStyle name="40% - Colore 3 15 4 2" xfId="1365" xr:uid="{00000000-0005-0000-0000-000054050000}"/>
    <cellStyle name="40% - Colore 3 15 5" xfId="1366" xr:uid="{00000000-0005-0000-0000-000055050000}"/>
    <cellStyle name="40% - Colore 3 16" xfId="1367" xr:uid="{00000000-0005-0000-0000-000056050000}"/>
    <cellStyle name="40% - Colore 3 16 2" xfId="1368" xr:uid="{00000000-0005-0000-0000-000057050000}"/>
    <cellStyle name="40% - Colore 3 17" xfId="1369" xr:uid="{00000000-0005-0000-0000-000058050000}"/>
    <cellStyle name="40% - Colore 3 18" xfId="1370" xr:uid="{00000000-0005-0000-0000-000059050000}"/>
    <cellStyle name="40% - Colore 3 19" xfId="1371" xr:uid="{00000000-0005-0000-0000-00005A050000}"/>
    <cellStyle name="40% - Colore 3 2" xfId="1372" xr:uid="{00000000-0005-0000-0000-00005B050000}"/>
    <cellStyle name="40% - Colore 3 2 2" xfId="1373" xr:uid="{00000000-0005-0000-0000-00005C050000}"/>
    <cellStyle name="40% - Colore 3 2 3" xfId="1374" xr:uid="{00000000-0005-0000-0000-00005D050000}"/>
    <cellStyle name="40% - Colore 3 2 4" xfId="1375" xr:uid="{00000000-0005-0000-0000-00005E050000}"/>
    <cellStyle name="40% - Colore 3 2 4 2" xfId="1376" xr:uid="{00000000-0005-0000-0000-00005F050000}"/>
    <cellStyle name="40% - Colore 3 2 5" xfId="1377" xr:uid="{00000000-0005-0000-0000-000060050000}"/>
    <cellStyle name="40% - Colore 3 20" xfId="1378" xr:uid="{00000000-0005-0000-0000-000061050000}"/>
    <cellStyle name="40% - Colore 3 20 2" xfId="1379" xr:uid="{00000000-0005-0000-0000-000062050000}"/>
    <cellStyle name="40% - Colore 3 21" xfId="1380" xr:uid="{00000000-0005-0000-0000-000063050000}"/>
    <cellStyle name="40% - Colore 3 3" xfId="1381" xr:uid="{00000000-0005-0000-0000-000064050000}"/>
    <cellStyle name="40% - Colore 3 3 2" xfId="1382" xr:uid="{00000000-0005-0000-0000-000065050000}"/>
    <cellStyle name="40% - Colore 3 3 3" xfId="1383" xr:uid="{00000000-0005-0000-0000-000066050000}"/>
    <cellStyle name="40% - Colore 3 3 4" xfId="1384" xr:uid="{00000000-0005-0000-0000-000067050000}"/>
    <cellStyle name="40% - Colore 3 3 4 2" xfId="1385" xr:uid="{00000000-0005-0000-0000-000068050000}"/>
    <cellStyle name="40% - Colore 3 3 5" xfId="1386" xr:uid="{00000000-0005-0000-0000-000069050000}"/>
    <cellStyle name="40% - Colore 3 4" xfId="1387" xr:uid="{00000000-0005-0000-0000-00006A050000}"/>
    <cellStyle name="40% - Colore 3 4 2" xfId="1388" xr:uid="{00000000-0005-0000-0000-00006B050000}"/>
    <cellStyle name="40% - Colore 3 4 3" xfId="1389" xr:uid="{00000000-0005-0000-0000-00006C050000}"/>
    <cellStyle name="40% - Colore 3 4 4" xfId="1390" xr:uid="{00000000-0005-0000-0000-00006D050000}"/>
    <cellStyle name="40% - Colore 3 4 4 2" xfId="1391" xr:uid="{00000000-0005-0000-0000-00006E050000}"/>
    <cellStyle name="40% - Colore 3 4 5" xfId="1392" xr:uid="{00000000-0005-0000-0000-00006F050000}"/>
    <cellStyle name="40% - Colore 3 5" xfId="1393" xr:uid="{00000000-0005-0000-0000-000070050000}"/>
    <cellStyle name="40% - Colore 3 5 2" xfId="1394" xr:uid="{00000000-0005-0000-0000-000071050000}"/>
    <cellStyle name="40% - Colore 3 5 3" xfId="1395" xr:uid="{00000000-0005-0000-0000-000072050000}"/>
    <cellStyle name="40% - Colore 3 5 4" xfId="1396" xr:uid="{00000000-0005-0000-0000-000073050000}"/>
    <cellStyle name="40% - Colore 3 5 4 2" xfId="1397" xr:uid="{00000000-0005-0000-0000-000074050000}"/>
    <cellStyle name="40% - Colore 3 5 5" xfId="1398" xr:uid="{00000000-0005-0000-0000-000075050000}"/>
    <cellStyle name="40% - Colore 3 6" xfId="1399" xr:uid="{00000000-0005-0000-0000-000076050000}"/>
    <cellStyle name="40% - Colore 3 6 2" xfId="1400" xr:uid="{00000000-0005-0000-0000-000077050000}"/>
    <cellStyle name="40% - Colore 3 6 3" xfId="1401" xr:uid="{00000000-0005-0000-0000-000078050000}"/>
    <cellStyle name="40% - Colore 3 6 4" xfId="1402" xr:uid="{00000000-0005-0000-0000-000079050000}"/>
    <cellStyle name="40% - Colore 3 6 4 2" xfId="1403" xr:uid="{00000000-0005-0000-0000-00007A050000}"/>
    <cellStyle name="40% - Colore 3 6 5" xfId="1404" xr:uid="{00000000-0005-0000-0000-00007B050000}"/>
    <cellStyle name="40% - Colore 3 7" xfId="1405" xr:uid="{00000000-0005-0000-0000-00007C050000}"/>
    <cellStyle name="40% - Colore 3 7 2" xfId="1406" xr:uid="{00000000-0005-0000-0000-00007D050000}"/>
    <cellStyle name="40% - Colore 3 7 3" xfId="1407" xr:uid="{00000000-0005-0000-0000-00007E050000}"/>
    <cellStyle name="40% - Colore 3 7 4" xfId="1408" xr:uid="{00000000-0005-0000-0000-00007F050000}"/>
    <cellStyle name="40% - Colore 3 7 4 2" xfId="1409" xr:uid="{00000000-0005-0000-0000-000080050000}"/>
    <cellStyle name="40% - Colore 3 7 5" xfId="1410" xr:uid="{00000000-0005-0000-0000-000081050000}"/>
    <cellStyle name="40% - Colore 3 8" xfId="1411" xr:uid="{00000000-0005-0000-0000-000082050000}"/>
    <cellStyle name="40% - Colore 3 8 2" xfId="1412" xr:uid="{00000000-0005-0000-0000-000083050000}"/>
    <cellStyle name="40% - Colore 3 8 3" xfId="1413" xr:uid="{00000000-0005-0000-0000-000084050000}"/>
    <cellStyle name="40% - Colore 3 8 4" xfId="1414" xr:uid="{00000000-0005-0000-0000-000085050000}"/>
    <cellStyle name="40% - Colore 3 8 4 2" xfId="1415" xr:uid="{00000000-0005-0000-0000-000086050000}"/>
    <cellStyle name="40% - Colore 3 8 5" xfId="1416" xr:uid="{00000000-0005-0000-0000-000087050000}"/>
    <cellStyle name="40% - Colore 3 9" xfId="1417" xr:uid="{00000000-0005-0000-0000-000088050000}"/>
    <cellStyle name="40% - Colore 3 9 2" xfId="1418" xr:uid="{00000000-0005-0000-0000-000089050000}"/>
    <cellStyle name="40% - Colore 3 9 3" xfId="1419" xr:uid="{00000000-0005-0000-0000-00008A050000}"/>
    <cellStyle name="40% - Colore 3 9 4" xfId="1420" xr:uid="{00000000-0005-0000-0000-00008B050000}"/>
    <cellStyle name="40% - Colore 3 9 4 2" xfId="1421" xr:uid="{00000000-0005-0000-0000-00008C050000}"/>
    <cellStyle name="40% - Colore 3 9 5" xfId="1422" xr:uid="{00000000-0005-0000-0000-00008D050000}"/>
    <cellStyle name="40% - Colore 4" xfId="1423" xr:uid="{00000000-0005-0000-0000-00008E050000}"/>
    <cellStyle name="40% - Colore 4 2" xfId="1424" xr:uid="{00000000-0005-0000-0000-00008F050000}"/>
    <cellStyle name="40% - Colore 4 2 2" xfId="1425" xr:uid="{00000000-0005-0000-0000-000090050000}"/>
    <cellStyle name="40% - Colore 4 2 3" xfId="1426" xr:uid="{00000000-0005-0000-0000-000091050000}"/>
    <cellStyle name="40% - Colore 4 2 4" xfId="1427" xr:uid="{00000000-0005-0000-0000-000092050000}"/>
    <cellStyle name="40% - Colore 4 2 4 2" xfId="1428" xr:uid="{00000000-0005-0000-0000-000093050000}"/>
    <cellStyle name="40% - Colore 4 2 5" xfId="1429" xr:uid="{00000000-0005-0000-0000-000094050000}"/>
    <cellStyle name="40% - Colore 4 3" xfId="1430" xr:uid="{00000000-0005-0000-0000-000095050000}"/>
    <cellStyle name="40% - Colore 4 3 2" xfId="1431" xr:uid="{00000000-0005-0000-0000-000096050000}"/>
    <cellStyle name="40% - Colore 4 3 2 2" xfId="1432" xr:uid="{00000000-0005-0000-0000-000097050000}"/>
    <cellStyle name="40% - Colore 4 3 3" xfId="1433" xr:uid="{00000000-0005-0000-0000-000098050000}"/>
    <cellStyle name="40% - Colore 4 3 4" xfId="1434" xr:uid="{00000000-0005-0000-0000-000099050000}"/>
    <cellStyle name="40% - Colore 4 3 4 2" xfId="1435" xr:uid="{00000000-0005-0000-0000-00009A050000}"/>
    <cellStyle name="40% - Colore 4 3 5" xfId="1436" xr:uid="{00000000-0005-0000-0000-00009B050000}"/>
    <cellStyle name="40% - Colore 4 4" xfId="1437" xr:uid="{00000000-0005-0000-0000-00009C050000}"/>
    <cellStyle name="40% - Colore 4 4 2" xfId="1438" xr:uid="{00000000-0005-0000-0000-00009D050000}"/>
    <cellStyle name="40% - Colore 4 5" xfId="1439" xr:uid="{00000000-0005-0000-0000-00009E050000}"/>
    <cellStyle name="40% - Colore 4 6" xfId="1440" xr:uid="{00000000-0005-0000-0000-00009F050000}"/>
    <cellStyle name="40% - Colore 4 7" xfId="1441" xr:uid="{00000000-0005-0000-0000-0000A0050000}"/>
    <cellStyle name="40% - Colore 4 8" xfId="1442" xr:uid="{00000000-0005-0000-0000-0000A1050000}"/>
    <cellStyle name="40% - Colore 4 8 2" xfId="1443" xr:uid="{00000000-0005-0000-0000-0000A2050000}"/>
    <cellStyle name="40% - Colore 4 9" xfId="1444" xr:uid="{00000000-0005-0000-0000-0000A3050000}"/>
    <cellStyle name="40% - Colore 5" xfId="1445" xr:uid="{00000000-0005-0000-0000-0000A4050000}"/>
    <cellStyle name="40% - Colore 5 2" xfId="1446" xr:uid="{00000000-0005-0000-0000-0000A5050000}"/>
    <cellStyle name="40% - Colore 5 2 2" xfId="1447" xr:uid="{00000000-0005-0000-0000-0000A6050000}"/>
    <cellStyle name="40% - Colore 5 2 3" xfId="1448" xr:uid="{00000000-0005-0000-0000-0000A7050000}"/>
    <cellStyle name="40% - Colore 5 2 4" xfId="1449" xr:uid="{00000000-0005-0000-0000-0000A8050000}"/>
    <cellStyle name="40% - Colore 5 2 4 2" xfId="1450" xr:uid="{00000000-0005-0000-0000-0000A9050000}"/>
    <cellStyle name="40% - Colore 5 2 5" xfId="1451" xr:uid="{00000000-0005-0000-0000-0000AA050000}"/>
    <cellStyle name="40% - Colore 5 3" xfId="1452" xr:uid="{00000000-0005-0000-0000-0000AB050000}"/>
    <cellStyle name="40% - Colore 5 3 2" xfId="1453" xr:uid="{00000000-0005-0000-0000-0000AC050000}"/>
    <cellStyle name="40% - Colore 5 3 2 2" xfId="1454" xr:uid="{00000000-0005-0000-0000-0000AD050000}"/>
    <cellStyle name="40% - Colore 5 3 3" xfId="1455" xr:uid="{00000000-0005-0000-0000-0000AE050000}"/>
    <cellStyle name="40% - Colore 5 3 4" xfId="1456" xr:uid="{00000000-0005-0000-0000-0000AF050000}"/>
    <cellStyle name="40% - Colore 5 3 4 2" xfId="1457" xr:uid="{00000000-0005-0000-0000-0000B0050000}"/>
    <cellStyle name="40% - Colore 5 3 5" xfId="1458" xr:uid="{00000000-0005-0000-0000-0000B1050000}"/>
    <cellStyle name="40% - Colore 5 4" xfId="1459" xr:uid="{00000000-0005-0000-0000-0000B2050000}"/>
    <cellStyle name="40% - Colore 5 4 2" xfId="1460" xr:uid="{00000000-0005-0000-0000-0000B3050000}"/>
    <cellStyle name="40% - Colore 5 5" xfId="1461" xr:uid="{00000000-0005-0000-0000-0000B4050000}"/>
    <cellStyle name="40% - Colore 5 6" xfId="1462" xr:uid="{00000000-0005-0000-0000-0000B5050000}"/>
    <cellStyle name="40% - Colore 5 7" xfId="1463" xr:uid="{00000000-0005-0000-0000-0000B6050000}"/>
    <cellStyle name="40% - Colore 5 8" xfId="1464" xr:uid="{00000000-0005-0000-0000-0000B7050000}"/>
    <cellStyle name="40% - Colore 5 8 2" xfId="1465" xr:uid="{00000000-0005-0000-0000-0000B8050000}"/>
    <cellStyle name="40% - Colore 5 9" xfId="1466" xr:uid="{00000000-0005-0000-0000-0000B9050000}"/>
    <cellStyle name="40% - Colore 6" xfId="1467" xr:uid="{00000000-0005-0000-0000-0000BA050000}"/>
    <cellStyle name="40% - Colore 6 2" xfId="1468" xr:uid="{00000000-0005-0000-0000-0000BB050000}"/>
    <cellStyle name="40% - Colore 6 2 2" xfId="1469" xr:uid="{00000000-0005-0000-0000-0000BC050000}"/>
    <cellStyle name="40% - Colore 6 2 3" xfId="1470" xr:uid="{00000000-0005-0000-0000-0000BD050000}"/>
    <cellStyle name="40% - Colore 6 2 4" xfId="1471" xr:uid="{00000000-0005-0000-0000-0000BE050000}"/>
    <cellStyle name="40% - Colore 6 2 4 2" xfId="1472" xr:uid="{00000000-0005-0000-0000-0000BF050000}"/>
    <cellStyle name="40% - Colore 6 2 5" xfId="1473" xr:uid="{00000000-0005-0000-0000-0000C0050000}"/>
    <cellStyle name="40% - Colore 6 3" xfId="1474" xr:uid="{00000000-0005-0000-0000-0000C1050000}"/>
    <cellStyle name="40% - Colore 6 3 2" xfId="1475" xr:uid="{00000000-0005-0000-0000-0000C2050000}"/>
    <cellStyle name="40% - Colore 6 3 2 2" xfId="1476" xr:uid="{00000000-0005-0000-0000-0000C3050000}"/>
    <cellStyle name="40% - Colore 6 3 3" xfId="1477" xr:uid="{00000000-0005-0000-0000-0000C4050000}"/>
    <cellStyle name="40% - Colore 6 3 4" xfId="1478" xr:uid="{00000000-0005-0000-0000-0000C5050000}"/>
    <cellStyle name="40% - Colore 6 3 4 2" xfId="1479" xr:uid="{00000000-0005-0000-0000-0000C6050000}"/>
    <cellStyle name="40% - Colore 6 3 5" xfId="1480" xr:uid="{00000000-0005-0000-0000-0000C7050000}"/>
    <cellStyle name="40% - Colore 6 4" xfId="1481" xr:uid="{00000000-0005-0000-0000-0000C8050000}"/>
    <cellStyle name="40% - Colore 6 4 2" xfId="1482" xr:uid="{00000000-0005-0000-0000-0000C9050000}"/>
    <cellStyle name="40% - Colore 6 5" xfId="1483" xr:uid="{00000000-0005-0000-0000-0000CA050000}"/>
    <cellStyle name="40% - Colore 6 6" xfId="1484" xr:uid="{00000000-0005-0000-0000-0000CB050000}"/>
    <cellStyle name="40% - Colore 6 7" xfId="1485" xr:uid="{00000000-0005-0000-0000-0000CC050000}"/>
    <cellStyle name="40% - Colore 6 8" xfId="1486" xr:uid="{00000000-0005-0000-0000-0000CD050000}"/>
    <cellStyle name="40% - Colore 6 8 2" xfId="1487" xr:uid="{00000000-0005-0000-0000-0000CE050000}"/>
    <cellStyle name="40% - Colore 6 9" xfId="1488" xr:uid="{00000000-0005-0000-0000-0000CF050000}"/>
    <cellStyle name="60% - Accent1 2" xfId="1489" xr:uid="{00000000-0005-0000-0000-0000D0050000}"/>
    <cellStyle name="60% - Accent1 2 10" xfId="1490" xr:uid="{00000000-0005-0000-0000-0000D1050000}"/>
    <cellStyle name="60% - Accent1 2 11" xfId="1491" xr:uid="{00000000-0005-0000-0000-0000D2050000}"/>
    <cellStyle name="60% - Accent1 2 12" xfId="1492" xr:uid="{00000000-0005-0000-0000-0000D3050000}"/>
    <cellStyle name="60% - Accent1 2 13" xfId="1493" xr:uid="{00000000-0005-0000-0000-0000D4050000}"/>
    <cellStyle name="60% - Accent1 2 14" xfId="1494" xr:uid="{00000000-0005-0000-0000-0000D5050000}"/>
    <cellStyle name="60% - Accent1 2 15" xfId="1495" xr:uid="{00000000-0005-0000-0000-0000D6050000}"/>
    <cellStyle name="60% - Accent1 2 16" xfId="1496" xr:uid="{00000000-0005-0000-0000-0000D7050000}"/>
    <cellStyle name="60% - Accent1 2 17" xfId="1497" xr:uid="{00000000-0005-0000-0000-0000D8050000}"/>
    <cellStyle name="60% - Accent1 2 2" xfId="1498" xr:uid="{00000000-0005-0000-0000-0000D9050000}"/>
    <cellStyle name="60% - Accent1 2 3" xfId="1499" xr:uid="{00000000-0005-0000-0000-0000DA050000}"/>
    <cellStyle name="60% - Accent1 2 4" xfId="1500" xr:uid="{00000000-0005-0000-0000-0000DB050000}"/>
    <cellStyle name="60% - Accent1 2 5" xfId="1501" xr:uid="{00000000-0005-0000-0000-0000DC050000}"/>
    <cellStyle name="60% - Accent1 2 6" xfId="1502" xr:uid="{00000000-0005-0000-0000-0000DD050000}"/>
    <cellStyle name="60% - Accent1 2 7" xfId="1503" xr:uid="{00000000-0005-0000-0000-0000DE050000}"/>
    <cellStyle name="60% - Accent1 2 8" xfId="1504" xr:uid="{00000000-0005-0000-0000-0000DF050000}"/>
    <cellStyle name="60% - Accent1 2 9" xfId="1505" xr:uid="{00000000-0005-0000-0000-0000E0050000}"/>
    <cellStyle name="60% - Accent1 3 10" xfId="1506" xr:uid="{00000000-0005-0000-0000-0000E1050000}"/>
    <cellStyle name="60% - Accent1 3 11" xfId="1507" xr:uid="{00000000-0005-0000-0000-0000E2050000}"/>
    <cellStyle name="60% - Accent1 3 12" xfId="1508" xr:uid="{00000000-0005-0000-0000-0000E3050000}"/>
    <cellStyle name="60% - Accent1 3 13" xfId="1509" xr:uid="{00000000-0005-0000-0000-0000E4050000}"/>
    <cellStyle name="60% - Accent1 3 14" xfId="1510" xr:uid="{00000000-0005-0000-0000-0000E5050000}"/>
    <cellStyle name="60% - Accent1 3 15" xfId="1511" xr:uid="{00000000-0005-0000-0000-0000E6050000}"/>
    <cellStyle name="60% - Accent1 3 16" xfId="1512" xr:uid="{00000000-0005-0000-0000-0000E7050000}"/>
    <cellStyle name="60% - Accent1 3 17" xfId="1513" xr:uid="{00000000-0005-0000-0000-0000E8050000}"/>
    <cellStyle name="60% - Accent1 3 2" xfId="1514" xr:uid="{00000000-0005-0000-0000-0000E9050000}"/>
    <cellStyle name="60% - Accent1 3 3" xfId="1515" xr:uid="{00000000-0005-0000-0000-0000EA050000}"/>
    <cellStyle name="60% - Accent1 3 4" xfId="1516" xr:uid="{00000000-0005-0000-0000-0000EB050000}"/>
    <cellStyle name="60% - Accent1 3 5" xfId="1517" xr:uid="{00000000-0005-0000-0000-0000EC050000}"/>
    <cellStyle name="60% - Accent1 3 6" xfId="1518" xr:uid="{00000000-0005-0000-0000-0000ED050000}"/>
    <cellStyle name="60% - Accent1 3 7" xfId="1519" xr:uid="{00000000-0005-0000-0000-0000EE050000}"/>
    <cellStyle name="60% - Accent1 3 8" xfId="1520" xr:uid="{00000000-0005-0000-0000-0000EF050000}"/>
    <cellStyle name="60% - Accent1 3 9" xfId="1521" xr:uid="{00000000-0005-0000-0000-0000F0050000}"/>
    <cellStyle name="60% - Accent2 2" xfId="1522" xr:uid="{00000000-0005-0000-0000-0000F1050000}"/>
    <cellStyle name="60% - Accent2 2 10" xfId="1523" xr:uid="{00000000-0005-0000-0000-0000F2050000}"/>
    <cellStyle name="60% - Accent2 2 11" xfId="1524" xr:uid="{00000000-0005-0000-0000-0000F3050000}"/>
    <cellStyle name="60% - Accent2 2 12" xfId="1525" xr:uid="{00000000-0005-0000-0000-0000F4050000}"/>
    <cellStyle name="60% - Accent2 2 13" xfId="1526" xr:uid="{00000000-0005-0000-0000-0000F5050000}"/>
    <cellStyle name="60% - Accent2 2 14" xfId="1527" xr:uid="{00000000-0005-0000-0000-0000F6050000}"/>
    <cellStyle name="60% - Accent2 2 15" xfId="1528" xr:uid="{00000000-0005-0000-0000-0000F7050000}"/>
    <cellStyle name="60% - Accent2 2 16" xfId="1529" xr:uid="{00000000-0005-0000-0000-0000F8050000}"/>
    <cellStyle name="60% - Accent2 2 17" xfId="1530" xr:uid="{00000000-0005-0000-0000-0000F9050000}"/>
    <cellStyle name="60% - Accent2 2 2" xfId="1531" xr:uid="{00000000-0005-0000-0000-0000FA050000}"/>
    <cellStyle name="60% - Accent2 2 3" xfId="1532" xr:uid="{00000000-0005-0000-0000-0000FB050000}"/>
    <cellStyle name="60% - Accent2 2 4" xfId="1533" xr:uid="{00000000-0005-0000-0000-0000FC050000}"/>
    <cellStyle name="60% - Accent2 2 5" xfId="1534" xr:uid="{00000000-0005-0000-0000-0000FD050000}"/>
    <cellStyle name="60% - Accent2 2 6" xfId="1535" xr:uid="{00000000-0005-0000-0000-0000FE050000}"/>
    <cellStyle name="60% - Accent2 2 7" xfId="1536" xr:uid="{00000000-0005-0000-0000-0000FF050000}"/>
    <cellStyle name="60% - Accent2 2 8" xfId="1537" xr:uid="{00000000-0005-0000-0000-000000060000}"/>
    <cellStyle name="60% - Accent2 2 9" xfId="1538" xr:uid="{00000000-0005-0000-0000-000001060000}"/>
    <cellStyle name="60% - Accent2 3 10" xfId="1539" xr:uid="{00000000-0005-0000-0000-000002060000}"/>
    <cellStyle name="60% - Accent2 3 11" xfId="1540" xr:uid="{00000000-0005-0000-0000-000003060000}"/>
    <cellStyle name="60% - Accent2 3 12" xfId="1541" xr:uid="{00000000-0005-0000-0000-000004060000}"/>
    <cellStyle name="60% - Accent2 3 13" xfId="1542" xr:uid="{00000000-0005-0000-0000-000005060000}"/>
    <cellStyle name="60% - Accent2 3 14" xfId="1543" xr:uid="{00000000-0005-0000-0000-000006060000}"/>
    <cellStyle name="60% - Accent2 3 15" xfId="1544" xr:uid="{00000000-0005-0000-0000-000007060000}"/>
    <cellStyle name="60% - Accent2 3 16" xfId="1545" xr:uid="{00000000-0005-0000-0000-000008060000}"/>
    <cellStyle name="60% - Accent2 3 17" xfId="1546" xr:uid="{00000000-0005-0000-0000-000009060000}"/>
    <cellStyle name="60% - Accent2 3 2" xfId="1547" xr:uid="{00000000-0005-0000-0000-00000A060000}"/>
    <cellStyle name="60% - Accent2 3 3" xfId="1548" xr:uid="{00000000-0005-0000-0000-00000B060000}"/>
    <cellStyle name="60% - Accent2 3 4" xfId="1549" xr:uid="{00000000-0005-0000-0000-00000C060000}"/>
    <cellStyle name="60% - Accent2 3 5" xfId="1550" xr:uid="{00000000-0005-0000-0000-00000D060000}"/>
    <cellStyle name="60% - Accent2 3 6" xfId="1551" xr:uid="{00000000-0005-0000-0000-00000E060000}"/>
    <cellStyle name="60% - Accent2 3 7" xfId="1552" xr:uid="{00000000-0005-0000-0000-00000F060000}"/>
    <cellStyle name="60% - Accent2 3 8" xfId="1553" xr:uid="{00000000-0005-0000-0000-000010060000}"/>
    <cellStyle name="60% - Accent2 3 9" xfId="1554" xr:uid="{00000000-0005-0000-0000-000011060000}"/>
    <cellStyle name="60% - Accent3 2" xfId="1555" xr:uid="{00000000-0005-0000-0000-000012060000}"/>
    <cellStyle name="60% - Accent3 2 10" xfId="1556" xr:uid="{00000000-0005-0000-0000-000013060000}"/>
    <cellStyle name="60% - Accent3 2 11" xfId="1557" xr:uid="{00000000-0005-0000-0000-000014060000}"/>
    <cellStyle name="60% - Accent3 2 12" xfId="1558" xr:uid="{00000000-0005-0000-0000-000015060000}"/>
    <cellStyle name="60% - Accent3 2 13" xfId="1559" xr:uid="{00000000-0005-0000-0000-000016060000}"/>
    <cellStyle name="60% - Accent3 2 14" xfId="1560" xr:uid="{00000000-0005-0000-0000-000017060000}"/>
    <cellStyle name="60% - Accent3 2 15" xfId="1561" xr:uid="{00000000-0005-0000-0000-000018060000}"/>
    <cellStyle name="60% - Accent3 2 16" xfId="1562" xr:uid="{00000000-0005-0000-0000-000019060000}"/>
    <cellStyle name="60% - Accent3 2 17" xfId="1563" xr:uid="{00000000-0005-0000-0000-00001A060000}"/>
    <cellStyle name="60% - Accent3 2 2" xfId="1564" xr:uid="{00000000-0005-0000-0000-00001B060000}"/>
    <cellStyle name="60% - Accent3 2 3" xfId="1565" xr:uid="{00000000-0005-0000-0000-00001C060000}"/>
    <cellStyle name="60% - Accent3 2 4" xfId="1566" xr:uid="{00000000-0005-0000-0000-00001D060000}"/>
    <cellStyle name="60% - Accent3 2 5" xfId="1567" xr:uid="{00000000-0005-0000-0000-00001E060000}"/>
    <cellStyle name="60% - Accent3 2 6" xfId="1568" xr:uid="{00000000-0005-0000-0000-00001F060000}"/>
    <cellStyle name="60% - Accent3 2 7" xfId="1569" xr:uid="{00000000-0005-0000-0000-000020060000}"/>
    <cellStyle name="60% - Accent3 2 8" xfId="1570" xr:uid="{00000000-0005-0000-0000-000021060000}"/>
    <cellStyle name="60% - Accent3 2 9" xfId="1571" xr:uid="{00000000-0005-0000-0000-000022060000}"/>
    <cellStyle name="60% - Accent3 3 10" xfId="1572" xr:uid="{00000000-0005-0000-0000-000023060000}"/>
    <cellStyle name="60% - Accent3 3 11" xfId="1573" xr:uid="{00000000-0005-0000-0000-000024060000}"/>
    <cellStyle name="60% - Accent3 3 12" xfId="1574" xr:uid="{00000000-0005-0000-0000-000025060000}"/>
    <cellStyle name="60% - Accent3 3 13" xfId="1575" xr:uid="{00000000-0005-0000-0000-000026060000}"/>
    <cellStyle name="60% - Accent3 3 14" xfId="1576" xr:uid="{00000000-0005-0000-0000-000027060000}"/>
    <cellStyle name="60% - Accent3 3 15" xfId="1577" xr:uid="{00000000-0005-0000-0000-000028060000}"/>
    <cellStyle name="60% - Accent3 3 16" xfId="1578" xr:uid="{00000000-0005-0000-0000-000029060000}"/>
    <cellStyle name="60% - Accent3 3 17" xfId="1579" xr:uid="{00000000-0005-0000-0000-00002A060000}"/>
    <cellStyle name="60% - Accent3 3 2" xfId="1580" xr:uid="{00000000-0005-0000-0000-00002B060000}"/>
    <cellStyle name="60% - Accent3 3 3" xfId="1581" xr:uid="{00000000-0005-0000-0000-00002C060000}"/>
    <cellStyle name="60% - Accent3 3 4" xfId="1582" xr:uid="{00000000-0005-0000-0000-00002D060000}"/>
    <cellStyle name="60% - Accent3 3 5" xfId="1583" xr:uid="{00000000-0005-0000-0000-00002E060000}"/>
    <cellStyle name="60% - Accent3 3 6" xfId="1584" xr:uid="{00000000-0005-0000-0000-00002F060000}"/>
    <cellStyle name="60% - Accent3 3 7" xfId="1585" xr:uid="{00000000-0005-0000-0000-000030060000}"/>
    <cellStyle name="60% - Accent3 3 8" xfId="1586" xr:uid="{00000000-0005-0000-0000-000031060000}"/>
    <cellStyle name="60% - Accent3 3 9" xfId="1587" xr:uid="{00000000-0005-0000-0000-000032060000}"/>
    <cellStyle name="60% - Accent4 2" xfId="1588" xr:uid="{00000000-0005-0000-0000-000033060000}"/>
    <cellStyle name="60% - Accent4 2 10" xfId="1589" xr:uid="{00000000-0005-0000-0000-000034060000}"/>
    <cellStyle name="60% - Accent4 2 11" xfId="1590" xr:uid="{00000000-0005-0000-0000-000035060000}"/>
    <cellStyle name="60% - Accent4 2 12" xfId="1591" xr:uid="{00000000-0005-0000-0000-000036060000}"/>
    <cellStyle name="60% - Accent4 2 13" xfId="1592" xr:uid="{00000000-0005-0000-0000-000037060000}"/>
    <cellStyle name="60% - Accent4 2 14" xfId="1593" xr:uid="{00000000-0005-0000-0000-000038060000}"/>
    <cellStyle name="60% - Accent4 2 15" xfId="1594" xr:uid="{00000000-0005-0000-0000-000039060000}"/>
    <cellStyle name="60% - Accent4 2 16" xfId="1595" xr:uid="{00000000-0005-0000-0000-00003A060000}"/>
    <cellStyle name="60% - Accent4 2 17" xfId="1596" xr:uid="{00000000-0005-0000-0000-00003B060000}"/>
    <cellStyle name="60% - Accent4 2 2" xfId="1597" xr:uid="{00000000-0005-0000-0000-00003C060000}"/>
    <cellStyle name="60% - Accent4 2 3" xfId="1598" xr:uid="{00000000-0005-0000-0000-00003D060000}"/>
    <cellStyle name="60% - Accent4 2 4" xfId="1599" xr:uid="{00000000-0005-0000-0000-00003E060000}"/>
    <cellStyle name="60% - Accent4 2 5" xfId="1600" xr:uid="{00000000-0005-0000-0000-00003F060000}"/>
    <cellStyle name="60% - Accent4 2 6" xfId="1601" xr:uid="{00000000-0005-0000-0000-000040060000}"/>
    <cellStyle name="60% - Accent4 2 7" xfId="1602" xr:uid="{00000000-0005-0000-0000-000041060000}"/>
    <cellStyle name="60% - Accent4 2 8" xfId="1603" xr:uid="{00000000-0005-0000-0000-000042060000}"/>
    <cellStyle name="60% - Accent4 2 9" xfId="1604" xr:uid="{00000000-0005-0000-0000-000043060000}"/>
    <cellStyle name="60% - Accent4 3 10" xfId="1605" xr:uid="{00000000-0005-0000-0000-000044060000}"/>
    <cellStyle name="60% - Accent4 3 11" xfId="1606" xr:uid="{00000000-0005-0000-0000-000045060000}"/>
    <cellStyle name="60% - Accent4 3 12" xfId="1607" xr:uid="{00000000-0005-0000-0000-000046060000}"/>
    <cellStyle name="60% - Accent4 3 13" xfId="1608" xr:uid="{00000000-0005-0000-0000-000047060000}"/>
    <cellStyle name="60% - Accent4 3 14" xfId="1609" xr:uid="{00000000-0005-0000-0000-000048060000}"/>
    <cellStyle name="60% - Accent4 3 15" xfId="1610" xr:uid="{00000000-0005-0000-0000-000049060000}"/>
    <cellStyle name="60% - Accent4 3 16" xfId="1611" xr:uid="{00000000-0005-0000-0000-00004A060000}"/>
    <cellStyle name="60% - Accent4 3 17" xfId="1612" xr:uid="{00000000-0005-0000-0000-00004B060000}"/>
    <cellStyle name="60% - Accent4 3 2" xfId="1613" xr:uid="{00000000-0005-0000-0000-00004C060000}"/>
    <cellStyle name="60% - Accent4 3 3" xfId="1614" xr:uid="{00000000-0005-0000-0000-00004D060000}"/>
    <cellStyle name="60% - Accent4 3 4" xfId="1615" xr:uid="{00000000-0005-0000-0000-00004E060000}"/>
    <cellStyle name="60% - Accent4 3 5" xfId="1616" xr:uid="{00000000-0005-0000-0000-00004F060000}"/>
    <cellStyle name="60% - Accent4 3 6" xfId="1617" xr:uid="{00000000-0005-0000-0000-000050060000}"/>
    <cellStyle name="60% - Accent4 3 7" xfId="1618" xr:uid="{00000000-0005-0000-0000-000051060000}"/>
    <cellStyle name="60% - Accent4 3 8" xfId="1619" xr:uid="{00000000-0005-0000-0000-000052060000}"/>
    <cellStyle name="60% - Accent4 3 9" xfId="1620" xr:uid="{00000000-0005-0000-0000-000053060000}"/>
    <cellStyle name="60% - Accent5 2" xfId="1621" xr:uid="{00000000-0005-0000-0000-000054060000}"/>
    <cellStyle name="60% - Accent5 2 10" xfId="1622" xr:uid="{00000000-0005-0000-0000-000055060000}"/>
    <cellStyle name="60% - Accent5 2 11" xfId="1623" xr:uid="{00000000-0005-0000-0000-000056060000}"/>
    <cellStyle name="60% - Accent5 2 12" xfId="1624" xr:uid="{00000000-0005-0000-0000-000057060000}"/>
    <cellStyle name="60% - Accent5 2 13" xfId="1625" xr:uid="{00000000-0005-0000-0000-000058060000}"/>
    <cellStyle name="60% - Accent5 2 14" xfId="1626" xr:uid="{00000000-0005-0000-0000-000059060000}"/>
    <cellStyle name="60% - Accent5 2 15" xfId="1627" xr:uid="{00000000-0005-0000-0000-00005A060000}"/>
    <cellStyle name="60% - Accent5 2 16" xfId="1628" xr:uid="{00000000-0005-0000-0000-00005B060000}"/>
    <cellStyle name="60% - Accent5 2 17" xfId="1629" xr:uid="{00000000-0005-0000-0000-00005C060000}"/>
    <cellStyle name="60% - Accent5 2 2" xfId="1630" xr:uid="{00000000-0005-0000-0000-00005D060000}"/>
    <cellStyle name="60% - Accent5 2 3" xfId="1631" xr:uid="{00000000-0005-0000-0000-00005E060000}"/>
    <cellStyle name="60% - Accent5 2 4" xfId="1632" xr:uid="{00000000-0005-0000-0000-00005F060000}"/>
    <cellStyle name="60% - Accent5 2 5" xfId="1633" xr:uid="{00000000-0005-0000-0000-000060060000}"/>
    <cellStyle name="60% - Accent5 2 6" xfId="1634" xr:uid="{00000000-0005-0000-0000-000061060000}"/>
    <cellStyle name="60% - Accent5 2 7" xfId="1635" xr:uid="{00000000-0005-0000-0000-000062060000}"/>
    <cellStyle name="60% - Accent5 2 8" xfId="1636" xr:uid="{00000000-0005-0000-0000-000063060000}"/>
    <cellStyle name="60% - Accent5 2 9" xfId="1637" xr:uid="{00000000-0005-0000-0000-000064060000}"/>
    <cellStyle name="60% - Accent5 3 10" xfId="1638" xr:uid="{00000000-0005-0000-0000-000065060000}"/>
    <cellStyle name="60% - Accent5 3 11" xfId="1639" xr:uid="{00000000-0005-0000-0000-000066060000}"/>
    <cellStyle name="60% - Accent5 3 12" xfId="1640" xr:uid="{00000000-0005-0000-0000-000067060000}"/>
    <cellStyle name="60% - Accent5 3 13" xfId="1641" xr:uid="{00000000-0005-0000-0000-000068060000}"/>
    <cellStyle name="60% - Accent5 3 14" xfId="1642" xr:uid="{00000000-0005-0000-0000-000069060000}"/>
    <cellStyle name="60% - Accent5 3 15" xfId="1643" xr:uid="{00000000-0005-0000-0000-00006A060000}"/>
    <cellStyle name="60% - Accent5 3 16" xfId="1644" xr:uid="{00000000-0005-0000-0000-00006B060000}"/>
    <cellStyle name="60% - Accent5 3 17" xfId="1645" xr:uid="{00000000-0005-0000-0000-00006C060000}"/>
    <cellStyle name="60% - Accent5 3 2" xfId="1646" xr:uid="{00000000-0005-0000-0000-00006D060000}"/>
    <cellStyle name="60% - Accent5 3 3" xfId="1647" xr:uid="{00000000-0005-0000-0000-00006E060000}"/>
    <cellStyle name="60% - Accent5 3 4" xfId="1648" xr:uid="{00000000-0005-0000-0000-00006F060000}"/>
    <cellStyle name="60% - Accent5 3 5" xfId="1649" xr:uid="{00000000-0005-0000-0000-000070060000}"/>
    <cellStyle name="60% - Accent5 3 6" xfId="1650" xr:uid="{00000000-0005-0000-0000-000071060000}"/>
    <cellStyle name="60% - Accent5 3 7" xfId="1651" xr:uid="{00000000-0005-0000-0000-000072060000}"/>
    <cellStyle name="60% - Accent5 3 8" xfId="1652" xr:uid="{00000000-0005-0000-0000-000073060000}"/>
    <cellStyle name="60% - Accent5 3 9" xfId="1653" xr:uid="{00000000-0005-0000-0000-000074060000}"/>
    <cellStyle name="60% - Accent6 2" xfId="1654" xr:uid="{00000000-0005-0000-0000-000075060000}"/>
    <cellStyle name="60% - Accent6 2 10" xfId="1655" xr:uid="{00000000-0005-0000-0000-000076060000}"/>
    <cellStyle name="60% - Accent6 2 11" xfId="1656" xr:uid="{00000000-0005-0000-0000-000077060000}"/>
    <cellStyle name="60% - Accent6 2 12" xfId="1657" xr:uid="{00000000-0005-0000-0000-000078060000}"/>
    <cellStyle name="60% - Accent6 2 13" xfId="1658" xr:uid="{00000000-0005-0000-0000-000079060000}"/>
    <cellStyle name="60% - Accent6 2 14" xfId="1659" xr:uid="{00000000-0005-0000-0000-00007A060000}"/>
    <cellStyle name="60% - Accent6 2 15" xfId="1660" xr:uid="{00000000-0005-0000-0000-00007B060000}"/>
    <cellStyle name="60% - Accent6 2 16" xfId="1661" xr:uid="{00000000-0005-0000-0000-00007C060000}"/>
    <cellStyle name="60% - Accent6 2 17" xfId="1662" xr:uid="{00000000-0005-0000-0000-00007D060000}"/>
    <cellStyle name="60% - Accent6 2 2" xfId="1663" xr:uid="{00000000-0005-0000-0000-00007E060000}"/>
    <cellStyle name="60% - Accent6 2 3" xfId="1664" xr:uid="{00000000-0005-0000-0000-00007F060000}"/>
    <cellStyle name="60% - Accent6 2 4" xfId="1665" xr:uid="{00000000-0005-0000-0000-000080060000}"/>
    <cellStyle name="60% - Accent6 2 5" xfId="1666" xr:uid="{00000000-0005-0000-0000-000081060000}"/>
    <cellStyle name="60% - Accent6 2 6" xfId="1667" xr:uid="{00000000-0005-0000-0000-000082060000}"/>
    <cellStyle name="60% - Accent6 2 7" xfId="1668" xr:uid="{00000000-0005-0000-0000-000083060000}"/>
    <cellStyle name="60% - Accent6 2 8" xfId="1669" xr:uid="{00000000-0005-0000-0000-000084060000}"/>
    <cellStyle name="60% - Accent6 2 9" xfId="1670" xr:uid="{00000000-0005-0000-0000-000085060000}"/>
    <cellStyle name="60% - Accent6 3 10" xfId="1671" xr:uid="{00000000-0005-0000-0000-000086060000}"/>
    <cellStyle name="60% - Accent6 3 11" xfId="1672" xr:uid="{00000000-0005-0000-0000-000087060000}"/>
    <cellStyle name="60% - Accent6 3 12" xfId="1673" xr:uid="{00000000-0005-0000-0000-000088060000}"/>
    <cellStyle name="60% - Accent6 3 13" xfId="1674" xr:uid="{00000000-0005-0000-0000-000089060000}"/>
    <cellStyle name="60% - Accent6 3 14" xfId="1675" xr:uid="{00000000-0005-0000-0000-00008A060000}"/>
    <cellStyle name="60% - Accent6 3 15" xfId="1676" xr:uid="{00000000-0005-0000-0000-00008B060000}"/>
    <cellStyle name="60% - Accent6 3 16" xfId="1677" xr:uid="{00000000-0005-0000-0000-00008C060000}"/>
    <cellStyle name="60% - Accent6 3 17" xfId="1678" xr:uid="{00000000-0005-0000-0000-00008D060000}"/>
    <cellStyle name="60% - Accent6 3 2" xfId="1679" xr:uid="{00000000-0005-0000-0000-00008E060000}"/>
    <cellStyle name="60% - Accent6 3 3" xfId="1680" xr:uid="{00000000-0005-0000-0000-00008F060000}"/>
    <cellStyle name="60% - Accent6 3 4" xfId="1681" xr:uid="{00000000-0005-0000-0000-000090060000}"/>
    <cellStyle name="60% - Accent6 3 5" xfId="1682" xr:uid="{00000000-0005-0000-0000-000091060000}"/>
    <cellStyle name="60% - Accent6 3 6" xfId="1683" xr:uid="{00000000-0005-0000-0000-000092060000}"/>
    <cellStyle name="60% - Accent6 3 7" xfId="1684" xr:uid="{00000000-0005-0000-0000-000093060000}"/>
    <cellStyle name="60% - Accent6 3 8" xfId="1685" xr:uid="{00000000-0005-0000-0000-000094060000}"/>
    <cellStyle name="60% - Accent6 3 9" xfId="1686" xr:uid="{00000000-0005-0000-0000-000095060000}"/>
    <cellStyle name="60% - Colore 1" xfId="1687" xr:uid="{00000000-0005-0000-0000-000096060000}"/>
    <cellStyle name="60% - Colore 1 2" xfId="1688" xr:uid="{00000000-0005-0000-0000-000097060000}"/>
    <cellStyle name="60% - Colore 1 2 2" xfId="1689" xr:uid="{00000000-0005-0000-0000-000098060000}"/>
    <cellStyle name="60% - Colore 1 2 2 2" xfId="1690" xr:uid="{00000000-0005-0000-0000-000099060000}"/>
    <cellStyle name="60% - Colore 1 3" xfId="1691" xr:uid="{00000000-0005-0000-0000-00009A060000}"/>
    <cellStyle name="60% - Colore 1 4" xfId="1692" xr:uid="{00000000-0005-0000-0000-00009B060000}"/>
    <cellStyle name="60% - Colore 2" xfId="1693" xr:uid="{00000000-0005-0000-0000-00009C060000}"/>
    <cellStyle name="60% - Colore 2 2" xfId="1694" xr:uid="{00000000-0005-0000-0000-00009D060000}"/>
    <cellStyle name="60% - Colore 2 2 2" xfId="1695" xr:uid="{00000000-0005-0000-0000-00009E060000}"/>
    <cellStyle name="60% - Colore 2 2 2 2" xfId="1696" xr:uid="{00000000-0005-0000-0000-00009F060000}"/>
    <cellStyle name="60% - Colore 2 3" xfId="1697" xr:uid="{00000000-0005-0000-0000-0000A0060000}"/>
    <cellStyle name="60% - Colore 2 4" xfId="1698" xr:uid="{00000000-0005-0000-0000-0000A1060000}"/>
    <cellStyle name="60% - Colore 3" xfId="1699" xr:uid="{00000000-0005-0000-0000-0000A2060000}"/>
    <cellStyle name="60% - Colore 3 10" xfId="1700" xr:uid="{00000000-0005-0000-0000-0000A3060000}"/>
    <cellStyle name="60% - Colore 3 11" xfId="1701" xr:uid="{00000000-0005-0000-0000-0000A4060000}"/>
    <cellStyle name="60% - Colore 3 12" xfId="1702" xr:uid="{00000000-0005-0000-0000-0000A5060000}"/>
    <cellStyle name="60% - Colore 3 13" xfId="1703" xr:uid="{00000000-0005-0000-0000-0000A6060000}"/>
    <cellStyle name="60% - Colore 3 14" xfId="1704" xr:uid="{00000000-0005-0000-0000-0000A7060000}"/>
    <cellStyle name="60% - Colore 3 14 2" xfId="1705" xr:uid="{00000000-0005-0000-0000-0000A8060000}"/>
    <cellStyle name="60% - Colore 3 14 2 2" xfId="1706" xr:uid="{00000000-0005-0000-0000-0000A9060000}"/>
    <cellStyle name="60% - Colore 3 15" xfId="1707" xr:uid="{00000000-0005-0000-0000-0000AA060000}"/>
    <cellStyle name="60% - Colore 3 16" xfId="1708" xr:uid="{00000000-0005-0000-0000-0000AB060000}"/>
    <cellStyle name="60% - Colore 3 2" xfId="1709" xr:uid="{00000000-0005-0000-0000-0000AC060000}"/>
    <cellStyle name="60% - Colore 3 3" xfId="1710" xr:uid="{00000000-0005-0000-0000-0000AD060000}"/>
    <cellStyle name="60% - Colore 3 4" xfId="1711" xr:uid="{00000000-0005-0000-0000-0000AE060000}"/>
    <cellStyle name="60% - Colore 3 5" xfId="1712" xr:uid="{00000000-0005-0000-0000-0000AF060000}"/>
    <cellStyle name="60% - Colore 3 6" xfId="1713" xr:uid="{00000000-0005-0000-0000-0000B0060000}"/>
    <cellStyle name="60% - Colore 3 7" xfId="1714" xr:uid="{00000000-0005-0000-0000-0000B1060000}"/>
    <cellStyle name="60% - Colore 3 8" xfId="1715" xr:uid="{00000000-0005-0000-0000-0000B2060000}"/>
    <cellStyle name="60% - Colore 3 9" xfId="1716" xr:uid="{00000000-0005-0000-0000-0000B3060000}"/>
    <cellStyle name="60% - Colore 4" xfId="1717" xr:uid="{00000000-0005-0000-0000-0000B4060000}"/>
    <cellStyle name="60% - Colore 4 10" xfId="1718" xr:uid="{00000000-0005-0000-0000-0000B5060000}"/>
    <cellStyle name="60% - Colore 4 11" xfId="1719" xr:uid="{00000000-0005-0000-0000-0000B6060000}"/>
    <cellStyle name="60% - Colore 4 12" xfId="1720" xr:uid="{00000000-0005-0000-0000-0000B7060000}"/>
    <cellStyle name="60% - Colore 4 13" xfId="1721" xr:uid="{00000000-0005-0000-0000-0000B8060000}"/>
    <cellStyle name="60% - Colore 4 14" xfId="1722" xr:uid="{00000000-0005-0000-0000-0000B9060000}"/>
    <cellStyle name="60% - Colore 4 14 2" xfId="1723" xr:uid="{00000000-0005-0000-0000-0000BA060000}"/>
    <cellStyle name="60% - Colore 4 14 2 2" xfId="1724" xr:uid="{00000000-0005-0000-0000-0000BB060000}"/>
    <cellStyle name="60% - Colore 4 15" xfId="1725" xr:uid="{00000000-0005-0000-0000-0000BC060000}"/>
    <cellStyle name="60% - Colore 4 16" xfId="1726" xr:uid="{00000000-0005-0000-0000-0000BD060000}"/>
    <cellStyle name="60% - Colore 4 2" xfId="1727" xr:uid="{00000000-0005-0000-0000-0000BE060000}"/>
    <cellStyle name="60% - Colore 4 3" xfId="1728" xr:uid="{00000000-0005-0000-0000-0000BF060000}"/>
    <cellStyle name="60% - Colore 4 4" xfId="1729" xr:uid="{00000000-0005-0000-0000-0000C0060000}"/>
    <cellStyle name="60% - Colore 4 5" xfId="1730" xr:uid="{00000000-0005-0000-0000-0000C1060000}"/>
    <cellStyle name="60% - Colore 4 6" xfId="1731" xr:uid="{00000000-0005-0000-0000-0000C2060000}"/>
    <cellStyle name="60% - Colore 4 7" xfId="1732" xr:uid="{00000000-0005-0000-0000-0000C3060000}"/>
    <cellStyle name="60% - Colore 4 8" xfId="1733" xr:uid="{00000000-0005-0000-0000-0000C4060000}"/>
    <cellStyle name="60% - Colore 4 9" xfId="1734" xr:uid="{00000000-0005-0000-0000-0000C5060000}"/>
    <cellStyle name="60% - Colore 5" xfId="1735" xr:uid="{00000000-0005-0000-0000-0000C6060000}"/>
    <cellStyle name="60% - Colore 5 2" xfId="1736" xr:uid="{00000000-0005-0000-0000-0000C7060000}"/>
    <cellStyle name="60% - Colore 5 2 2" xfId="1737" xr:uid="{00000000-0005-0000-0000-0000C8060000}"/>
    <cellStyle name="60% - Colore 5 2 2 2" xfId="1738" xr:uid="{00000000-0005-0000-0000-0000C9060000}"/>
    <cellStyle name="60% - Colore 5 3" xfId="1739" xr:uid="{00000000-0005-0000-0000-0000CA060000}"/>
    <cellStyle name="60% - Colore 5 4" xfId="1740" xr:uid="{00000000-0005-0000-0000-0000CB060000}"/>
    <cellStyle name="60% - Colore 6" xfId="1741" xr:uid="{00000000-0005-0000-0000-0000CC060000}"/>
    <cellStyle name="60% - Colore 6 10" xfId="1742" xr:uid="{00000000-0005-0000-0000-0000CD060000}"/>
    <cellStyle name="60% - Colore 6 11" xfId="1743" xr:uid="{00000000-0005-0000-0000-0000CE060000}"/>
    <cellStyle name="60% - Colore 6 12" xfId="1744" xr:uid="{00000000-0005-0000-0000-0000CF060000}"/>
    <cellStyle name="60% - Colore 6 13" xfId="1745" xr:uid="{00000000-0005-0000-0000-0000D0060000}"/>
    <cellStyle name="60% - Colore 6 14" xfId="1746" xr:uid="{00000000-0005-0000-0000-0000D1060000}"/>
    <cellStyle name="60% - Colore 6 14 2" xfId="1747" xr:uid="{00000000-0005-0000-0000-0000D2060000}"/>
    <cellStyle name="60% - Colore 6 14 2 2" xfId="1748" xr:uid="{00000000-0005-0000-0000-0000D3060000}"/>
    <cellStyle name="60% - Colore 6 15" xfId="1749" xr:uid="{00000000-0005-0000-0000-0000D4060000}"/>
    <cellStyle name="60% - Colore 6 16" xfId="1750" xr:uid="{00000000-0005-0000-0000-0000D5060000}"/>
    <cellStyle name="60% - Colore 6 2" xfId="1751" xr:uid="{00000000-0005-0000-0000-0000D6060000}"/>
    <cellStyle name="60% - Colore 6 3" xfId="1752" xr:uid="{00000000-0005-0000-0000-0000D7060000}"/>
    <cellStyle name="60% - Colore 6 4" xfId="1753" xr:uid="{00000000-0005-0000-0000-0000D8060000}"/>
    <cellStyle name="60% - Colore 6 5" xfId="1754" xr:uid="{00000000-0005-0000-0000-0000D9060000}"/>
    <cellStyle name="60% - Colore 6 6" xfId="1755" xr:uid="{00000000-0005-0000-0000-0000DA060000}"/>
    <cellStyle name="60% - Colore 6 7" xfId="1756" xr:uid="{00000000-0005-0000-0000-0000DB060000}"/>
    <cellStyle name="60% - Colore 6 8" xfId="1757" xr:uid="{00000000-0005-0000-0000-0000DC060000}"/>
    <cellStyle name="60% - Colore 6 9" xfId="1758" xr:uid="{00000000-0005-0000-0000-0000DD060000}"/>
    <cellStyle name="Accent1 2" xfId="1759" xr:uid="{00000000-0005-0000-0000-0000DE060000}"/>
    <cellStyle name="Accent1 2 10" xfId="1760" xr:uid="{00000000-0005-0000-0000-0000DF060000}"/>
    <cellStyle name="Accent1 2 11" xfId="1761" xr:uid="{00000000-0005-0000-0000-0000E0060000}"/>
    <cellStyle name="Accent1 2 12" xfId="1762" xr:uid="{00000000-0005-0000-0000-0000E1060000}"/>
    <cellStyle name="Accent1 2 13" xfId="1763" xr:uid="{00000000-0005-0000-0000-0000E2060000}"/>
    <cellStyle name="Accent1 2 14" xfId="1764" xr:uid="{00000000-0005-0000-0000-0000E3060000}"/>
    <cellStyle name="Accent1 2 15" xfId="1765" xr:uid="{00000000-0005-0000-0000-0000E4060000}"/>
    <cellStyle name="Accent1 2 16" xfId="1766" xr:uid="{00000000-0005-0000-0000-0000E5060000}"/>
    <cellStyle name="Accent1 2 17" xfId="1767" xr:uid="{00000000-0005-0000-0000-0000E6060000}"/>
    <cellStyle name="Accent1 2 2" xfId="1768" xr:uid="{00000000-0005-0000-0000-0000E7060000}"/>
    <cellStyle name="Accent1 2 3" xfId="1769" xr:uid="{00000000-0005-0000-0000-0000E8060000}"/>
    <cellStyle name="Accent1 2 4" xfId="1770" xr:uid="{00000000-0005-0000-0000-0000E9060000}"/>
    <cellStyle name="Accent1 2 5" xfId="1771" xr:uid="{00000000-0005-0000-0000-0000EA060000}"/>
    <cellStyle name="Accent1 2 6" xfId="1772" xr:uid="{00000000-0005-0000-0000-0000EB060000}"/>
    <cellStyle name="Accent1 2 7" xfId="1773" xr:uid="{00000000-0005-0000-0000-0000EC060000}"/>
    <cellStyle name="Accent1 2 8" xfId="1774" xr:uid="{00000000-0005-0000-0000-0000ED060000}"/>
    <cellStyle name="Accent1 2 9" xfId="1775" xr:uid="{00000000-0005-0000-0000-0000EE060000}"/>
    <cellStyle name="Accent1 3 10" xfId="1776" xr:uid="{00000000-0005-0000-0000-0000EF060000}"/>
    <cellStyle name="Accent1 3 11" xfId="1777" xr:uid="{00000000-0005-0000-0000-0000F0060000}"/>
    <cellStyle name="Accent1 3 12" xfId="1778" xr:uid="{00000000-0005-0000-0000-0000F1060000}"/>
    <cellStyle name="Accent1 3 13" xfId="1779" xr:uid="{00000000-0005-0000-0000-0000F2060000}"/>
    <cellStyle name="Accent1 3 14" xfId="1780" xr:uid="{00000000-0005-0000-0000-0000F3060000}"/>
    <cellStyle name="Accent1 3 15" xfId="1781" xr:uid="{00000000-0005-0000-0000-0000F4060000}"/>
    <cellStyle name="Accent1 3 16" xfId="1782" xr:uid="{00000000-0005-0000-0000-0000F5060000}"/>
    <cellStyle name="Accent1 3 17" xfId="1783" xr:uid="{00000000-0005-0000-0000-0000F6060000}"/>
    <cellStyle name="Accent1 3 2" xfId="1784" xr:uid="{00000000-0005-0000-0000-0000F7060000}"/>
    <cellStyle name="Accent1 3 3" xfId="1785" xr:uid="{00000000-0005-0000-0000-0000F8060000}"/>
    <cellStyle name="Accent1 3 4" xfId="1786" xr:uid="{00000000-0005-0000-0000-0000F9060000}"/>
    <cellStyle name="Accent1 3 5" xfId="1787" xr:uid="{00000000-0005-0000-0000-0000FA060000}"/>
    <cellStyle name="Accent1 3 6" xfId="1788" xr:uid="{00000000-0005-0000-0000-0000FB060000}"/>
    <cellStyle name="Accent1 3 7" xfId="1789" xr:uid="{00000000-0005-0000-0000-0000FC060000}"/>
    <cellStyle name="Accent1 3 8" xfId="1790" xr:uid="{00000000-0005-0000-0000-0000FD060000}"/>
    <cellStyle name="Accent1 3 9" xfId="1791" xr:uid="{00000000-0005-0000-0000-0000FE060000}"/>
    <cellStyle name="Accent2 2" xfId="1792" xr:uid="{00000000-0005-0000-0000-0000FF060000}"/>
    <cellStyle name="Accent2 2 10" xfId="1793" xr:uid="{00000000-0005-0000-0000-000000070000}"/>
    <cellStyle name="Accent2 2 11" xfId="1794" xr:uid="{00000000-0005-0000-0000-000001070000}"/>
    <cellStyle name="Accent2 2 12" xfId="1795" xr:uid="{00000000-0005-0000-0000-000002070000}"/>
    <cellStyle name="Accent2 2 13" xfId="1796" xr:uid="{00000000-0005-0000-0000-000003070000}"/>
    <cellStyle name="Accent2 2 14" xfId="1797" xr:uid="{00000000-0005-0000-0000-000004070000}"/>
    <cellStyle name="Accent2 2 15" xfId="1798" xr:uid="{00000000-0005-0000-0000-000005070000}"/>
    <cellStyle name="Accent2 2 16" xfId="1799" xr:uid="{00000000-0005-0000-0000-000006070000}"/>
    <cellStyle name="Accent2 2 17" xfId="1800" xr:uid="{00000000-0005-0000-0000-000007070000}"/>
    <cellStyle name="Accent2 2 2" xfId="1801" xr:uid="{00000000-0005-0000-0000-000008070000}"/>
    <cellStyle name="Accent2 2 3" xfId="1802" xr:uid="{00000000-0005-0000-0000-000009070000}"/>
    <cellStyle name="Accent2 2 4" xfId="1803" xr:uid="{00000000-0005-0000-0000-00000A070000}"/>
    <cellStyle name="Accent2 2 5" xfId="1804" xr:uid="{00000000-0005-0000-0000-00000B070000}"/>
    <cellStyle name="Accent2 2 6" xfId="1805" xr:uid="{00000000-0005-0000-0000-00000C070000}"/>
    <cellStyle name="Accent2 2 7" xfId="1806" xr:uid="{00000000-0005-0000-0000-00000D070000}"/>
    <cellStyle name="Accent2 2 8" xfId="1807" xr:uid="{00000000-0005-0000-0000-00000E070000}"/>
    <cellStyle name="Accent2 2 9" xfId="1808" xr:uid="{00000000-0005-0000-0000-00000F070000}"/>
    <cellStyle name="Accent2 3 10" xfId="1809" xr:uid="{00000000-0005-0000-0000-000010070000}"/>
    <cellStyle name="Accent2 3 11" xfId="1810" xr:uid="{00000000-0005-0000-0000-000011070000}"/>
    <cellStyle name="Accent2 3 12" xfId="1811" xr:uid="{00000000-0005-0000-0000-000012070000}"/>
    <cellStyle name="Accent2 3 13" xfId="1812" xr:uid="{00000000-0005-0000-0000-000013070000}"/>
    <cellStyle name="Accent2 3 14" xfId="1813" xr:uid="{00000000-0005-0000-0000-000014070000}"/>
    <cellStyle name="Accent2 3 15" xfId="1814" xr:uid="{00000000-0005-0000-0000-000015070000}"/>
    <cellStyle name="Accent2 3 16" xfId="1815" xr:uid="{00000000-0005-0000-0000-000016070000}"/>
    <cellStyle name="Accent2 3 17" xfId="1816" xr:uid="{00000000-0005-0000-0000-000017070000}"/>
    <cellStyle name="Accent2 3 2" xfId="1817" xr:uid="{00000000-0005-0000-0000-000018070000}"/>
    <cellStyle name="Accent2 3 3" xfId="1818" xr:uid="{00000000-0005-0000-0000-000019070000}"/>
    <cellStyle name="Accent2 3 4" xfId="1819" xr:uid="{00000000-0005-0000-0000-00001A070000}"/>
    <cellStyle name="Accent2 3 5" xfId="1820" xr:uid="{00000000-0005-0000-0000-00001B070000}"/>
    <cellStyle name="Accent2 3 6" xfId="1821" xr:uid="{00000000-0005-0000-0000-00001C070000}"/>
    <cellStyle name="Accent2 3 7" xfId="1822" xr:uid="{00000000-0005-0000-0000-00001D070000}"/>
    <cellStyle name="Accent2 3 8" xfId="1823" xr:uid="{00000000-0005-0000-0000-00001E070000}"/>
    <cellStyle name="Accent2 3 9" xfId="1824" xr:uid="{00000000-0005-0000-0000-00001F070000}"/>
    <cellStyle name="Accent3 2" xfId="1825" xr:uid="{00000000-0005-0000-0000-000020070000}"/>
    <cellStyle name="Accent3 2 10" xfId="1826" xr:uid="{00000000-0005-0000-0000-000021070000}"/>
    <cellStyle name="Accent3 2 11" xfId="1827" xr:uid="{00000000-0005-0000-0000-000022070000}"/>
    <cellStyle name="Accent3 2 12" xfId="1828" xr:uid="{00000000-0005-0000-0000-000023070000}"/>
    <cellStyle name="Accent3 2 13" xfId="1829" xr:uid="{00000000-0005-0000-0000-000024070000}"/>
    <cellStyle name="Accent3 2 14" xfId="1830" xr:uid="{00000000-0005-0000-0000-000025070000}"/>
    <cellStyle name="Accent3 2 15" xfId="1831" xr:uid="{00000000-0005-0000-0000-000026070000}"/>
    <cellStyle name="Accent3 2 16" xfId="1832" xr:uid="{00000000-0005-0000-0000-000027070000}"/>
    <cellStyle name="Accent3 2 17" xfId="1833" xr:uid="{00000000-0005-0000-0000-000028070000}"/>
    <cellStyle name="Accent3 2 2" xfId="1834" xr:uid="{00000000-0005-0000-0000-000029070000}"/>
    <cellStyle name="Accent3 2 3" xfId="1835" xr:uid="{00000000-0005-0000-0000-00002A070000}"/>
    <cellStyle name="Accent3 2 4" xfId="1836" xr:uid="{00000000-0005-0000-0000-00002B070000}"/>
    <cellStyle name="Accent3 2 5" xfId="1837" xr:uid="{00000000-0005-0000-0000-00002C070000}"/>
    <cellStyle name="Accent3 2 6" xfId="1838" xr:uid="{00000000-0005-0000-0000-00002D070000}"/>
    <cellStyle name="Accent3 2 7" xfId="1839" xr:uid="{00000000-0005-0000-0000-00002E070000}"/>
    <cellStyle name="Accent3 2 8" xfId="1840" xr:uid="{00000000-0005-0000-0000-00002F070000}"/>
    <cellStyle name="Accent3 2 9" xfId="1841" xr:uid="{00000000-0005-0000-0000-000030070000}"/>
    <cellStyle name="Accent3 3 10" xfId="1842" xr:uid="{00000000-0005-0000-0000-000031070000}"/>
    <cellStyle name="Accent3 3 11" xfId="1843" xr:uid="{00000000-0005-0000-0000-000032070000}"/>
    <cellStyle name="Accent3 3 12" xfId="1844" xr:uid="{00000000-0005-0000-0000-000033070000}"/>
    <cellStyle name="Accent3 3 13" xfId="1845" xr:uid="{00000000-0005-0000-0000-000034070000}"/>
    <cellStyle name="Accent3 3 14" xfId="1846" xr:uid="{00000000-0005-0000-0000-000035070000}"/>
    <cellStyle name="Accent3 3 15" xfId="1847" xr:uid="{00000000-0005-0000-0000-000036070000}"/>
    <cellStyle name="Accent3 3 16" xfId="1848" xr:uid="{00000000-0005-0000-0000-000037070000}"/>
    <cellStyle name="Accent3 3 17" xfId="1849" xr:uid="{00000000-0005-0000-0000-000038070000}"/>
    <cellStyle name="Accent3 3 2" xfId="1850" xr:uid="{00000000-0005-0000-0000-000039070000}"/>
    <cellStyle name="Accent3 3 3" xfId="1851" xr:uid="{00000000-0005-0000-0000-00003A070000}"/>
    <cellStyle name="Accent3 3 4" xfId="1852" xr:uid="{00000000-0005-0000-0000-00003B070000}"/>
    <cellStyle name="Accent3 3 5" xfId="1853" xr:uid="{00000000-0005-0000-0000-00003C070000}"/>
    <cellStyle name="Accent3 3 6" xfId="1854" xr:uid="{00000000-0005-0000-0000-00003D070000}"/>
    <cellStyle name="Accent3 3 7" xfId="1855" xr:uid="{00000000-0005-0000-0000-00003E070000}"/>
    <cellStyle name="Accent3 3 8" xfId="1856" xr:uid="{00000000-0005-0000-0000-00003F070000}"/>
    <cellStyle name="Accent3 3 9" xfId="1857" xr:uid="{00000000-0005-0000-0000-000040070000}"/>
    <cellStyle name="Accent4 2" xfId="1858" xr:uid="{00000000-0005-0000-0000-000041070000}"/>
    <cellStyle name="Accent4 2 10" xfId="1859" xr:uid="{00000000-0005-0000-0000-000042070000}"/>
    <cellStyle name="Accent4 2 11" xfId="1860" xr:uid="{00000000-0005-0000-0000-000043070000}"/>
    <cellStyle name="Accent4 2 12" xfId="1861" xr:uid="{00000000-0005-0000-0000-000044070000}"/>
    <cellStyle name="Accent4 2 13" xfId="1862" xr:uid="{00000000-0005-0000-0000-000045070000}"/>
    <cellStyle name="Accent4 2 14" xfId="1863" xr:uid="{00000000-0005-0000-0000-000046070000}"/>
    <cellStyle name="Accent4 2 15" xfId="1864" xr:uid="{00000000-0005-0000-0000-000047070000}"/>
    <cellStyle name="Accent4 2 16" xfId="1865" xr:uid="{00000000-0005-0000-0000-000048070000}"/>
    <cellStyle name="Accent4 2 17" xfId="1866" xr:uid="{00000000-0005-0000-0000-000049070000}"/>
    <cellStyle name="Accent4 2 2" xfId="1867" xr:uid="{00000000-0005-0000-0000-00004A070000}"/>
    <cellStyle name="Accent4 2 3" xfId="1868" xr:uid="{00000000-0005-0000-0000-00004B070000}"/>
    <cellStyle name="Accent4 2 4" xfId="1869" xr:uid="{00000000-0005-0000-0000-00004C070000}"/>
    <cellStyle name="Accent4 2 5" xfId="1870" xr:uid="{00000000-0005-0000-0000-00004D070000}"/>
    <cellStyle name="Accent4 2 6" xfId="1871" xr:uid="{00000000-0005-0000-0000-00004E070000}"/>
    <cellStyle name="Accent4 2 7" xfId="1872" xr:uid="{00000000-0005-0000-0000-00004F070000}"/>
    <cellStyle name="Accent4 2 8" xfId="1873" xr:uid="{00000000-0005-0000-0000-000050070000}"/>
    <cellStyle name="Accent4 2 9" xfId="1874" xr:uid="{00000000-0005-0000-0000-000051070000}"/>
    <cellStyle name="Accent4 3 10" xfId="1875" xr:uid="{00000000-0005-0000-0000-000052070000}"/>
    <cellStyle name="Accent4 3 11" xfId="1876" xr:uid="{00000000-0005-0000-0000-000053070000}"/>
    <cellStyle name="Accent4 3 12" xfId="1877" xr:uid="{00000000-0005-0000-0000-000054070000}"/>
    <cellStyle name="Accent4 3 13" xfId="1878" xr:uid="{00000000-0005-0000-0000-000055070000}"/>
    <cellStyle name="Accent4 3 14" xfId="1879" xr:uid="{00000000-0005-0000-0000-000056070000}"/>
    <cellStyle name="Accent4 3 15" xfId="1880" xr:uid="{00000000-0005-0000-0000-000057070000}"/>
    <cellStyle name="Accent4 3 16" xfId="1881" xr:uid="{00000000-0005-0000-0000-000058070000}"/>
    <cellStyle name="Accent4 3 17" xfId="1882" xr:uid="{00000000-0005-0000-0000-000059070000}"/>
    <cellStyle name="Accent4 3 2" xfId="1883" xr:uid="{00000000-0005-0000-0000-00005A070000}"/>
    <cellStyle name="Accent4 3 3" xfId="1884" xr:uid="{00000000-0005-0000-0000-00005B070000}"/>
    <cellStyle name="Accent4 3 4" xfId="1885" xr:uid="{00000000-0005-0000-0000-00005C070000}"/>
    <cellStyle name="Accent4 3 5" xfId="1886" xr:uid="{00000000-0005-0000-0000-00005D070000}"/>
    <cellStyle name="Accent4 3 6" xfId="1887" xr:uid="{00000000-0005-0000-0000-00005E070000}"/>
    <cellStyle name="Accent4 3 7" xfId="1888" xr:uid="{00000000-0005-0000-0000-00005F070000}"/>
    <cellStyle name="Accent4 3 8" xfId="1889" xr:uid="{00000000-0005-0000-0000-000060070000}"/>
    <cellStyle name="Accent4 3 9" xfId="1890" xr:uid="{00000000-0005-0000-0000-000061070000}"/>
    <cellStyle name="Accent5 2" xfId="1891" xr:uid="{00000000-0005-0000-0000-000062070000}"/>
    <cellStyle name="Accent5 2 10" xfId="1892" xr:uid="{00000000-0005-0000-0000-000063070000}"/>
    <cellStyle name="Accent5 2 11" xfId="1893" xr:uid="{00000000-0005-0000-0000-000064070000}"/>
    <cellStyle name="Accent5 2 12" xfId="1894" xr:uid="{00000000-0005-0000-0000-000065070000}"/>
    <cellStyle name="Accent5 2 13" xfId="1895" xr:uid="{00000000-0005-0000-0000-000066070000}"/>
    <cellStyle name="Accent5 2 14" xfId="1896" xr:uid="{00000000-0005-0000-0000-000067070000}"/>
    <cellStyle name="Accent5 2 15" xfId="1897" xr:uid="{00000000-0005-0000-0000-000068070000}"/>
    <cellStyle name="Accent5 2 16" xfId="1898" xr:uid="{00000000-0005-0000-0000-000069070000}"/>
    <cellStyle name="Accent5 2 17" xfId="1899" xr:uid="{00000000-0005-0000-0000-00006A070000}"/>
    <cellStyle name="Accent5 2 2" xfId="1900" xr:uid="{00000000-0005-0000-0000-00006B070000}"/>
    <cellStyle name="Accent5 2 3" xfId="1901" xr:uid="{00000000-0005-0000-0000-00006C070000}"/>
    <cellStyle name="Accent5 2 4" xfId="1902" xr:uid="{00000000-0005-0000-0000-00006D070000}"/>
    <cellStyle name="Accent5 2 5" xfId="1903" xr:uid="{00000000-0005-0000-0000-00006E070000}"/>
    <cellStyle name="Accent5 2 6" xfId="1904" xr:uid="{00000000-0005-0000-0000-00006F070000}"/>
    <cellStyle name="Accent5 2 7" xfId="1905" xr:uid="{00000000-0005-0000-0000-000070070000}"/>
    <cellStyle name="Accent5 2 8" xfId="1906" xr:uid="{00000000-0005-0000-0000-000071070000}"/>
    <cellStyle name="Accent5 2 9" xfId="1907" xr:uid="{00000000-0005-0000-0000-000072070000}"/>
    <cellStyle name="Accent5 3 10" xfId="1908" xr:uid="{00000000-0005-0000-0000-000073070000}"/>
    <cellStyle name="Accent5 3 11" xfId="1909" xr:uid="{00000000-0005-0000-0000-000074070000}"/>
    <cellStyle name="Accent5 3 12" xfId="1910" xr:uid="{00000000-0005-0000-0000-000075070000}"/>
    <cellStyle name="Accent5 3 13" xfId="1911" xr:uid="{00000000-0005-0000-0000-000076070000}"/>
    <cellStyle name="Accent5 3 14" xfId="1912" xr:uid="{00000000-0005-0000-0000-000077070000}"/>
    <cellStyle name="Accent5 3 15" xfId="1913" xr:uid="{00000000-0005-0000-0000-000078070000}"/>
    <cellStyle name="Accent5 3 16" xfId="1914" xr:uid="{00000000-0005-0000-0000-000079070000}"/>
    <cellStyle name="Accent5 3 17" xfId="1915" xr:uid="{00000000-0005-0000-0000-00007A070000}"/>
    <cellStyle name="Accent5 3 2" xfId="1916" xr:uid="{00000000-0005-0000-0000-00007B070000}"/>
    <cellStyle name="Accent5 3 3" xfId="1917" xr:uid="{00000000-0005-0000-0000-00007C070000}"/>
    <cellStyle name="Accent5 3 4" xfId="1918" xr:uid="{00000000-0005-0000-0000-00007D070000}"/>
    <cellStyle name="Accent5 3 5" xfId="1919" xr:uid="{00000000-0005-0000-0000-00007E070000}"/>
    <cellStyle name="Accent5 3 6" xfId="1920" xr:uid="{00000000-0005-0000-0000-00007F070000}"/>
    <cellStyle name="Accent5 3 7" xfId="1921" xr:uid="{00000000-0005-0000-0000-000080070000}"/>
    <cellStyle name="Accent5 3 8" xfId="1922" xr:uid="{00000000-0005-0000-0000-000081070000}"/>
    <cellStyle name="Accent5 3 9" xfId="1923" xr:uid="{00000000-0005-0000-0000-000082070000}"/>
    <cellStyle name="Accent6 2" xfId="1924" xr:uid="{00000000-0005-0000-0000-000083070000}"/>
    <cellStyle name="Accent6 2 10" xfId="1925" xr:uid="{00000000-0005-0000-0000-000084070000}"/>
    <cellStyle name="Accent6 2 11" xfId="1926" xr:uid="{00000000-0005-0000-0000-000085070000}"/>
    <cellStyle name="Accent6 2 12" xfId="1927" xr:uid="{00000000-0005-0000-0000-000086070000}"/>
    <cellStyle name="Accent6 2 13" xfId="1928" xr:uid="{00000000-0005-0000-0000-000087070000}"/>
    <cellStyle name="Accent6 2 14" xfId="1929" xr:uid="{00000000-0005-0000-0000-000088070000}"/>
    <cellStyle name="Accent6 2 15" xfId="1930" xr:uid="{00000000-0005-0000-0000-000089070000}"/>
    <cellStyle name="Accent6 2 16" xfId="1931" xr:uid="{00000000-0005-0000-0000-00008A070000}"/>
    <cellStyle name="Accent6 2 17" xfId="1932" xr:uid="{00000000-0005-0000-0000-00008B070000}"/>
    <cellStyle name="Accent6 2 2" xfId="1933" xr:uid="{00000000-0005-0000-0000-00008C070000}"/>
    <cellStyle name="Accent6 2 3" xfId="1934" xr:uid="{00000000-0005-0000-0000-00008D070000}"/>
    <cellStyle name="Accent6 2 4" xfId="1935" xr:uid="{00000000-0005-0000-0000-00008E070000}"/>
    <cellStyle name="Accent6 2 5" xfId="1936" xr:uid="{00000000-0005-0000-0000-00008F070000}"/>
    <cellStyle name="Accent6 2 6" xfId="1937" xr:uid="{00000000-0005-0000-0000-000090070000}"/>
    <cellStyle name="Accent6 2 7" xfId="1938" xr:uid="{00000000-0005-0000-0000-000091070000}"/>
    <cellStyle name="Accent6 2 8" xfId="1939" xr:uid="{00000000-0005-0000-0000-000092070000}"/>
    <cellStyle name="Accent6 2 9" xfId="1940" xr:uid="{00000000-0005-0000-0000-000093070000}"/>
    <cellStyle name="Accent6 3 10" xfId="1941" xr:uid="{00000000-0005-0000-0000-000094070000}"/>
    <cellStyle name="Accent6 3 11" xfId="1942" xr:uid="{00000000-0005-0000-0000-000095070000}"/>
    <cellStyle name="Accent6 3 12" xfId="1943" xr:uid="{00000000-0005-0000-0000-000096070000}"/>
    <cellStyle name="Accent6 3 13" xfId="1944" xr:uid="{00000000-0005-0000-0000-000097070000}"/>
    <cellStyle name="Accent6 3 14" xfId="1945" xr:uid="{00000000-0005-0000-0000-000098070000}"/>
    <cellStyle name="Accent6 3 15" xfId="1946" xr:uid="{00000000-0005-0000-0000-000099070000}"/>
    <cellStyle name="Accent6 3 16" xfId="1947" xr:uid="{00000000-0005-0000-0000-00009A070000}"/>
    <cellStyle name="Accent6 3 17" xfId="1948" xr:uid="{00000000-0005-0000-0000-00009B070000}"/>
    <cellStyle name="Accent6 3 2" xfId="1949" xr:uid="{00000000-0005-0000-0000-00009C070000}"/>
    <cellStyle name="Accent6 3 3" xfId="1950" xr:uid="{00000000-0005-0000-0000-00009D070000}"/>
    <cellStyle name="Accent6 3 4" xfId="1951" xr:uid="{00000000-0005-0000-0000-00009E070000}"/>
    <cellStyle name="Accent6 3 5" xfId="1952" xr:uid="{00000000-0005-0000-0000-00009F070000}"/>
    <cellStyle name="Accent6 3 6" xfId="1953" xr:uid="{00000000-0005-0000-0000-0000A0070000}"/>
    <cellStyle name="Accent6 3 7" xfId="1954" xr:uid="{00000000-0005-0000-0000-0000A1070000}"/>
    <cellStyle name="Accent6 3 8" xfId="1955" xr:uid="{00000000-0005-0000-0000-0000A2070000}"/>
    <cellStyle name="Accent6 3 9" xfId="1956" xr:uid="{00000000-0005-0000-0000-0000A3070000}"/>
    <cellStyle name="Bad 2" xfId="1957" xr:uid="{00000000-0005-0000-0000-0000A4070000}"/>
    <cellStyle name="Bad 2 10" xfId="1958" xr:uid="{00000000-0005-0000-0000-0000A5070000}"/>
    <cellStyle name="Bad 2 11" xfId="1959" xr:uid="{00000000-0005-0000-0000-0000A6070000}"/>
    <cellStyle name="Bad 2 12" xfId="1960" xr:uid="{00000000-0005-0000-0000-0000A7070000}"/>
    <cellStyle name="Bad 2 13" xfId="1961" xr:uid="{00000000-0005-0000-0000-0000A8070000}"/>
    <cellStyle name="Bad 2 14" xfId="1962" xr:uid="{00000000-0005-0000-0000-0000A9070000}"/>
    <cellStyle name="Bad 2 15" xfId="1963" xr:uid="{00000000-0005-0000-0000-0000AA070000}"/>
    <cellStyle name="Bad 2 16" xfId="1964" xr:uid="{00000000-0005-0000-0000-0000AB070000}"/>
    <cellStyle name="Bad 2 17" xfId="1965" xr:uid="{00000000-0005-0000-0000-0000AC070000}"/>
    <cellStyle name="Bad 2 2" xfId="1966" xr:uid="{00000000-0005-0000-0000-0000AD070000}"/>
    <cellStyle name="Bad 2 3" xfId="1967" xr:uid="{00000000-0005-0000-0000-0000AE070000}"/>
    <cellStyle name="Bad 2 4" xfId="1968" xr:uid="{00000000-0005-0000-0000-0000AF070000}"/>
    <cellStyle name="Bad 2 5" xfId="1969" xr:uid="{00000000-0005-0000-0000-0000B0070000}"/>
    <cellStyle name="Bad 2 6" xfId="1970" xr:uid="{00000000-0005-0000-0000-0000B1070000}"/>
    <cellStyle name="Bad 2 7" xfId="1971" xr:uid="{00000000-0005-0000-0000-0000B2070000}"/>
    <cellStyle name="Bad 2 8" xfId="1972" xr:uid="{00000000-0005-0000-0000-0000B3070000}"/>
    <cellStyle name="Bad 2 9" xfId="1973" xr:uid="{00000000-0005-0000-0000-0000B4070000}"/>
    <cellStyle name="Bad 3 10" xfId="1974" xr:uid="{00000000-0005-0000-0000-0000B5070000}"/>
    <cellStyle name="Bad 3 11" xfId="1975" xr:uid="{00000000-0005-0000-0000-0000B6070000}"/>
    <cellStyle name="Bad 3 12" xfId="1976" xr:uid="{00000000-0005-0000-0000-0000B7070000}"/>
    <cellStyle name="Bad 3 13" xfId="1977" xr:uid="{00000000-0005-0000-0000-0000B8070000}"/>
    <cellStyle name="Bad 3 14" xfId="1978" xr:uid="{00000000-0005-0000-0000-0000B9070000}"/>
    <cellStyle name="Bad 3 15" xfId="1979" xr:uid="{00000000-0005-0000-0000-0000BA070000}"/>
    <cellStyle name="Bad 3 16" xfId="1980" xr:uid="{00000000-0005-0000-0000-0000BB070000}"/>
    <cellStyle name="Bad 3 17" xfId="1981" xr:uid="{00000000-0005-0000-0000-0000BC070000}"/>
    <cellStyle name="Bad 3 2" xfId="1982" xr:uid="{00000000-0005-0000-0000-0000BD070000}"/>
    <cellStyle name="Bad 3 3" xfId="1983" xr:uid="{00000000-0005-0000-0000-0000BE070000}"/>
    <cellStyle name="Bad 3 4" xfId="1984" xr:uid="{00000000-0005-0000-0000-0000BF070000}"/>
    <cellStyle name="Bad 3 5" xfId="1985" xr:uid="{00000000-0005-0000-0000-0000C0070000}"/>
    <cellStyle name="Bad 3 6" xfId="1986" xr:uid="{00000000-0005-0000-0000-0000C1070000}"/>
    <cellStyle name="Bad 3 7" xfId="1987" xr:uid="{00000000-0005-0000-0000-0000C2070000}"/>
    <cellStyle name="Bad 3 8" xfId="1988" xr:uid="{00000000-0005-0000-0000-0000C3070000}"/>
    <cellStyle name="Bad 3 9" xfId="1989" xr:uid="{00000000-0005-0000-0000-0000C4070000}"/>
    <cellStyle name="Calcolo" xfId="1990" xr:uid="{00000000-0005-0000-0000-0000C5070000}"/>
    <cellStyle name="Calcolo 2" xfId="1991" xr:uid="{00000000-0005-0000-0000-0000C6070000}"/>
    <cellStyle name="Calcolo 2 2" xfId="1992" xr:uid="{00000000-0005-0000-0000-0000C7070000}"/>
    <cellStyle name="Calcolo 2 2 2" xfId="1993" xr:uid="{00000000-0005-0000-0000-0000C8070000}"/>
    <cellStyle name="Calcolo 3" xfId="1994" xr:uid="{00000000-0005-0000-0000-0000C9070000}"/>
    <cellStyle name="Calcolo 4" xfId="1995" xr:uid="{00000000-0005-0000-0000-0000CA070000}"/>
    <cellStyle name="Calculation 2" xfId="1996" xr:uid="{00000000-0005-0000-0000-0000CB070000}"/>
    <cellStyle name="Calculation 2 10" xfId="1997" xr:uid="{00000000-0005-0000-0000-0000CC070000}"/>
    <cellStyle name="Calculation 2 11" xfId="1998" xr:uid="{00000000-0005-0000-0000-0000CD070000}"/>
    <cellStyle name="Calculation 2 12" xfId="1999" xr:uid="{00000000-0005-0000-0000-0000CE070000}"/>
    <cellStyle name="Calculation 2 13" xfId="2000" xr:uid="{00000000-0005-0000-0000-0000CF070000}"/>
    <cellStyle name="Calculation 2 14" xfId="2001" xr:uid="{00000000-0005-0000-0000-0000D0070000}"/>
    <cellStyle name="Calculation 2 15" xfId="2002" xr:uid="{00000000-0005-0000-0000-0000D1070000}"/>
    <cellStyle name="Calculation 2 16" xfId="2003" xr:uid="{00000000-0005-0000-0000-0000D2070000}"/>
    <cellStyle name="Calculation 2 17" xfId="2004" xr:uid="{00000000-0005-0000-0000-0000D3070000}"/>
    <cellStyle name="Calculation 2 2" xfId="2005" xr:uid="{00000000-0005-0000-0000-0000D4070000}"/>
    <cellStyle name="Calculation 2 3" xfId="2006" xr:uid="{00000000-0005-0000-0000-0000D5070000}"/>
    <cellStyle name="Calculation 2 4" xfId="2007" xr:uid="{00000000-0005-0000-0000-0000D6070000}"/>
    <cellStyle name="Calculation 2 5" xfId="2008" xr:uid="{00000000-0005-0000-0000-0000D7070000}"/>
    <cellStyle name="Calculation 2 6" xfId="2009" xr:uid="{00000000-0005-0000-0000-0000D8070000}"/>
    <cellStyle name="Calculation 2 7" xfId="2010" xr:uid="{00000000-0005-0000-0000-0000D9070000}"/>
    <cellStyle name="Calculation 2 8" xfId="2011" xr:uid="{00000000-0005-0000-0000-0000DA070000}"/>
    <cellStyle name="Calculation 2 9" xfId="2012" xr:uid="{00000000-0005-0000-0000-0000DB070000}"/>
    <cellStyle name="Calculation 3 10" xfId="2013" xr:uid="{00000000-0005-0000-0000-0000DC070000}"/>
    <cellStyle name="Calculation 3 11" xfId="2014" xr:uid="{00000000-0005-0000-0000-0000DD070000}"/>
    <cellStyle name="Calculation 3 12" xfId="2015" xr:uid="{00000000-0005-0000-0000-0000DE070000}"/>
    <cellStyle name="Calculation 3 13" xfId="2016" xr:uid="{00000000-0005-0000-0000-0000DF070000}"/>
    <cellStyle name="Calculation 3 14" xfId="2017" xr:uid="{00000000-0005-0000-0000-0000E0070000}"/>
    <cellStyle name="Calculation 3 15" xfId="2018" xr:uid="{00000000-0005-0000-0000-0000E1070000}"/>
    <cellStyle name="Calculation 3 16" xfId="2019" xr:uid="{00000000-0005-0000-0000-0000E2070000}"/>
    <cellStyle name="Calculation 3 17" xfId="2020" xr:uid="{00000000-0005-0000-0000-0000E3070000}"/>
    <cellStyle name="Calculation 3 2" xfId="2021" xr:uid="{00000000-0005-0000-0000-0000E4070000}"/>
    <cellStyle name="Calculation 3 3" xfId="2022" xr:uid="{00000000-0005-0000-0000-0000E5070000}"/>
    <cellStyle name="Calculation 3 4" xfId="2023" xr:uid="{00000000-0005-0000-0000-0000E6070000}"/>
    <cellStyle name="Calculation 3 5" xfId="2024" xr:uid="{00000000-0005-0000-0000-0000E7070000}"/>
    <cellStyle name="Calculation 3 6" xfId="2025" xr:uid="{00000000-0005-0000-0000-0000E8070000}"/>
    <cellStyle name="Calculation 3 7" xfId="2026" xr:uid="{00000000-0005-0000-0000-0000E9070000}"/>
    <cellStyle name="Calculation 3 8" xfId="2027" xr:uid="{00000000-0005-0000-0000-0000EA070000}"/>
    <cellStyle name="Calculation 3 9" xfId="2028" xr:uid="{00000000-0005-0000-0000-0000EB070000}"/>
    <cellStyle name="Cella collegata" xfId="2029" xr:uid="{00000000-0005-0000-0000-0000EC070000}"/>
    <cellStyle name="Cella collegata 2" xfId="2030" xr:uid="{00000000-0005-0000-0000-0000ED070000}"/>
    <cellStyle name="Cella collegata 2 2" xfId="2031" xr:uid="{00000000-0005-0000-0000-0000EE070000}"/>
    <cellStyle name="Cella collegata 2 2 2" xfId="2032" xr:uid="{00000000-0005-0000-0000-0000EF070000}"/>
    <cellStyle name="Cella collegata 3" xfId="2033" xr:uid="{00000000-0005-0000-0000-0000F0070000}"/>
    <cellStyle name="Cella collegata 4" xfId="2034" xr:uid="{00000000-0005-0000-0000-0000F1070000}"/>
    <cellStyle name="Cella da controllare" xfId="2035" xr:uid="{00000000-0005-0000-0000-0000F2070000}"/>
    <cellStyle name="Cella da controllare 2" xfId="2036" xr:uid="{00000000-0005-0000-0000-0000F3070000}"/>
    <cellStyle name="Cella da controllare 2 2" xfId="2037" xr:uid="{00000000-0005-0000-0000-0000F4070000}"/>
    <cellStyle name="Cella da controllare 2 2 2" xfId="2038" xr:uid="{00000000-0005-0000-0000-0000F5070000}"/>
    <cellStyle name="Cella da controllare 3" xfId="2039" xr:uid="{00000000-0005-0000-0000-0000F6070000}"/>
    <cellStyle name="Cella da controllare 4" xfId="2040" xr:uid="{00000000-0005-0000-0000-0000F7070000}"/>
    <cellStyle name="cf1" xfId="2041" xr:uid="{00000000-0005-0000-0000-0000F8070000}"/>
    <cellStyle name="Check Cell 2" xfId="2042" xr:uid="{00000000-0005-0000-0000-0000F9070000}"/>
    <cellStyle name="Check Cell 2 10" xfId="2043" xr:uid="{00000000-0005-0000-0000-0000FA070000}"/>
    <cellStyle name="Check Cell 2 11" xfId="2044" xr:uid="{00000000-0005-0000-0000-0000FB070000}"/>
    <cellStyle name="Check Cell 2 12" xfId="2045" xr:uid="{00000000-0005-0000-0000-0000FC070000}"/>
    <cellStyle name="Check Cell 2 13" xfId="2046" xr:uid="{00000000-0005-0000-0000-0000FD070000}"/>
    <cellStyle name="Check Cell 2 14" xfId="2047" xr:uid="{00000000-0005-0000-0000-0000FE070000}"/>
    <cellStyle name="Check Cell 2 15" xfId="2048" xr:uid="{00000000-0005-0000-0000-0000FF070000}"/>
    <cellStyle name="Check Cell 2 16" xfId="2049" xr:uid="{00000000-0005-0000-0000-000000080000}"/>
    <cellStyle name="Check Cell 2 17" xfId="2050" xr:uid="{00000000-0005-0000-0000-000001080000}"/>
    <cellStyle name="Check Cell 2 2" xfId="2051" xr:uid="{00000000-0005-0000-0000-000002080000}"/>
    <cellStyle name="Check Cell 2 3" xfId="2052" xr:uid="{00000000-0005-0000-0000-000003080000}"/>
    <cellStyle name="Check Cell 2 4" xfId="2053" xr:uid="{00000000-0005-0000-0000-000004080000}"/>
    <cellStyle name="Check Cell 2 5" xfId="2054" xr:uid="{00000000-0005-0000-0000-000005080000}"/>
    <cellStyle name="Check Cell 2 6" xfId="2055" xr:uid="{00000000-0005-0000-0000-000006080000}"/>
    <cellStyle name="Check Cell 2 7" xfId="2056" xr:uid="{00000000-0005-0000-0000-000007080000}"/>
    <cellStyle name="Check Cell 2 8" xfId="2057" xr:uid="{00000000-0005-0000-0000-000008080000}"/>
    <cellStyle name="Check Cell 2 9" xfId="2058" xr:uid="{00000000-0005-0000-0000-000009080000}"/>
    <cellStyle name="Check Cell 3 10" xfId="2059" xr:uid="{00000000-0005-0000-0000-00000A080000}"/>
    <cellStyle name="Check Cell 3 11" xfId="2060" xr:uid="{00000000-0005-0000-0000-00000B080000}"/>
    <cellStyle name="Check Cell 3 12" xfId="2061" xr:uid="{00000000-0005-0000-0000-00000C080000}"/>
    <cellStyle name="Check Cell 3 13" xfId="2062" xr:uid="{00000000-0005-0000-0000-00000D080000}"/>
    <cellStyle name="Check Cell 3 14" xfId="2063" xr:uid="{00000000-0005-0000-0000-00000E080000}"/>
    <cellStyle name="Check Cell 3 15" xfId="2064" xr:uid="{00000000-0005-0000-0000-00000F080000}"/>
    <cellStyle name="Check Cell 3 16" xfId="2065" xr:uid="{00000000-0005-0000-0000-000010080000}"/>
    <cellStyle name="Check Cell 3 17" xfId="2066" xr:uid="{00000000-0005-0000-0000-000011080000}"/>
    <cellStyle name="Check Cell 3 2" xfId="2067" xr:uid="{00000000-0005-0000-0000-000012080000}"/>
    <cellStyle name="Check Cell 3 3" xfId="2068" xr:uid="{00000000-0005-0000-0000-000013080000}"/>
    <cellStyle name="Check Cell 3 4" xfId="2069" xr:uid="{00000000-0005-0000-0000-000014080000}"/>
    <cellStyle name="Check Cell 3 5" xfId="2070" xr:uid="{00000000-0005-0000-0000-000015080000}"/>
    <cellStyle name="Check Cell 3 6" xfId="2071" xr:uid="{00000000-0005-0000-0000-000016080000}"/>
    <cellStyle name="Check Cell 3 7" xfId="2072" xr:uid="{00000000-0005-0000-0000-000017080000}"/>
    <cellStyle name="Check Cell 3 8" xfId="2073" xr:uid="{00000000-0005-0000-0000-000018080000}"/>
    <cellStyle name="Check Cell 3 9" xfId="2074" xr:uid="{00000000-0005-0000-0000-000019080000}"/>
    <cellStyle name="Colore 1" xfId="2075" xr:uid="{00000000-0005-0000-0000-00001A080000}"/>
    <cellStyle name="Colore 1 2" xfId="2076" xr:uid="{00000000-0005-0000-0000-00001B080000}"/>
    <cellStyle name="Colore 1 2 2" xfId="2077" xr:uid="{00000000-0005-0000-0000-00001C080000}"/>
    <cellStyle name="Colore 1 2 2 2" xfId="2078" xr:uid="{00000000-0005-0000-0000-00001D080000}"/>
    <cellStyle name="Colore 1 3" xfId="2079" xr:uid="{00000000-0005-0000-0000-00001E080000}"/>
    <cellStyle name="Colore 1 4" xfId="2080" xr:uid="{00000000-0005-0000-0000-00001F080000}"/>
    <cellStyle name="Colore 2" xfId="2081" xr:uid="{00000000-0005-0000-0000-000020080000}"/>
    <cellStyle name="Colore 2 2" xfId="2082" xr:uid="{00000000-0005-0000-0000-000021080000}"/>
    <cellStyle name="Colore 2 2 2" xfId="2083" xr:uid="{00000000-0005-0000-0000-000022080000}"/>
    <cellStyle name="Colore 2 2 2 2" xfId="2084" xr:uid="{00000000-0005-0000-0000-000023080000}"/>
    <cellStyle name="Colore 2 3" xfId="2085" xr:uid="{00000000-0005-0000-0000-000024080000}"/>
    <cellStyle name="Colore 2 4" xfId="2086" xr:uid="{00000000-0005-0000-0000-000025080000}"/>
    <cellStyle name="Colore 3" xfId="2087" xr:uid="{00000000-0005-0000-0000-000026080000}"/>
    <cellStyle name="Colore 3 2" xfId="2088" xr:uid="{00000000-0005-0000-0000-000027080000}"/>
    <cellStyle name="Colore 3 2 2" xfId="2089" xr:uid="{00000000-0005-0000-0000-000028080000}"/>
    <cellStyle name="Colore 3 2 2 2" xfId="2090" xr:uid="{00000000-0005-0000-0000-000029080000}"/>
    <cellStyle name="Colore 3 3" xfId="2091" xr:uid="{00000000-0005-0000-0000-00002A080000}"/>
    <cellStyle name="Colore 3 4" xfId="2092" xr:uid="{00000000-0005-0000-0000-00002B080000}"/>
    <cellStyle name="Colore 4" xfId="2093" xr:uid="{00000000-0005-0000-0000-00002C080000}"/>
    <cellStyle name="Colore 4 2" xfId="2094" xr:uid="{00000000-0005-0000-0000-00002D080000}"/>
    <cellStyle name="Colore 4 2 2" xfId="2095" xr:uid="{00000000-0005-0000-0000-00002E080000}"/>
    <cellStyle name="Colore 4 2 2 2" xfId="2096" xr:uid="{00000000-0005-0000-0000-00002F080000}"/>
    <cellStyle name="Colore 4 3" xfId="2097" xr:uid="{00000000-0005-0000-0000-000030080000}"/>
    <cellStyle name="Colore 4 4" xfId="2098" xr:uid="{00000000-0005-0000-0000-000031080000}"/>
    <cellStyle name="Colore 5" xfId="2099" xr:uid="{00000000-0005-0000-0000-000032080000}"/>
    <cellStyle name="Colore 5 2" xfId="2100" xr:uid="{00000000-0005-0000-0000-000033080000}"/>
    <cellStyle name="Colore 5 2 2" xfId="2101" xr:uid="{00000000-0005-0000-0000-000034080000}"/>
    <cellStyle name="Colore 5 2 2 2" xfId="2102" xr:uid="{00000000-0005-0000-0000-000035080000}"/>
    <cellStyle name="Colore 5 3" xfId="2103" xr:uid="{00000000-0005-0000-0000-000036080000}"/>
    <cellStyle name="Colore 5 4" xfId="2104" xr:uid="{00000000-0005-0000-0000-000037080000}"/>
    <cellStyle name="Colore 6" xfId="2105" xr:uid="{00000000-0005-0000-0000-000038080000}"/>
    <cellStyle name="Colore 6 2" xfId="2106" xr:uid="{00000000-0005-0000-0000-000039080000}"/>
    <cellStyle name="Colore 6 2 2" xfId="2107" xr:uid="{00000000-0005-0000-0000-00003A080000}"/>
    <cellStyle name="Colore 6 2 2 2" xfId="2108" xr:uid="{00000000-0005-0000-0000-00003B080000}"/>
    <cellStyle name="Colore 6 3" xfId="2109" xr:uid="{00000000-0005-0000-0000-00003C080000}"/>
    <cellStyle name="Colore 6 4" xfId="2110" xr:uid="{00000000-0005-0000-0000-00003D080000}"/>
    <cellStyle name="Comma 2" xfId="2111" xr:uid="{00000000-0005-0000-0000-00003E080000}"/>
    <cellStyle name="Comma 2 10" xfId="3518" xr:uid="{00000000-0005-0000-0000-0000B9050000}"/>
    <cellStyle name="Comma 2 10 2" xfId="12103" xr:uid="{00000000-0005-0000-0000-0000BA050000}"/>
    <cellStyle name="Comma 2 11" xfId="3575" xr:uid="{00000000-0005-0000-0000-0000BB050000}"/>
    <cellStyle name="Comma 2 11 2" xfId="12161" xr:uid="{00000000-0005-0000-0000-0000BC050000}"/>
    <cellStyle name="Comma 2 12" xfId="11986" xr:uid="{00000000-0005-0000-0000-0000BD050000}"/>
    <cellStyle name="Comma 2 2" xfId="2112" xr:uid="{00000000-0005-0000-0000-00003F080000}"/>
    <cellStyle name="Comma 2 2 2" xfId="2113" xr:uid="{00000000-0005-0000-0000-000040080000}"/>
    <cellStyle name="Comma 2 2 2 2" xfId="2114" xr:uid="{00000000-0005-0000-0000-000041080000}"/>
    <cellStyle name="Comma 2 2 2 2 2" xfId="2115" xr:uid="{00000000-0005-0000-0000-000042080000}"/>
    <cellStyle name="Comma 2 2 2 2 2 2" xfId="3509" xr:uid="{00000000-0005-0000-0000-0000C2050000}"/>
    <cellStyle name="Comma 2 2 2 2 2 2 2" xfId="12094" xr:uid="{00000000-0005-0000-0000-0000C3050000}"/>
    <cellStyle name="Comma 2 2 2 2 2 3" xfId="3566" xr:uid="{00000000-0005-0000-0000-0000C4050000}"/>
    <cellStyle name="Comma 2 2 2 2 2 3 2" xfId="12152" xr:uid="{00000000-0005-0000-0000-0000C5050000}"/>
    <cellStyle name="Comma 2 2 2 2 2 4" xfId="3625" xr:uid="{00000000-0005-0000-0000-0000C6050000}"/>
    <cellStyle name="Comma 2 2 2 2 2 4 2" xfId="12211" xr:uid="{00000000-0005-0000-0000-0000C7050000}"/>
    <cellStyle name="Comma 2 2 2 2 2 5" xfId="12037" xr:uid="{00000000-0005-0000-0000-0000C8050000}"/>
    <cellStyle name="Comma 2 2 2 2 2 6" xfId="3452" xr:uid="{00000000-0005-0000-0000-0000C1050000}"/>
    <cellStyle name="Comma 2 2 2 2 3" xfId="2116" xr:uid="{00000000-0005-0000-0000-000043080000}"/>
    <cellStyle name="Comma 2 2 2 2 3 2" xfId="2117" xr:uid="{00000000-0005-0000-0000-000044080000}"/>
    <cellStyle name="Comma 2 2 2 2 3 2 2" xfId="12074" xr:uid="{00000000-0005-0000-0000-0000CB050000}"/>
    <cellStyle name="Comma 2 2 2 2 3 2 3" xfId="3489" xr:uid="{00000000-0005-0000-0000-0000CA050000}"/>
    <cellStyle name="Comma 2 2 2 2 3 3" xfId="3546" xr:uid="{00000000-0005-0000-0000-0000CC050000}"/>
    <cellStyle name="Comma 2 2 2 2 3 3 2" xfId="12132" xr:uid="{00000000-0005-0000-0000-0000CD050000}"/>
    <cellStyle name="Comma 2 2 2 2 3 4" xfId="3605" xr:uid="{00000000-0005-0000-0000-0000CE050000}"/>
    <cellStyle name="Comma 2 2 2 2 3 4 2" xfId="12191" xr:uid="{00000000-0005-0000-0000-0000CF050000}"/>
    <cellStyle name="Comma 2 2 2 2 3 5" xfId="12017" xr:uid="{00000000-0005-0000-0000-0000D0050000}"/>
    <cellStyle name="Comma 2 2 2 2 3 6" xfId="3438" xr:uid="{00000000-0005-0000-0000-0000C9050000}"/>
    <cellStyle name="Comma 2 2 2 2 4" xfId="2118" xr:uid="{00000000-0005-0000-0000-000045080000}"/>
    <cellStyle name="Comma 2 2 2 2 4 2" xfId="12055" xr:uid="{00000000-0005-0000-0000-0000D2050000}"/>
    <cellStyle name="Comma 2 2 2 2 4 3" xfId="3470" xr:uid="{00000000-0005-0000-0000-0000D1050000}"/>
    <cellStyle name="Comma 2 2 2 2 5" xfId="2119" xr:uid="{00000000-0005-0000-0000-000046080000}"/>
    <cellStyle name="Comma 2 2 2 2 5 2" xfId="12112" xr:uid="{00000000-0005-0000-0000-0000D4050000}"/>
    <cellStyle name="Comma 2 2 2 2 5 3" xfId="3527" xr:uid="{00000000-0005-0000-0000-0000D3050000}"/>
    <cellStyle name="Comma 2 2 2 2 6" xfId="3585" xr:uid="{00000000-0005-0000-0000-0000D5050000}"/>
    <cellStyle name="Comma 2 2 2 2 6 2" xfId="12171" xr:uid="{00000000-0005-0000-0000-0000D6050000}"/>
    <cellStyle name="Comma 2 2 2 2 7" xfId="11997" xr:uid="{00000000-0005-0000-0000-0000D7050000}"/>
    <cellStyle name="Comma 2 2 2 2 8" xfId="3424" xr:uid="{00000000-0005-0000-0000-0000C0050000}"/>
    <cellStyle name="Comma 2 2 2 3" xfId="2120" xr:uid="{00000000-0005-0000-0000-000047080000}"/>
    <cellStyle name="Comma 2 2 2 3 2" xfId="2121" xr:uid="{00000000-0005-0000-0000-000048080000}"/>
    <cellStyle name="Comma 2 2 2 3 2 2" xfId="12084" xr:uid="{00000000-0005-0000-0000-0000DA050000}"/>
    <cellStyle name="Comma 2 2 2 3 2 3" xfId="3499" xr:uid="{00000000-0005-0000-0000-0000D9050000}"/>
    <cellStyle name="Comma 2 2 2 3 3" xfId="3556" xr:uid="{00000000-0005-0000-0000-0000DB050000}"/>
    <cellStyle name="Comma 2 2 2 3 3 2" xfId="12142" xr:uid="{00000000-0005-0000-0000-0000DC050000}"/>
    <cellStyle name="Comma 2 2 2 3 4" xfId="3615" xr:uid="{00000000-0005-0000-0000-0000DD050000}"/>
    <cellStyle name="Comma 2 2 2 3 4 2" xfId="12201" xr:uid="{00000000-0005-0000-0000-0000DE050000}"/>
    <cellStyle name="Comma 2 2 2 3 5" xfId="12027" xr:uid="{00000000-0005-0000-0000-0000DF050000}"/>
    <cellStyle name="Comma 2 2 2 4" xfId="2122" xr:uid="{00000000-0005-0000-0000-000049080000}"/>
    <cellStyle name="Comma 2 2 2 4 2" xfId="3480" xr:uid="{00000000-0005-0000-0000-0000E1050000}"/>
    <cellStyle name="Comma 2 2 2 4 2 2" xfId="12065" xr:uid="{00000000-0005-0000-0000-0000E2050000}"/>
    <cellStyle name="Comma 2 2 2 4 3" xfId="3537" xr:uid="{00000000-0005-0000-0000-0000E3050000}"/>
    <cellStyle name="Comma 2 2 2 4 3 2" xfId="12122" xr:uid="{00000000-0005-0000-0000-0000E4050000}"/>
    <cellStyle name="Comma 2 2 2 4 4" xfId="3595" xr:uid="{00000000-0005-0000-0000-0000E5050000}"/>
    <cellStyle name="Comma 2 2 2 4 4 2" xfId="12181" xr:uid="{00000000-0005-0000-0000-0000E6050000}"/>
    <cellStyle name="Comma 2 2 2 4 5" xfId="12007" xr:uid="{00000000-0005-0000-0000-0000E7050000}"/>
    <cellStyle name="Comma 2 2 2 4 6" xfId="3430" xr:uid="{00000000-0005-0000-0000-0000E0050000}"/>
    <cellStyle name="Comma 2 2 2 5" xfId="3462" xr:uid="{00000000-0005-0000-0000-0000E8050000}"/>
    <cellStyle name="Comma 2 2 2 5 2" xfId="12047" xr:uid="{00000000-0005-0000-0000-0000E9050000}"/>
    <cellStyle name="Comma 2 2 2 6" xfId="3519" xr:uid="{00000000-0005-0000-0000-0000EA050000}"/>
    <cellStyle name="Comma 2 2 2 6 2" xfId="12104" xr:uid="{00000000-0005-0000-0000-0000EB050000}"/>
    <cellStyle name="Comma 2 2 2 7" xfId="3576" xr:uid="{00000000-0005-0000-0000-0000EC050000}"/>
    <cellStyle name="Comma 2 2 2 7 2" xfId="12162" xr:uid="{00000000-0005-0000-0000-0000ED050000}"/>
    <cellStyle name="Comma 2 2 2 8" xfId="11987" xr:uid="{00000000-0005-0000-0000-0000EE050000}"/>
    <cellStyle name="Comma 2 2 3" xfId="2123" xr:uid="{00000000-0005-0000-0000-00004A080000}"/>
    <cellStyle name="Comma 2 2 3 2" xfId="2124" xr:uid="{00000000-0005-0000-0000-00004B080000}"/>
    <cellStyle name="Comma 2 2 3 2 2" xfId="2125" xr:uid="{00000000-0005-0000-0000-00004C080000}"/>
    <cellStyle name="Comma 2 2 3 2 2 2" xfId="2126" xr:uid="{00000000-0005-0000-0000-00004D080000}"/>
    <cellStyle name="Comma 2 2 3 2 3" xfId="2127" xr:uid="{00000000-0005-0000-0000-00004E080000}"/>
    <cellStyle name="Comma 2 2 3 2 4" xfId="2128" xr:uid="{00000000-0005-0000-0000-00004F080000}"/>
    <cellStyle name="Comma 2 2 3 3" xfId="2129" xr:uid="{00000000-0005-0000-0000-000050080000}"/>
    <cellStyle name="Comma 2 2 3 3 2" xfId="2130" xr:uid="{00000000-0005-0000-0000-000051080000}"/>
    <cellStyle name="Comma 2 2 3 4" xfId="2131" xr:uid="{00000000-0005-0000-0000-000052080000}"/>
    <cellStyle name="Comma 2 2 3 4 2" xfId="2132" xr:uid="{00000000-0005-0000-0000-000053080000}"/>
    <cellStyle name="Comma 2 2 3 5" xfId="2133" xr:uid="{00000000-0005-0000-0000-000054080000}"/>
    <cellStyle name="Comma 2 2 3 6" xfId="2134" xr:uid="{00000000-0005-0000-0000-000055080000}"/>
    <cellStyle name="Comma 2 2 4" xfId="2135" xr:uid="{00000000-0005-0000-0000-000056080000}"/>
    <cellStyle name="Comma 2 3" xfId="2136" xr:uid="{00000000-0005-0000-0000-000057080000}"/>
    <cellStyle name="Comma 2 3 2" xfId="2137" xr:uid="{00000000-0005-0000-0000-000058080000}"/>
    <cellStyle name="Comma 2 3 2 2" xfId="2138" xr:uid="{00000000-0005-0000-0000-000059080000}"/>
    <cellStyle name="Comma 2 3 2 2 2" xfId="2139" xr:uid="{00000000-0005-0000-0000-00005A080000}"/>
    <cellStyle name="Comma 2 3 2 2 2 2" xfId="2140" xr:uid="{00000000-0005-0000-0000-00005B080000}"/>
    <cellStyle name="Comma 2 3 2 2 2 2 2" xfId="2141" xr:uid="{00000000-0005-0000-0000-00005C080000}"/>
    <cellStyle name="Comma 2 3 2 2 2 3" xfId="2142" xr:uid="{00000000-0005-0000-0000-00005D080000}"/>
    <cellStyle name="Comma 2 3 2 2 2 4" xfId="2143" xr:uid="{00000000-0005-0000-0000-00005E080000}"/>
    <cellStyle name="Comma 2 3 2 2 3" xfId="2144" xr:uid="{00000000-0005-0000-0000-00005F080000}"/>
    <cellStyle name="Comma 2 3 2 2 3 2" xfId="2145" xr:uid="{00000000-0005-0000-0000-000060080000}"/>
    <cellStyle name="Comma 2 3 2 2 4" xfId="2146" xr:uid="{00000000-0005-0000-0000-000061080000}"/>
    <cellStyle name="Comma 2 3 2 2 5" xfId="2147" xr:uid="{00000000-0005-0000-0000-000062080000}"/>
    <cellStyle name="Comma 2 3 3" xfId="2148" xr:uid="{00000000-0005-0000-0000-000063080000}"/>
    <cellStyle name="Comma 2 3 3 2" xfId="3453" xr:uid="{00000000-0005-0000-0000-0000F2050000}"/>
    <cellStyle name="Comma 2 3 3 2 2" xfId="3510" xr:uid="{00000000-0005-0000-0000-0000F3050000}"/>
    <cellStyle name="Comma 2 3 3 2 2 2" xfId="12095" xr:uid="{00000000-0005-0000-0000-0000F4050000}"/>
    <cellStyle name="Comma 2 3 3 2 3" xfId="3567" xr:uid="{00000000-0005-0000-0000-0000F5050000}"/>
    <cellStyle name="Comma 2 3 3 2 3 2" xfId="12153" xr:uid="{00000000-0005-0000-0000-0000F6050000}"/>
    <cellStyle name="Comma 2 3 3 2 4" xfId="3626" xr:uid="{00000000-0005-0000-0000-0000F7050000}"/>
    <cellStyle name="Comma 2 3 3 2 4 2" xfId="12212" xr:uid="{00000000-0005-0000-0000-0000F8050000}"/>
    <cellStyle name="Comma 2 3 3 2 5" xfId="12038" xr:uid="{00000000-0005-0000-0000-0000F9050000}"/>
    <cellStyle name="Comma 2 3 3 3" xfId="3439" xr:uid="{00000000-0005-0000-0000-0000FA050000}"/>
    <cellStyle name="Comma 2 3 3 3 2" xfId="3490" xr:uid="{00000000-0005-0000-0000-0000FB050000}"/>
    <cellStyle name="Comma 2 3 3 3 2 2" xfId="12075" xr:uid="{00000000-0005-0000-0000-0000FC050000}"/>
    <cellStyle name="Comma 2 3 3 3 3" xfId="3547" xr:uid="{00000000-0005-0000-0000-0000FD050000}"/>
    <cellStyle name="Comma 2 3 3 3 3 2" xfId="12133" xr:uid="{00000000-0005-0000-0000-0000FE050000}"/>
    <cellStyle name="Comma 2 3 3 3 4" xfId="3606" xr:uid="{00000000-0005-0000-0000-0000FF050000}"/>
    <cellStyle name="Comma 2 3 3 3 4 2" xfId="12192" xr:uid="{00000000-0005-0000-0000-000000060000}"/>
    <cellStyle name="Comma 2 3 3 3 5" xfId="12018" xr:uid="{00000000-0005-0000-0000-000001060000}"/>
    <cellStyle name="Comma 2 3 3 4" xfId="3471" xr:uid="{00000000-0005-0000-0000-000002060000}"/>
    <cellStyle name="Comma 2 3 3 4 2" xfId="12056" xr:uid="{00000000-0005-0000-0000-000003060000}"/>
    <cellStyle name="Comma 2 3 3 5" xfId="3528" xr:uid="{00000000-0005-0000-0000-000004060000}"/>
    <cellStyle name="Comma 2 3 3 5 2" xfId="12113" xr:uid="{00000000-0005-0000-0000-000005060000}"/>
    <cellStyle name="Comma 2 3 3 6" xfId="3586" xr:uid="{00000000-0005-0000-0000-000006060000}"/>
    <cellStyle name="Comma 2 3 3 6 2" xfId="12172" xr:uid="{00000000-0005-0000-0000-000007060000}"/>
    <cellStyle name="Comma 2 3 3 7" xfId="11998" xr:uid="{00000000-0005-0000-0000-000008060000}"/>
    <cellStyle name="Comma 2 3 4" xfId="3448" xr:uid="{00000000-0005-0000-0000-000009060000}"/>
    <cellStyle name="Comma 2 3 4 2" xfId="3500" xr:uid="{00000000-0005-0000-0000-00000A060000}"/>
    <cellStyle name="Comma 2 3 4 2 2" xfId="12085" xr:uid="{00000000-0005-0000-0000-00000B060000}"/>
    <cellStyle name="Comma 2 3 4 3" xfId="3557" xr:uid="{00000000-0005-0000-0000-00000C060000}"/>
    <cellStyle name="Comma 2 3 4 3 2" xfId="12143" xr:uid="{00000000-0005-0000-0000-00000D060000}"/>
    <cellStyle name="Comma 2 3 4 4" xfId="3616" xr:uid="{00000000-0005-0000-0000-00000E060000}"/>
    <cellStyle name="Comma 2 3 4 4 2" xfId="12202" xr:uid="{00000000-0005-0000-0000-00000F060000}"/>
    <cellStyle name="Comma 2 3 4 5" xfId="12028" xr:uid="{00000000-0005-0000-0000-000010060000}"/>
    <cellStyle name="Comma 2 3 5" xfId="3431" xr:uid="{00000000-0005-0000-0000-000011060000}"/>
    <cellStyle name="Comma 2 3 5 2" xfId="3481" xr:uid="{00000000-0005-0000-0000-000012060000}"/>
    <cellStyle name="Comma 2 3 5 2 2" xfId="12066" xr:uid="{00000000-0005-0000-0000-000013060000}"/>
    <cellStyle name="Comma 2 3 5 3" xfId="3538" xr:uid="{00000000-0005-0000-0000-000014060000}"/>
    <cellStyle name="Comma 2 3 5 3 2" xfId="12123" xr:uid="{00000000-0005-0000-0000-000015060000}"/>
    <cellStyle name="Comma 2 3 5 4" xfId="3596" xr:uid="{00000000-0005-0000-0000-000016060000}"/>
    <cellStyle name="Comma 2 3 5 4 2" xfId="12182" xr:uid="{00000000-0005-0000-0000-000017060000}"/>
    <cellStyle name="Comma 2 3 5 5" xfId="12008" xr:uid="{00000000-0005-0000-0000-000018060000}"/>
    <cellStyle name="Comma 2 3 6" xfId="3463" xr:uid="{00000000-0005-0000-0000-000019060000}"/>
    <cellStyle name="Comma 2 3 6 2" xfId="12048" xr:uid="{00000000-0005-0000-0000-00001A060000}"/>
    <cellStyle name="Comma 2 3 7" xfId="3520" xr:uid="{00000000-0005-0000-0000-00001B060000}"/>
    <cellStyle name="Comma 2 3 7 2" xfId="12105" xr:uid="{00000000-0005-0000-0000-00001C060000}"/>
    <cellStyle name="Comma 2 3 8" xfId="3577" xr:uid="{00000000-0005-0000-0000-00001D060000}"/>
    <cellStyle name="Comma 2 3 8 2" xfId="12163" xr:uid="{00000000-0005-0000-0000-00001E060000}"/>
    <cellStyle name="Comma 2 3 9" xfId="11988" xr:uid="{00000000-0005-0000-0000-00001F060000}"/>
    <cellStyle name="Comma 2 4" xfId="2149" xr:uid="{00000000-0005-0000-0000-000064080000}"/>
    <cellStyle name="Comma 2 4 2" xfId="2150" xr:uid="{00000000-0005-0000-0000-000065080000}"/>
    <cellStyle name="Comma 2 4 2 2" xfId="3454" xr:uid="{00000000-0005-0000-0000-000022060000}"/>
    <cellStyle name="Comma 2 4 2 2 2" xfId="3511" xr:uid="{00000000-0005-0000-0000-000023060000}"/>
    <cellStyle name="Comma 2 4 2 2 2 2" xfId="12096" xr:uid="{00000000-0005-0000-0000-000024060000}"/>
    <cellStyle name="Comma 2 4 2 2 3" xfId="3568" xr:uid="{00000000-0005-0000-0000-000025060000}"/>
    <cellStyle name="Comma 2 4 2 2 3 2" xfId="12154" xr:uid="{00000000-0005-0000-0000-000026060000}"/>
    <cellStyle name="Comma 2 4 2 2 4" xfId="3627" xr:uid="{00000000-0005-0000-0000-000027060000}"/>
    <cellStyle name="Comma 2 4 2 2 4 2" xfId="12213" xr:uid="{00000000-0005-0000-0000-000028060000}"/>
    <cellStyle name="Comma 2 4 2 2 5" xfId="12039" xr:uid="{00000000-0005-0000-0000-000029060000}"/>
    <cellStyle name="Comma 2 4 2 3" xfId="3440" xr:uid="{00000000-0005-0000-0000-00002A060000}"/>
    <cellStyle name="Comma 2 4 2 3 2" xfId="3491" xr:uid="{00000000-0005-0000-0000-00002B060000}"/>
    <cellStyle name="Comma 2 4 2 3 2 2" xfId="12076" xr:uid="{00000000-0005-0000-0000-00002C060000}"/>
    <cellStyle name="Comma 2 4 2 3 3" xfId="3548" xr:uid="{00000000-0005-0000-0000-00002D060000}"/>
    <cellStyle name="Comma 2 4 2 3 3 2" xfId="12134" xr:uid="{00000000-0005-0000-0000-00002E060000}"/>
    <cellStyle name="Comma 2 4 2 3 4" xfId="3607" xr:uid="{00000000-0005-0000-0000-00002F060000}"/>
    <cellStyle name="Comma 2 4 2 3 4 2" xfId="12193" xr:uid="{00000000-0005-0000-0000-000030060000}"/>
    <cellStyle name="Comma 2 4 2 3 5" xfId="12019" xr:uid="{00000000-0005-0000-0000-000031060000}"/>
    <cellStyle name="Comma 2 4 2 4" xfId="3472" xr:uid="{00000000-0005-0000-0000-000032060000}"/>
    <cellStyle name="Comma 2 4 2 4 2" xfId="12057" xr:uid="{00000000-0005-0000-0000-000033060000}"/>
    <cellStyle name="Comma 2 4 2 5" xfId="3529" xr:uid="{00000000-0005-0000-0000-000034060000}"/>
    <cellStyle name="Comma 2 4 2 5 2" xfId="12114" xr:uid="{00000000-0005-0000-0000-000035060000}"/>
    <cellStyle name="Comma 2 4 2 6" xfId="3587" xr:uid="{00000000-0005-0000-0000-000036060000}"/>
    <cellStyle name="Comma 2 4 2 6 2" xfId="12173" xr:uid="{00000000-0005-0000-0000-000037060000}"/>
    <cellStyle name="Comma 2 4 2 7" xfId="11999" xr:uid="{00000000-0005-0000-0000-000038060000}"/>
    <cellStyle name="Comma 2 4 2 8" xfId="3425" xr:uid="{00000000-0005-0000-0000-000021060000}"/>
    <cellStyle name="Comma 2 4 3" xfId="2151" xr:uid="{00000000-0005-0000-0000-000066080000}"/>
    <cellStyle name="Comma 2 4 3 2" xfId="2152" xr:uid="{00000000-0005-0000-0000-000067080000}"/>
    <cellStyle name="Comma 2 4 3 2 2" xfId="12086" xr:uid="{00000000-0005-0000-0000-00003B060000}"/>
    <cellStyle name="Comma 2 4 3 2 3" xfId="3501" xr:uid="{00000000-0005-0000-0000-00003A060000}"/>
    <cellStyle name="Comma 2 4 3 3" xfId="3558" xr:uid="{00000000-0005-0000-0000-00003C060000}"/>
    <cellStyle name="Comma 2 4 3 3 2" xfId="12144" xr:uid="{00000000-0005-0000-0000-00003D060000}"/>
    <cellStyle name="Comma 2 4 3 4" xfId="3617" xr:uid="{00000000-0005-0000-0000-00003E060000}"/>
    <cellStyle name="Comma 2 4 3 4 2" xfId="12203" xr:uid="{00000000-0005-0000-0000-00003F060000}"/>
    <cellStyle name="Comma 2 4 3 5" xfId="12029" xr:uid="{00000000-0005-0000-0000-000040060000}"/>
    <cellStyle name="Comma 2 4 4" xfId="2153" xr:uid="{00000000-0005-0000-0000-000068080000}"/>
    <cellStyle name="Comma 2 4 4 2" xfId="3482" xr:uid="{00000000-0005-0000-0000-000042060000}"/>
    <cellStyle name="Comma 2 4 4 2 2" xfId="12067" xr:uid="{00000000-0005-0000-0000-000043060000}"/>
    <cellStyle name="Comma 2 4 4 3" xfId="3539" xr:uid="{00000000-0005-0000-0000-000044060000}"/>
    <cellStyle name="Comma 2 4 4 3 2" xfId="12124" xr:uid="{00000000-0005-0000-0000-000045060000}"/>
    <cellStyle name="Comma 2 4 4 4" xfId="3597" xr:uid="{00000000-0005-0000-0000-000046060000}"/>
    <cellStyle name="Comma 2 4 4 4 2" xfId="12183" xr:uid="{00000000-0005-0000-0000-000047060000}"/>
    <cellStyle name="Comma 2 4 4 5" xfId="12009" xr:uid="{00000000-0005-0000-0000-000048060000}"/>
    <cellStyle name="Comma 2 4 4 6" xfId="3432" xr:uid="{00000000-0005-0000-0000-000041060000}"/>
    <cellStyle name="Comma 2 4 5" xfId="3464" xr:uid="{00000000-0005-0000-0000-000049060000}"/>
    <cellStyle name="Comma 2 4 5 2" xfId="12049" xr:uid="{00000000-0005-0000-0000-00004A060000}"/>
    <cellStyle name="Comma 2 4 6" xfId="3521" xr:uid="{00000000-0005-0000-0000-00004B060000}"/>
    <cellStyle name="Comma 2 4 6 2" xfId="12106" xr:uid="{00000000-0005-0000-0000-00004C060000}"/>
    <cellStyle name="Comma 2 4 7" xfId="3578" xr:uid="{00000000-0005-0000-0000-00004D060000}"/>
    <cellStyle name="Comma 2 4 7 2" xfId="12164" xr:uid="{00000000-0005-0000-0000-00004E060000}"/>
    <cellStyle name="Comma 2 4 8" xfId="11989" xr:uid="{00000000-0005-0000-0000-00004F060000}"/>
    <cellStyle name="Comma 2 5" xfId="2154" xr:uid="{00000000-0005-0000-0000-000069080000}"/>
    <cellStyle name="Comma 2 5 2" xfId="2155" xr:uid="{00000000-0005-0000-0000-00006A080000}"/>
    <cellStyle name="Comma 2 6" xfId="2156" xr:uid="{00000000-0005-0000-0000-00006B080000}"/>
    <cellStyle name="Comma 2 6 2" xfId="2157" xr:uid="{00000000-0005-0000-0000-00006C080000}"/>
    <cellStyle name="Comma 2 6 2 2" xfId="3508" xr:uid="{00000000-0005-0000-0000-000053060000}"/>
    <cellStyle name="Comma 2 6 2 2 2" xfId="12093" xr:uid="{00000000-0005-0000-0000-000054060000}"/>
    <cellStyle name="Comma 2 6 2 3" xfId="3565" xr:uid="{00000000-0005-0000-0000-000055060000}"/>
    <cellStyle name="Comma 2 6 2 3 2" xfId="12151" xr:uid="{00000000-0005-0000-0000-000056060000}"/>
    <cellStyle name="Comma 2 6 2 4" xfId="3624" xr:uid="{00000000-0005-0000-0000-000057060000}"/>
    <cellStyle name="Comma 2 6 2 4 2" xfId="12210" xr:uid="{00000000-0005-0000-0000-000058060000}"/>
    <cellStyle name="Comma 2 6 2 5" xfId="12036" xr:uid="{00000000-0005-0000-0000-000059060000}"/>
    <cellStyle name="Comma 2 6 2 6" xfId="3451" xr:uid="{00000000-0005-0000-0000-000052060000}"/>
    <cellStyle name="Comma 2 6 3" xfId="3437" xr:uid="{00000000-0005-0000-0000-00005A060000}"/>
    <cellStyle name="Comma 2 6 3 2" xfId="3488" xr:uid="{00000000-0005-0000-0000-00005B060000}"/>
    <cellStyle name="Comma 2 6 3 2 2" xfId="12073" xr:uid="{00000000-0005-0000-0000-00005C060000}"/>
    <cellStyle name="Comma 2 6 3 3" xfId="3545" xr:uid="{00000000-0005-0000-0000-00005D060000}"/>
    <cellStyle name="Comma 2 6 3 3 2" xfId="12131" xr:uid="{00000000-0005-0000-0000-00005E060000}"/>
    <cellStyle name="Comma 2 6 3 4" xfId="3604" xr:uid="{00000000-0005-0000-0000-00005F060000}"/>
    <cellStyle name="Comma 2 6 3 4 2" xfId="12190" xr:uid="{00000000-0005-0000-0000-000060060000}"/>
    <cellStyle name="Comma 2 6 3 5" xfId="12016" xr:uid="{00000000-0005-0000-0000-000061060000}"/>
    <cellStyle name="Comma 2 6 4" xfId="3469" xr:uid="{00000000-0005-0000-0000-000062060000}"/>
    <cellStyle name="Comma 2 6 4 2" xfId="12054" xr:uid="{00000000-0005-0000-0000-000063060000}"/>
    <cellStyle name="Comma 2 6 5" xfId="3526" xr:uid="{00000000-0005-0000-0000-000064060000}"/>
    <cellStyle name="Comma 2 6 5 2" xfId="12111" xr:uid="{00000000-0005-0000-0000-000065060000}"/>
    <cellStyle name="Comma 2 6 6" xfId="3584" xr:uid="{00000000-0005-0000-0000-000066060000}"/>
    <cellStyle name="Comma 2 6 6 2" xfId="12170" xr:uid="{00000000-0005-0000-0000-000067060000}"/>
    <cellStyle name="Comma 2 6 7" xfId="11996" xr:uid="{00000000-0005-0000-0000-000068060000}"/>
    <cellStyle name="Comma 2 7" xfId="2158" xr:uid="{00000000-0005-0000-0000-00006D080000}"/>
    <cellStyle name="Comma 2 7 2" xfId="2159" xr:uid="{00000000-0005-0000-0000-00006E080000}"/>
    <cellStyle name="Comma 2 7 2 2" xfId="12083" xr:uid="{00000000-0005-0000-0000-00006B060000}"/>
    <cellStyle name="Comma 2 7 2 3" xfId="3498" xr:uid="{00000000-0005-0000-0000-00006A060000}"/>
    <cellStyle name="Comma 2 7 3" xfId="2160" xr:uid="{00000000-0005-0000-0000-00006F080000}"/>
    <cellStyle name="Comma 2 7 3 2" xfId="2161" xr:uid="{00000000-0005-0000-0000-000070080000}"/>
    <cellStyle name="Comma 2 7 3 2 2" xfId="12141" xr:uid="{00000000-0005-0000-0000-00006D060000}"/>
    <cellStyle name="Comma 2 7 3 3" xfId="3555" xr:uid="{00000000-0005-0000-0000-00006C060000}"/>
    <cellStyle name="Comma 2 7 4" xfId="2162" xr:uid="{00000000-0005-0000-0000-000071080000}"/>
    <cellStyle name="Comma 2 7 4 2" xfId="2163" xr:uid="{00000000-0005-0000-0000-000072080000}"/>
    <cellStyle name="Comma 2 7 4 2 2" xfId="12200" xr:uid="{00000000-0005-0000-0000-00006F060000}"/>
    <cellStyle name="Comma 2 7 4 3" xfId="3614" xr:uid="{00000000-0005-0000-0000-00006E060000}"/>
    <cellStyle name="Comma 2 7 5" xfId="2164" xr:uid="{00000000-0005-0000-0000-000073080000}"/>
    <cellStyle name="Comma 2 7 5 2" xfId="12026" xr:uid="{00000000-0005-0000-0000-000070060000}"/>
    <cellStyle name="Comma 2 7 6" xfId="2165" xr:uid="{00000000-0005-0000-0000-000074080000}"/>
    <cellStyle name="Comma 2 7 7" xfId="3447" xr:uid="{00000000-0005-0000-0000-000069060000}"/>
    <cellStyle name="Comma 2 8" xfId="2166" xr:uid="{00000000-0005-0000-0000-000075080000}"/>
    <cellStyle name="Comma 2 8 2" xfId="3479" xr:uid="{00000000-0005-0000-0000-000072060000}"/>
    <cellStyle name="Comma 2 8 2 2" xfId="12064" xr:uid="{00000000-0005-0000-0000-000073060000}"/>
    <cellStyle name="Comma 2 8 3" xfId="3536" xr:uid="{00000000-0005-0000-0000-000074060000}"/>
    <cellStyle name="Comma 2 8 3 2" xfId="12121" xr:uid="{00000000-0005-0000-0000-000075060000}"/>
    <cellStyle name="Comma 2 8 4" xfId="3594" xr:uid="{00000000-0005-0000-0000-000076060000}"/>
    <cellStyle name="Comma 2 8 4 2" xfId="12180" xr:uid="{00000000-0005-0000-0000-000077060000}"/>
    <cellStyle name="Comma 2 8 5" xfId="12006" xr:uid="{00000000-0005-0000-0000-000078060000}"/>
    <cellStyle name="Comma 2 8 6" xfId="3429" xr:uid="{00000000-0005-0000-0000-000071060000}"/>
    <cellStyle name="Comma 2 9" xfId="2167" xr:uid="{00000000-0005-0000-0000-000076080000}"/>
    <cellStyle name="Comma 2 9 2" xfId="12046" xr:uid="{00000000-0005-0000-0000-00007A060000}"/>
    <cellStyle name="Comma 2 9 3" xfId="3461" xr:uid="{00000000-0005-0000-0000-000079060000}"/>
    <cellStyle name="Comma 3" xfId="2168" xr:uid="{00000000-0005-0000-0000-000077080000}"/>
    <cellStyle name="Comma 3 2" xfId="2169" xr:uid="{00000000-0005-0000-0000-000078080000}"/>
    <cellStyle name="Comma 3 2 2" xfId="2170" xr:uid="{00000000-0005-0000-0000-000079080000}"/>
    <cellStyle name="Comma 3 2 2 2" xfId="2171" xr:uid="{00000000-0005-0000-0000-00007A080000}"/>
    <cellStyle name="Comma 3 2 2 2 2" xfId="3456" xr:uid="{00000000-0005-0000-0000-00007F060000}"/>
    <cellStyle name="Comma 3 2 2 2 2 2" xfId="3513" xr:uid="{00000000-0005-0000-0000-000080060000}"/>
    <cellStyle name="Comma 3 2 2 2 2 2 2" xfId="12098" xr:uid="{00000000-0005-0000-0000-000081060000}"/>
    <cellStyle name="Comma 3 2 2 2 2 3" xfId="3570" xr:uid="{00000000-0005-0000-0000-000082060000}"/>
    <cellStyle name="Comma 3 2 2 2 2 3 2" xfId="12156" xr:uid="{00000000-0005-0000-0000-000083060000}"/>
    <cellStyle name="Comma 3 2 2 2 2 4" xfId="3629" xr:uid="{00000000-0005-0000-0000-000084060000}"/>
    <cellStyle name="Comma 3 2 2 2 2 4 2" xfId="12215" xr:uid="{00000000-0005-0000-0000-000085060000}"/>
    <cellStyle name="Comma 3 2 2 2 2 5" xfId="12041" xr:uid="{00000000-0005-0000-0000-000086060000}"/>
    <cellStyle name="Comma 3 2 2 2 3" xfId="3442" xr:uid="{00000000-0005-0000-0000-000087060000}"/>
    <cellStyle name="Comma 3 2 2 2 3 2" xfId="3493" xr:uid="{00000000-0005-0000-0000-000088060000}"/>
    <cellStyle name="Comma 3 2 2 2 3 2 2" xfId="12078" xr:uid="{00000000-0005-0000-0000-000089060000}"/>
    <cellStyle name="Comma 3 2 2 2 3 3" xfId="3550" xr:uid="{00000000-0005-0000-0000-00008A060000}"/>
    <cellStyle name="Comma 3 2 2 2 3 3 2" xfId="12136" xr:uid="{00000000-0005-0000-0000-00008B060000}"/>
    <cellStyle name="Comma 3 2 2 2 3 4" xfId="3609" xr:uid="{00000000-0005-0000-0000-00008C060000}"/>
    <cellStyle name="Comma 3 2 2 2 3 4 2" xfId="12195" xr:uid="{00000000-0005-0000-0000-00008D060000}"/>
    <cellStyle name="Comma 3 2 2 2 3 5" xfId="12021" xr:uid="{00000000-0005-0000-0000-00008E060000}"/>
    <cellStyle name="Comma 3 2 2 2 4" xfId="3474" xr:uid="{00000000-0005-0000-0000-00008F060000}"/>
    <cellStyle name="Comma 3 2 2 2 4 2" xfId="12059" xr:uid="{00000000-0005-0000-0000-000090060000}"/>
    <cellStyle name="Comma 3 2 2 2 5" xfId="3531" xr:uid="{00000000-0005-0000-0000-000091060000}"/>
    <cellStyle name="Comma 3 2 2 2 5 2" xfId="12116" xr:uid="{00000000-0005-0000-0000-000092060000}"/>
    <cellStyle name="Comma 3 2 2 2 6" xfId="3589" xr:uid="{00000000-0005-0000-0000-000093060000}"/>
    <cellStyle name="Comma 3 2 2 2 6 2" xfId="12175" xr:uid="{00000000-0005-0000-0000-000094060000}"/>
    <cellStyle name="Comma 3 2 2 2 7" xfId="12001" xr:uid="{00000000-0005-0000-0000-000095060000}"/>
    <cellStyle name="Comma 3 2 2 3" xfId="3449" xr:uid="{00000000-0005-0000-0000-000096060000}"/>
    <cellStyle name="Comma 3 2 2 3 2" xfId="3503" xr:uid="{00000000-0005-0000-0000-000097060000}"/>
    <cellStyle name="Comma 3 2 2 3 2 2" xfId="12088" xr:uid="{00000000-0005-0000-0000-000098060000}"/>
    <cellStyle name="Comma 3 2 2 3 3" xfId="3560" xr:uid="{00000000-0005-0000-0000-000099060000}"/>
    <cellStyle name="Comma 3 2 2 3 3 2" xfId="12146" xr:uid="{00000000-0005-0000-0000-00009A060000}"/>
    <cellStyle name="Comma 3 2 2 3 4" xfId="3619" xr:uid="{00000000-0005-0000-0000-00009B060000}"/>
    <cellStyle name="Comma 3 2 2 3 4 2" xfId="12205" xr:uid="{00000000-0005-0000-0000-00009C060000}"/>
    <cellStyle name="Comma 3 2 2 3 5" xfId="12031" xr:uid="{00000000-0005-0000-0000-00009D060000}"/>
    <cellStyle name="Comma 3 2 2 4" xfId="3433" xr:uid="{00000000-0005-0000-0000-00009E060000}"/>
    <cellStyle name="Comma 3 2 2 4 2" xfId="3483" xr:uid="{00000000-0005-0000-0000-00009F060000}"/>
    <cellStyle name="Comma 3 2 2 4 2 2" xfId="12068" xr:uid="{00000000-0005-0000-0000-0000A0060000}"/>
    <cellStyle name="Comma 3 2 2 4 3" xfId="3540" xr:uid="{00000000-0005-0000-0000-0000A1060000}"/>
    <cellStyle name="Comma 3 2 2 4 3 2" xfId="12126" xr:uid="{00000000-0005-0000-0000-0000A2060000}"/>
    <cellStyle name="Comma 3 2 2 4 4" xfId="3599" xr:uid="{00000000-0005-0000-0000-0000A3060000}"/>
    <cellStyle name="Comma 3 2 2 4 4 2" xfId="12185" xr:uid="{00000000-0005-0000-0000-0000A4060000}"/>
    <cellStyle name="Comma 3 2 2 4 5" xfId="12011" xr:uid="{00000000-0005-0000-0000-0000A5060000}"/>
    <cellStyle name="Comma 3 2 2 5" xfId="3465" xr:uid="{00000000-0005-0000-0000-0000A6060000}"/>
    <cellStyle name="Comma 3 2 2 5 2" xfId="12050" xr:uid="{00000000-0005-0000-0000-0000A7060000}"/>
    <cellStyle name="Comma 3 2 2 6" xfId="3522" xr:uid="{00000000-0005-0000-0000-0000A8060000}"/>
    <cellStyle name="Comma 3 2 2 6 2" xfId="12107" xr:uid="{00000000-0005-0000-0000-0000A9060000}"/>
    <cellStyle name="Comma 3 2 2 7" xfId="3580" xr:uid="{00000000-0005-0000-0000-0000AA060000}"/>
    <cellStyle name="Comma 3 2 2 7 2" xfId="12166" xr:uid="{00000000-0005-0000-0000-0000AB060000}"/>
    <cellStyle name="Comma 3 2 2 8" xfId="11991" xr:uid="{00000000-0005-0000-0000-0000AC060000}"/>
    <cellStyle name="Comma 3 2 3" xfId="2172" xr:uid="{00000000-0005-0000-0000-00007B080000}"/>
    <cellStyle name="Comma 3 2 3 2" xfId="2173" xr:uid="{00000000-0005-0000-0000-00007C080000}"/>
    <cellStyle name="Comma 3 2 3 2 2" xfId="2174" xr:uid="{00000000-0005-0000-0000-00007D080000}"/>
    <cellStyle name="Comma 3 2 3 3" xfId="2175" xr:uid="{00000000-0005-0000-0000-00007E080000}"/>
    <cellStyle name="Comma 3 2 3 4" xfId="2176" xr:uid="{00000000-0005-0000-0000-00007F080000}"/>
    <cellStyle name="Comma 3 3" xfId="2177" xr:uid="{00000000-0005-0000-0000-000080080000}"/>
    <cellStyle name="Comma 3 3 2" xfId="2178" xr:uid="{00000000-0005-0000-0000-000081080000}"/>
    <cellStyle name="Comma 3 3 2 2" xfId="2179" xr:uid="{00000000-0005-0000-0000-000082080000}"/>
    <cellStyle name="Comma 3 3 2 2 2" xfId="2180" xr:uid="{00000000-0005-0000-0000-000083080000}"/>
    <cellStyle name="Comma 3 3 2 2 2 2" xfId="12097" xr:uid="{00000000-0005-0000-0000-0000B0060000}"/>
    <cellStyle name="Comma 3 3 2 2 3" xfId="3512" xr:uid="{00000000-0005-0000-0000-0000AF060000}"/>
    <cellStyle name="Comma 3 3 2 3" xfId="2181" xr:uid="{00000000-0005-0000-0000-000084080000}"/>
    <cellStyle name="Comma 3 3 2 3 2" xfId="12155" xr:uid="{00000000-0005-0000-0000-0000B2060000}"/>
    <cellStyle name="Comma 3 3 2 3 3" xfId="3569" xr:uid="{00000000-0005-0000-0000-0000B1060000}"/>
    <cellStyle name="Comma 3 3 2 4" xfId="2182" xr:uid="{00000000-0005-0000-0000-000085080000}"/>
    <cellStyle name="Comma 3 3 2 4 2" xfId="12214" xr:uid="{00000000-0005-0000-0000-0000B4060000}"/>
    <cellStyle name="Comma 3 3 2 4 3" xfId="3628" xr:uid="{00000000-0005-0000-0000-0000B3060000}"/>
    <cellStyle name="Comma 3 3 2 5" xfId="12040" xr:uid="{00000000-0005-0000-0000-0000B5060000}"/>
    <cellStyle name="Comma 3 3 2 6" xfId="3455" xr:uid="{00000000-0005-0000-0000-0000AE060000}"/>
    <cellStyle name="Comma 3 3 3" xfId="3441" xr:uid="{00000000-0005-0000-0000-0000B6060000}"/>
    <cellStyle name="Comma 3 3 3 2" xfId="3492" xr:uid="{00000000-0005-0000-0000-0000B7060000}"/>
    <cellStyle name="Comma 3 3 3 2 2" xfId="12077" xr:uid="{00000000-0005-0000-0000-0000B8060000}"/>
    <cellStyle name="Comma 3 3 3 3" xfId="3549" xr:uid="{00000000-0005-0000-0000-0000B9060000}"/>
    <cellStyle name="Comma 3 3 3 3 2" xfId="12135" xr:uid="{00000000-0005-0000-0000-0000BA060000}"/>
    <cellStyle name="Comma 3 3 3 4" xfId="3608" xr:uid="{00000000-0005-0000-0000-0000BB060000}"/>
    <cellStyle name="Comma 3 3 3 4 2" xfId="12194" xr:uid="{00000000-0005-0000-0000-0000BC060000}"/>
    <cellStyle name="Comma 3 3 3 5" xfId="12020" xr:uid="{00000000-0005-0000-0000-0000BD060000}"/>
    <cellStyle name="Comma 3 3 4" xfId="3473" xr:uid="{00000000-0005-0000-0000-0000BE060000}"/>
    <cellStyle name="Comma 3 3 4 2" xfId="12058" xr:uid="{00000000-0005-0000-0000-0000BF060000}"/>
    <cellStyle name="Comma 3 3 5" xfId="3530" xr:uid="{00000000-0005-0000-0000-0000C0060000}"/>
    <cellStyle name="Comma 3 3 5 2" xfId="12115" xr:uid="{00000000-0005-0000-0000-0000C1060000}"/>
    <cellStyle name="Comma 3 3 6" xfId="3588" xr:uid="{00000000-0005-0000-0000-0000C2060000}"/>
    <cellStyle name="Comma 3 3 6 2" xfId="12174" xr:uid="{00000000-0005-0000-0000-0000C3060000}"/>
    <cellStyle name="Comma 3 3 7" xfId="12000" xr:uid="{00000000-0005-0000-0000-0000C4060000}"/>
    <cellStyle name="Comma 3 4" xfId="2183" xr:uid="{00000000-0005-0000-0000-000086080000}"/>
    <cellStyle name="Comma 3 4 2" xfId="3502" xr:uid="{00000000-0005-0000-0000-0000C6060000}"/>
    <cellStyle name="Comma 3 4 2 2" xfId="12087" xr:uid="{00000000-0005-0000-0000-0000C7060000}"/>
    <cellStyle name="Comma 3 4 3" xfId="3559" xr:uid="{00000000-0005-0000-0000-0000C8060000}"/>
    <cellStyle name="Comma 3 4 3 2" xfId="12145" xr:uid="{00000000-0005-0000-0000-0000C9060000}"/>
    <cellStyle name="Comma 3 4 4" xfId="3618" xr:uid="{00000000-0005-0000-0000-0000CA060000}"/>
    <cellStyle name="Comma 3 4 4 2" xfId="12204" xr:uid="{00000000-0005-0000-0000-0000CB060000}"/>
    <cellStyle name="Comma 3 4 5" xfId="12030" xr:uid="{00000000-0005-0000-0000-0000CC060000}"/>
    <cellStyle name="Comma 3 5" xfId="2184" xr:uid="{00000000-0005-0000-0000-000087080000}"/>
    <cellStyle name="Comma 3 5 2" xfId="2185" xr:uid="{00000000-0005-0000-0000-000088080000}"/>
    <cellStyle name="Comma 3 5 2 2" xfId="2186" xr:uid="{00000000-0005-0000-0000-000089080000}"/>
    <cellStyle name="Comma 3 5 3" xfId="2187" xr:uid="{00000000-0005-0000-0000-00008A080000}"/>
    <cellStyle name="Comma 3 5 3 2" xfId="12125" xr:uid="{00000000-0005-0000-0000-0000D1060000}"/>
    <cellStyle name="Comma 3 5 4" xfId="2188" xr:uid="{00000000-0005-0000-0000-00008B080000}"/>
    <cellStyle name="Comma 3 5 4 2" xfId="12184" xr:uid="{00000000-0005-0000-0000-0000D3060000}"/>
    <cellStyle name="Comma 3 5 4 3" xfId="3598" xr:uid="{00000000-0005-0000-0000-0000D2060000}"/>
    <cellStyle name="Comma 3 5 5" xfId="12010" xr:uid="{00000000-0005-0000-0000-0000D4060000}"/>
    <cellStyle name="Comma 3 6" xfId="2189" xr:uid="{00000000-0005-0000-0000-00008C080000}"/>
    <cellStyle name="Comma 3 6 2" xfId="2190" xr:uid="{00000000-0005-0000-0000-00008D080000}"/>
    <cellStyle name="Comma 3 7" xfId="2191" xr:uid="{00000000-0005-0000-0000-00008E080000}"/>
    <cellStyle name="Comma 3 7 2" xfId="2192" xr:uid="{00000000-0005-0000-0000-00008F080000}"/>
    <cellStyle name="Comma 3 8" xfId="2193" xr:uid="{00000000-0005-0000-0000-000090080000}"/>
    <cellStyle name="Comma 3 8 2" xfId="12165" xr:uid="{00000000-0005-0000-0000-0000DA060000}"/>
    <cellStyle name="Comma 3 8 3" xfId="3579" xr:uid="{00000000-0005-0000-0000-0000D9060000}"/>
    <cellStyle name="Comma 3 9" xfId="11990" xr:uid="{00000000-0005-0000-0000-0000DB060000}"/>
    <cellStyle name="Comma 4" xfId="2194" xr:uid="{00000000-0005-0000-0000-000091080000}"/>
    <cellStyle name="Comma 4 2" xfId="2195" xr:uid="{00000000-0005-0000-0000-000092080000}"/>
    <cellStyle name="Comma 4 2 2" xfId="2196" xr:uid="{00000000-0005-0000-0000-000093080000}"/>
    <cellStyle name="Comma 4 2 2 2" xfId="2197" xr:uid="{00000000-0005-0000-0000-000094080000}"/>
    <cellStyle name="Comma 4 2 2 2 2" xfId="3459" xr:uid="{00000000-0005-0000-0000-0000E0060000}"/>
    <cellStyle name="Comma 4 2 2 2 2 2" xfId="3516" xr:uid="{00000000-0005-0000-0000-0000E1060000}"/>
    <cellStyle name="Comma 4 2 2 2 2 2 2" xfId="12101" xr:uid="{00000000-0005-0000-0000-0000E2060000}"/>
    <cellStyle name="Comma 4 2 2 2 2 3" xfId="3573" xr:uid="{00000000-0005-0000-0000-0000E3060000}"/>
    <cellStyle name="Comma 4 2 2 2 2 3 2" xfId="12159" xr:uid="{00000000-0005-0000-0000-0000E4060000}"/>
    <cellStyle name="Comma 4 2 2 2 2 4" xfId="3632" xr:uid="{00000000-0005-0000-0000-0000E5060000}"/>
    <cellStyle name="Comma 4 2 2 2 2 4 2" xfId="12218" xr:uid="{00000000-0005-0000-0000-0000E6060000}"/>
    <cellStyle name="Comma 4 2 2 2 2 5" xfId="12044" xr:uid="{00000000-0005-0000-0000-0000E7060000}"/>
    <cellStyle name="Comma 4 2 2 2 3" xfId="3445" xr:uid="{00000000-0005-0000-0000-0000E8060000}"/>
    <cellStyle name="Comma 4 2 2 2 3 2" xfId="3496" xr:uid="{00000000-0005-0000-0000-0000E9060000}"/>
    <cellStyle name="Comma 4 2 2 2 3 2 2" xfId="12081" xr:uid="{00000000-0005-0000-0000-0000EA060000}"/>
    <cellStyle name="Comma 4 2 2 2 3 3" xfId="3553" xr:uid="{00000000-0005-0000-0000-0000EB060000}"/>
    <cellStyle name="Comma 4 2 2 2 3 3 2" xfId="12139" xr:uid="{00000000-0005-0000-0000-0000EC060000}"/>
    <cellStyle name="Comma 4 2 2 2 3 4" xfId="3612" xr:uid="{00000000-0005-0000-0000-0000ED060000}"/>
    <cellStyle name="Comma 4 2 2 2 3 4 2" xfId="12198" xr:uid="{00000000-0005-0000-0000-0000EE060000}"/>
    <cellStyle name="Comma 4 2 2 2 3 5" xfId="12024" xr:uid="{00000000-0005-0000-0000-0000EF060000}"/>
    <cellStyle name="Comma 4 2 2 2 4" xfId="3477" xr:uid="{00000000-0005-0000-0000-0000F0060000}"/>
    <cellStyle name="Comma 4 2 2 2 4 2" xfId="12062" xr:uid="{00000000-0005-0000-0000-0000F1060000}"/>
    <cellStyle name="Comma 4 2 2 2 5" xfId="3534" xr:uid="{00000000-0005-0000-0000-0000F2060000}"/>
    <cellStyle name="Comma 4 2 2 2 5 2" xfId="12119" xr:uid="{00000000-0005-0000-0000-0000F3060000}"/>
    <cellStyle name="Comma 4 2 2 2 6" xfId="3592" xr:uid="{00000000-0005-0000-0000-0000F4060000}"/>
    <cellStyle name="Comma 4 2 2 2 6 2" xfId="12178" xr:uid="{00000000-0005-0000-0000-0000F5060000}"/>
    <cellStyle name="Comma 4 2 2 2 7" xfId="12004" xr:uid="{00000000-0005-0000-0000-0000F6060000}"/>
    <cellStyle name="Comma 4 2 2 3" xfId="3450" xr:uid="{00000000-0005-0000-0000-0000F7060000}"/>
    <cellStyle name="Comma 4 2 2 3 2" xfId="3506" xr:uid="{00000000-0005-0000-0000-0000F8060000}"/>
    <cellStyle name="Comma 4 2 2 3 2 2" xfId="12091" xr:uid="{00000000-0005-0000-0000-0000F9060000}"/>
    <cellStyle name="Comma 4 2 2 3 3" xfId="3563" xr:uid="{00000000-0005-0000-0000-0000FA060000}"/>
    <cellStyle name="Comma 4 2 2 3 3 2" xfId="12149" xr:uid="{00000000-0005-0000-0000-0000FB060000}"/>
    <cellStyle name="Comma 4 2 2 3 4" xfId="3622" xr:uid="{00000000-0005-0000-0000-0000FC060000}"/>
    <cellStyle name="Comma 4 2 2 3 4 2" xfId="12208" xr:uid="{00000000-0005-0000-0000-0000FD060000}"/>
    <cellStyle name="Comma 4 2 2 3 5" xfId="12034" xr:uid="{00000000-0005-0000-0000-0000FE060000}"/>
    <cellStyle name="Comma 4 2 2 4" xfId="3435" xr:uid="{00000000-0005-0000-0000-0000FF060000}"/>
    <cellStyle name="Comma 4 2 2 4 2" xfId="3486" xr:uid="{00000000-0005-0000-0000-000000070000}"/>
    <cellStyle name="Comma 4 2 2 4 2 2" xfId="12071" xr:uid="{00000000-0005-0000-0000-000001070000}"/>
    <cellStyle name="Comma 4 2 2 4 3" xfId="3543" xr:uid="{00000000-0005-0000-0000-000002070000}"/>
    <cellStyle name="Comma 4 2 2 4 3 2" xfId="12129" xr:uid="{00000000-0005-0000-0000-000003070000}"/>
    <cellStyle name="Comma 4 2 2 4 4" xfId="3602" xr:uid="{00000000-0005-0000-0000-000004070000}"/>
    <cellStyle name="Comma 4 2 2 4 4 2" xfId="12188" xr:uid="{00000000-0005-0000-0000-000005070000}"/>
    <cellStyle name="Comma 4 2 2 4 5" xfId="12014" xr:uid="{00000000-0005-0000-0000-000006070000}"/>
    <cellStyle name="Comma 4 2 2 5" xfId="3467" xr:uid="{00000000-0005-0000-0000-000007070000}"/>
    <cellStyle name="Comma 4 2 2 5 2" xfId="12052" xr:uid="{00000000-0005-0000-0000-000008070000}"/>
    <cellStyle name="Comma 4 2 2 6" xfId="3524" xr:uid="{00000000-0005-0000-0000-000009070000}"/>
    <cellStyle name="Comma 4 2 2 6 2" xfId="12109" xr:uid="{00000000-0005-0000-0000-00000A070000}"/>
    <cellStyle name="Comma 4 2 2 7" xfId="3582" xr:uid="{00000000-0005-0000-0000-00000B070000}"/>
    <cellStyle name="Comma 4 2 2 7 2" xfId="12168" xr:uid="{00000000-0005-0000-0000-00000C070000}"/>
    <cellStyle name="Comma 4 2 2 8" xfId="11994" xr:uid="{00000000-0005-0000-0000-00000D070000}"/>
    <cellStyle name="Comma 4 2 3" xfId="2198" xr:uid="{00000000-0005-0000-0000-000095080000}"/>
    <cellStyle name="Comma 4 2 3 2" xfId="3458" xr:uid="{00000000-0005-0000-0000-00000F070000}"/>
    <cellStyle name="Comma 4 2 3 2 2" xfId="3515" xr:uid="{00000000-0005-0000-0000-000010070000}"/>
    <cellStyle name="Comma 4 2 3 2 2 2" xfId="12100" xr:uid="{00000000-0005-0000-0000-000011070000}"/>
    <cellStyle name="Comma 4 2 3 2 3" xfId="3572" xr:uid="{00000000-0005-0000-0000-000012070000}"/>
    <cellStyle name="Comma 4 2 3 2 3 2" xfId="12158" xr:uid="{00000000-0005-0000-0000-000013070000}"/>
    <cellStyle name="Comma 4 2 3 2 4" xfId="3631" xr:uid="{00000000-0005-0000-0000-000014070000}"/>
    <cellStyle name="Comma 4 2 3 2 4 2" xfId="12217" xr:uid="{00000000-0005-0000-0000-000015070000}"/>
    <cellStyle name="Comma 4 2 3 2 5" xfId="12043" xr:uid="{00000000-0005-0000-0000-000016070000}"/>
    <cellStyle name="Comma 4 2 3 3" xfId="3444" xr:uid="{00000000-0005-0000-0000-000017070000}"/>
    <cellStyle name="Comma 4 2 3 3 2" xfId="3495" xr:uid="{00000000-0005-0000-0000-000018070000}"/>
    <cellStyle name="Comma 4 2 3 3 2 2" xfId="12080" xr:uid="{00000000-0005-0000-0000-000019070000}"/>
    <cellStyle name="Comma 4 2 3 3 3" xfId="3552" xr:uid="{00000000-0005-0000-0000-00001A070000}"/>
    <cellStyle name="Comma 4 2 3 3 3 2" xfId="12138" xr:uid="{00000000-0005-0000-0000-00001B070000}"/>
    <cellStyle name="Comma 4 2 3 3 4" xfId="3611" xr:uid="{00000000-0005-0000-0000-00001C070000}"/>
    <cellStyle name="Comma 4 2 3 3 4 2" xfId="12197" xr:uid="{00000000-0005-0000-0000-00001D070000}"/>
    <cellStyle name="Comma 4 2 3 3 5" xfId="12023" xr:uid="{00000000-0005-0000-0000-00001E070000}"/>
    <cellStyle name="Comma 4 2 3 4" xfId="3476" xr:uid="{00000000-0005-0000-0000-00001F070000}"/>
    <cellStyle name="Comma 4 2 3 4 2" xfId="12061" xr:uid="{00000000-0005-0000-0000-000020070000}"/>
    <cellStyle name="Comma 4 2 3 5" xfId="3533" xr:uid="{00000000-0005-0000-0000-000021070000}"/>
    <cellStyle name="Comma 4 2 3 5 2" xfId="12118" xr:uid="{00000000-0005-0000-0000-000022070000}"/>
    <cellStyle name="Comma 4 2 3 6" xfId="3591" xr:uid="{00000000-0005-0000-0000-000023070000}"/>
    <cellStyle name="Comma 4 2 3 6 2" xfId="12177" xr:uid="{00000000-0005-0000-0000-000024070000}"/>
    <cellStyle name="Comma 4 2 3 7" xfId="12003" xr:uid="{00000000-0005-0000-0000-000025070000}"/>
    <cellStyle name="Comma 4 2 3 8" xfId="3427" xr:uid="{00000000-0005-0000-0000-00000E070000}"/>
    <cellStyle name="Comma 4 2 4" xfId="2199" xr:uid="{00000000-0005-0000-0000-000096080000}"/>
    <cellStyle name="Comma 4 2 4 2" xfId="2200" xr:uid="{00000000-0005-0000-0000-000097080000}"/>
    <cellStyle name="Comma 4 2 4 2 2" xfId="12090" xr:uid="{00000000-0005-0000-0000-000028070000}"/>
    <cellStyle name="Comma 4 2 4 2 3" xfId="3505" xr:uid="{00000000-0005-0000-0000-000027070000}"/>
    <cellStyle name="Comma 4 2 4 3" xfId="3562" xr:uid="{00000000-0005-0000-0000-000029070000}"/>
    <cellStyle name="Comma 4 2 4 3 2" xfId="12148" xr:uid="{00000000-0005-0000-0000-00002A070000}"/>
    <cellStyle name="Comma 4 2 4 4" xfId="3621" xr:uid="{00000000-0005-0000-0000-00002B070000}"/>
    <cellStyle name="Comma 4 2 4 4 2" xfId="12207" xr:uid="{00000000-0005-0000-0000-00002C070000}"/>
    <cellStyle name="Comma 4 2 4 5" xfId="12033" xr:uid="{00000000-0005-0000-0000-00002D070000}"/>
    <cellStyle name="Comma 4 2 5" xfId="2201" xr:uid="{00000000-0005-0000-0000-000098080000}"/>
    <cellStyle name="Comma 4 2 5 2" xfId="3485" xr:uid="{00000000-0005-0000-0000-00002F070000}"/>
    <cellStyle name="Comma 4 2 5 2 2" xfId="12070" xr:uid="{00000000-0005-0000-0000-000030070000}"/>
    <cellStyle name="Comma 4 2 5 3" xfId="3542" xr:uid="{00000000-0005-0000-0000-000031070000}"/>
    <cellStyle name="Comma 4 2 5 3 2" xfId="12128" xr:uid="{00000000-0005-0000-0000-000032070000}"/>
    <cellStyle name="Comma 4 2 5 4" xfId="3601" xr:uid="{00000000-0005-0000-0000-000033070000}"/>
    <cellStyle name="Comma 4 2 5 4 2" xfId="12187" xr:uid="{00000000-0005-0000-0000-000034070000}"/>
    <cellStyle name="Comma 4 2 5 5" xfId="12013" xr:uid="{00000000-0005-0000-0000-000035070000}"/>
    <cellStyle name="Comma 4 2 5 6" xfId="3434" xr:uid="{00000000-0005-0000-0000-00002E070000}"/>
    <cellStyle name="Comma 4 2 6" xfId="3466" xr:uid="{00000000-0005-0000-0000-000036070000}"/>
    <cellStyle name="Comma 4 2 6 2" xfId="12051" xr:uid="{00000000-0005-0000-0000-000037070000}"/>
    <cellStyle name="Comma 4 2 7" xfId="3523" xr:uid="{00000000-0005-0000-0000-000038070000}"/>
    <cellStyle name="Comma 4 2 7 2" xfId="12108" xr:uid="{00000000-0005-0000-0000-000039070000}"/>
    <cellStyle name="Comma 4 2 8" xfId="3581" xr:uid="{00000000-0005-0000-0000-00003A070000}"/>
    <cellStyle name="Comma 4 2 8 2" xfId="12167" xr:uid="{00000000-0005-0000-0000-00003B070000}"/>
    <cellStyle name="Comma 4 2 9" xfId="11993" xr:uid="{00000000-0005-0000-0000-00003C070000}"/>
    <cellStyle name="Comma 4 3" xfId="2202" xr:uid="{00000000-0005-0000-0000-000099080000}"/>
    <cellStyle name="Comma 4 3 2" xfId="2203" xr:uid="{00000000-0005-0000-0000-00009A080000}"/>
    <cellStyle name="Comma 4 3 2 2" xfId="3514" xr:uid="{00000000-0005-0000-0000-00003F070000}"/>
    <cellStyle name="Comma 4 3 2 2 2" xfId="12099" xr:uid="{00000000-0005-0000-0000-000040070000}"/>
    <cellStyle name="Comma 4 3 2 3" xfId="3571" xr:uid="{00000000-0005-0000-0000-000041070000}"/>
    <cellStyle name="Comma 4 3 2 3 2" xfId="12157" xr:uid="{00000000-0005-0000-0000-000042070000}"/>
    <cellStyle name="Comma 4 3 2 4" xfId="3630" xr:uid="{00000000-0005-0000-0000-000043070000}"/>
    <cellStyle name="Comma 4 3 2 4 2" xfId="12216" xr:uid="{00000000-0005-0000-0000-000044070000}"/>
    <cellStyle name="Comma 4 3 2 5" xfId="12042" xr:uid="{00000000-0005-0000-0000-000045070000}"/>
    <cellStyle name="Comma 4 3 2 6" xfId="3457" xr:uid="{00000000-0005-0000-0000-00003E070000}"/>
    <cellStyle name="Comma 4 3 3" xfId="2204" xr:uid="{00000000-0005-0000-0000-00009B080000}"/>
    <cellStyle name="Comma 4 3 3 2" xfId="2205" xr:uid="{00000000-0005-0000-0000-00009C080000}"/>
    <cellStyle name="Comma 4 3 3 2 2" xfId="12079" xr:uid="{00000000-0005-0000-0000-000048070000}"/>
    <cellStyle name="Comma 4 3 3 2 3" xfId="3494" xr:uid="{00000000-0005-0000-0000-000047070000}"/>
    <cellStyle name="Comma 4 3 3 3" xfId="3551" xr:uid="{00000000-0005-0000-0000-000049070000}"/>
    <cellStyle name="Comma 4 3 3 3 2" xfId="12137" xr:uid="{00000000-0005-0000-0000-00004A070000}"/>
    <cellStyle name="Comma 4 3 3 4" xfId="3610" xr:uid="{00000000-0005-0000-0000-00004B070000}"/>
    <cellStyle name="Comma 4 3 3 4 2" xfId="12196" xr:uid="{00000000-0005-0000-0000-00004C070000}"/>
    <cellStyle name="Comma 4 3 3 5" xfId="12022" xr:uid="{00000000-0005-0000-0000-00004D070000}"/>
    <cellStyle name="Comma 4 3 3 6" xfId="3443" xr:uid="{00000000-0005-0000-0000-000046070000}"/>
    <cellStyle name="Comma 4 3 4" xfId="2206" xr:uid="{00000000-0005-0000-0000-00009D080000}"/>
    <cellStyle name="Comma 4 3 4 2" xfId="2207" xr:uid="{00000000-0005-0000-0000-00009E080000}"/>
    <cellStyle name="Comma 4 3 4 2 2" xfId="12060" xr:uid="{00000000-0005-0000-0000-00004F070000}"/>
    <cellStyle name="Comma 4 3 4 3" xfId="3475" xr:uid="{00000000-0005-0000-0000-00004E070000}"/>
    <cellStyle name="Comma 4 3 5" xfId="2208" xr:uid="{00000000-0005-0000-0000-00009F080000}"/>
    <cellStyle name="Comma 4 3 5 2" xfId="2209" xr:uid="{00000000-0005-0000-0000-0000A0080000}"/>
    <cellStyle name="Comma 4 3 5 2 2" xfId="2210" xr:uid="{00000000-0005-0000-0000-0000A1080000}"/>
    <cellStyle name="Comma 4 3 5 2 3" xfId="12117" xr:uid="{00000000-0005-0000-0000-000051070000}"/>
    <cellStyle name="Comma 4 3 5 3" xfId="2211" xr:uid="{00000000-0005-0000-0000-0000A2080000}"/>
    <cellStyle name="Comma 4 3 5 4" xfId="2212" xr:uid="{00000000-0005-0000-0000-0000A3080000}"/>
    <cellStyle name="Comma 4 3 5 5" xfId="3532" xr:uid="{00000000-0005-0000-0000-000050070000}"/>
    <cellStyle name="Comma 4 3 6" xfId="2213" xr:uid="{00000000-0005-0000-0000-0000A4080000}"/>
    <cellStyle name="Comma 4 3 6 2" xfId="2214" xr:uid="{00000000-0005-0000-0000-0000A5080000}"/>
    <cellStyle name="Comma 4 3 6 2 2" xfId="12176" xr:uid="{00000000-0005-0000-0000-000053070000}"/>
    <cellStyle name="Comma 4 3 6 3" xfId="3590" xr:uid="{00000000-0005-0000-0000-000052070000}"/>
    <cellStyle name="Comma 4 3 7" xfId="2215" xr:uid="{00000000-0005-0000-0000-0000A6080000}"/>
    <cellStyle name="Comma 4 3 7 2" xfId="2216" xr:uid="{00000000-0005-0000-0000-0000A7080000}"/>
    <cellStyle name="Comma 4 3 7 3" xfId="12002" xr:uid="{00000000-0005-0000-0000-000054070000}"/>
    <cellStyle name="Comma 4 3 8" xfId="2217" xr:uid="{00000000-0005-0000-0000-0000A8080000}"/>
    <cellStyle name="Comma 4 3 9" xfId="3426" xr:uid="{00000000-0005-0000-0000-00003D070000}"/>
    <cellStyle name="Comma 4 4" xfId="2218" xr:uid="{00000000-0005-0000-0000-0000A9080000}"/>
    <cellStyle name="Comma 4 4 2" xfId="3504" xr:uid="{00000000-0005-0000-0000-000056070000}"/>
    <cellStyle name="Comma 4 4 2 2" xfId="12089" xr:uid="{00000000-0005-0000-0000-000057070000}"/>
    <cellStyle name="Comma 4 4 3" xfId="3561" xr:uid="{00000000-0005-0000-0000-000058070000}"/>
    <cellStyle name="Comma 4 4 3 2" xfId="12147" xr:uid="{00000000-0005-0000-0000-000059070000}"/>
    <cellStyle name="Comma 4 4 4" xfId="3620" xr:uid="{00000000-0005-0000-0000-00005A070000}"/>
    <cellStyle name="Comma 4 4 4 2" xfId="12206" xr:uid="{00000000-0005-0000-0000-00005B070000}"/>
    <cellStyle name="Comma 4 4 5" xfId="12032" xr:uid="{00000000-0005-0000-0000-00005C070000}"/>
    <cellStyle name="Comma 4 5" xfId="2219" xr:uid="{00000000-0005-0000-0000-0000AA080000}"/>
    <cellStyle name="Comma 4 5 2" xfId="3484" xr:uid="{00000000-0005-0000-0000-00005E070000}"/>
    <cellStyle name="Comma 4 5 2 2" xfId="12069" xr:uid="{00000000-0005-0000-0000-00005F070000}"/>
    <cellStyle name="Comma 4 5 3" xfId="3541" xr:uid="{00000000-0005-0000-0000-000060070000}"/>
    <cellStyle name="Comma 4 5 3 2" xfId="12127" xr:uid="{00000000-0005-0000-0000-000061070000}"/>
    <cellStyle name="Comma 4 5 4" xfId="3600" xr:uid="{00000000-0005-0000-0000-000062070000}"/>
    <cellStyle name="Comma 4 5 4 2" xfId="12186" xr:uid="{00000000-0005-0000-0000-000063070000}"/>
    <cellStyle name="Comma 4 5 5" xfId="12012" xr:uid="{00000000-0005-0000-0000-000064070000}"/>
    <cellStyle name="Comma 4 6" xfId="2220" xr:uid="{00000000-0005-0000-0000-0000AB080000}"/>
    <cellStyle name="Comma 4 6 2" xfId="2221" xr:uid="{00000000-0005-0000-0000-0000AC080000}"/>
    <cellStyle name="Comma 4 6 2 2" xfId="2222" xr:uid="{00000000-0005-0000-0000-0000AD080000}"/>
    <cellStyle name="Comma 4 6 3" xfId="2223" xr:uid="{00000000-0005-0000-0000-0000AE080000}"/>
    <cellStyle name="Comma 4 6 4" xfId="2224" xr:uid="{00000000-0005-0000-0000-0000AF080000}"/>
    <cellStyle name="Comma 4 7" xfId="2225" xr:uid="{00000000-0005-0000-0000-0000B0080000}"/>
    <cellStyle name="Comma 4 7 2" xfId="2226" xr:uid="{00000000-0005-0000-0000-0000B1080000}"/>
    <cellStyle name="Comma 4 8" xfId="2227" xr:uid="{00000000-0005-0000-0000-0000B2080000}"/>
    <cellStyle name="Comma 4 8 2" xfId="2228" xr:uid="{00000000-0005-0000-0000-0000B3080000}"/>
    <cellStyle name="Comma 4 9" xfId="2229" xr:uid="{00000000-0005-0000-0000-0000B4080000}"/>
    <cellStyle name="Comma 4 9 2" xfId="11992" xr:uid="{00000000-0005-0000-0000-00006B070000}"/>
    <cellStyle name="Comma 5" xfId="2230" xr:uid="{00000000-0005-0000-0000-0000B5080000}"/>
    <cellStyle name="Comma 5 2" xfId="2231" xr:uid="{00000000-0005-0000-0000-0000B6080000}"/>
    <cellStyle name="Comma 5 2 2" xfId="3460" xr:uid="{00000000-0005-0000-0000-00006E070000}"/>
    <cellStyle name="Comma 5 2 2 2" xfId="3517" xr:uid="{00000000-0005-0000-0000-00006F070000}"/>
    <cellStyle name="Comma 5 2 2 2 2" xfId="12102" xr:uid="{00000000-0005-0000-0000-000070070000}"/>
    <cellStyle name="Comma 5 2 2 3" xfId="3574" xr:uid="{00000000-0005-0000-0000-000071070000}"/>
    <cellStyle name="Comma 5 2 2 3 2" xfId="12160" xr:uid="{00000000-0005-0000-0000-000072070000}"/>
    <cellStyle name="Comma 5 2 2 4" xfId="3633" xr:uid="{00000000-0005-0000-0000-000073070000}"/>
    <cellStyle name="Comma 5 2 2 4 2" xfId="12219" xr:uid="{00000000-0005-0000-0000-000074070000}"/>
    <cellStyle name="Comma 5 2 2 5" xfId="12045" xr:uid="{00000000-0005-0000-0000-000075070000}"/>
    <cellStyle name="Comma 5 2 3" xfId="3446" xr:uid="{00000000-0005-0000-0000-000076070000}"/>
    <cellStyle name="Comma 5 2 3 2" xfId="3497" xr:uid="{00000000-0005-0000-0000-000077070000}"/>
    <cellStyle name="Comma 5 2 3 2 2" xfId="12082" xr:uid="{00000000-0005-0000-0000-000078070000}"/>
    <cellStyle name="Comma 5 2 3 3" xfId="3554" xr:uid="{00000000-0005-0000-0000-000079070000}"/>
    <cellStyle name="Comma 5 2 3 3 2" xfId="12140" xr:uid="{00000000-0005-0000-0000-00007A070000}"/>
    <cellStyle name="Comma 5 2 3 4" xfId="3613" xr:uid="{00000000-0005-0000-0000-00007B070000}"/>
    <cellStyle name="Comma 5 2 3 4 2" xfId="12199" xr:uid="{00000000-0005-0000-0000-00007C070000}"/>
    <cellStyle name="Comma 5 2 3 5" xfId="12025" xr:uid="{00000000-0005-0000-0000-00007D070000}"/>
    <cellStyle name="Comma 5 2 4" xfId="3478" xr:uid="{00000000-0005-0000-0000-00007E070000}"/>
    <cellStyle name="Comma 5 2 4 2" xfId="12063" xr:uid="{00000000-0005-0000-0000-00007F070000}"/>
    <cellStyle name="Comma 5 2 5" xfId="3535" xr:uid="{00000000-0005-0000-0000-000080070000}"/>
    <cellStyle name="Comma 5 2 5 2" xfId="12120" xr:uid="{00000000-0005-0000-0000-000081070000}"/>
    <cellStyle name="Comma 5 2 6" xfId="3593" xr:uid="{00000000-0005-0000-0000-000082070000}"/>
    <cellStyle name="Comma 5 2 6 2" xfId="12179" xr:uid="{00000000-0005-0000-0000-000083070000}"/>
    <cellStyle name="Comma 5 2 7" xfId="12005" xr:uid="{00000000-0005-0000-0000-000084070000}"/>
    <cellStyle name="Comma 5 2 8" xfId="3428" xr:uid="{00000000-0005-0000-0000-00006D070000}"/>
    <cellStyle name="Comma 5 3" xfId="2232" xr:uid="{00000000-0005-0000-0000-0000B7080000}"/>
    <cellStyle name="Comma 5 3 2" xfId="2233" xr:uid="{00000000-0005-0000-0000-0000B8080000}"/>
    <cellStyle name="Comma 5 3 2 2" xfId="12092" xr:uid="{00000000-0005-0000-0000-000087070000}"/>
    <cellStyle name="Comma 5 3 2 3" xfId="3507" xr:uid="{00000000-0005-0000-0000-000086070000}"/>
    <cellStyle name="Comma 5 3 3" xfId="3564" xr:uid="{00000000-0005-0000-0000-000088070000}"/>
    <cellStyle name="Comma 5 3 3 2" xfId="12150" xr:uid="{00000000-0005-0000-0000-000089070000}"/>
    <cellStyle name="Comma 5 3 4" xfId="3623" xr:uid="{00000000-0005-0000-0000-00008A070000}"/>
    <cellStyle name="Comma 5 3 4 2" xfId="12209" xr:uid="{00000000-0005-0000-0000-00008B070000}"/>
    <cellStyle name="Comma 5 3 5" xfId="12035" xr:uid="{00000000-0005-0000-0000-00008C070000}"/>
    <cellStyle name="Comma 5 4" xfId="2234" xr:uid="{00000000-0005-0000-0000-0000B9080000}"/>
    <cellStyle name="Comma 5 4 2" xfId="3487" xr:uid="{00000000-0005-0000-0000-00008E070000}"/>
    <cellStyle name="Comma 5 4 2 2" xfId="12072" xr:uid="{00000000-0005-0000-0000-00008F070000}"/>
    <cellStyle name="Comma 5 4 3" xfId="3544" xr:uid="{00000000-0005-0000-0000-000090070000}"/>
    <cellStyle name="Comma 5 4 3 2" xfId="12130" xr:uid="{00000000-0005-0000-0000-000091070000}"/>
    <cellStyle name="Comma 5 4 4" xfId="3603" xr:uid="{00000000-0005-0000-0000-000092070000}"/>
    <cellStyle name="Comma 5 4 4 2" xfId="12189" xr:uid="{00000000-0005-0000-0000-000093070000}"/>
    <cellStyle name="Comma 5 4 5" xfId="12015" xr:uid="{00000000-0005-0000-0000-000094070000}"/>
    <cellStyle name="Comma 5 4 6" xfId="3436" xr:uid="{00000000-0005-0000-0000-00008D070000}"/>
    <cellStyle name="Comma 5 5" xfId="3468" xr:uid="{00000000-0005-0000-0000-000095070000}"/>
    <cellStyle name="Comma 5 5 2" xfId="12053" xr:uid="{00000000-0005-0000-0000-000096070000}"/>
    <cellStyle name="Comma 5 6" xfId="3525" xr:uid="{00000000-0005-0000-0000-000097070000}"/>
    <cellStyle name="Comma 5 6 2" xfId="12110" xr:uid="{00000000-0005-0000-0000-000098070000}"/>
    <cellStyle name="Comma 5 7" xfId="3583" xr:uid="{00000000-0005-0000-0000-000099070000}"/>
    <cellStyle name="Comma 5 7 2" xfId="12169" xr:uid="{00000000-0005-0000-0000-00009A070000}"/>
    <cellStyle name="Comma 5 8" xfId="11995" xr:uid="{00000000-0005-0000-0000-00009B070000}"/>
    <cellStyle name="Comma 6" xfId="2235" xr:uid="{00000000-0005-0000-0000-0000BA080000}"/>
    <cellStyle name="Comma 7" xfId="2236" xr:uid="{00000000-0005-0000-0000-0000BB080000}"/>
    <cellStyle name="Comma 7 2" xfId="2237" xr:uid="{00000000-0005-0000-0000-0000BC080000}"/>
    <cellStyle name="Explanatory Text 2" xfId="2238" xr:uid="{00000000-0005-0000-0000-0000BD080000}"/>
    <cellStyle name="Explanatory Text 2 10" xfId="2239" xr:uid="{00000000-0005-0000-0000-0000BE080000}"/>
    <cellStyle name="Explanatory Text 2 11" xfId="2240" xr:uid="{00000000-0005-0000-0000-0000BF080000}"/>
    <cellStyle name="Explanatory Text 2 12" xfId="2241" xr:uid="{00000000-0005-0000-0000-0000C0080000}"/>
    <cellStyle name="Explanatory Text 2 13" xfId="2242" xr:uid="{00000000-0005-0000-0000-0000C1080000}"/>
    <cellStyle name="Explanatory Text 2 14" xfId="2243" xr:uid="{00000000-0005-0000-0000-0000C2080000}"/>
    <cellStyle name="Explanatory Text 2 15" xfId="2244" xr:uid="{00000000-0005-0000-0000-0000C3080000}"/>
    <cellStyle name="Explanatory Text 2 16" xfId="2245" xr:uid="{00000000-0005-0000-0000-0000C4080000}"/>
    <cellStyle name="Explanatory Text 2 17" xfId="2246" xr:uid="{00000000-0005-0000-0000-0000C5080000}"/>
    <cellStyle name="Explanatory Text 2 2" xfId="2247" xr:uid="{00000000-0005-0000-0000-0000C6080000}"/>
    <cellStyle name="Explanatory Text 2 3" xfId="2248" xr:uid="{00000000-0005-0000-0000-0000C7080000}"/>
    <cellStyle name="Explanatory Text 2 4" xfId="2249" xr:uid="{00000000-0005-0000-0000-0000C8080000}"/>
    <cellStyle name="Explanatory Text 2 5" xfId="2250" xr:uid="{00000000-0005-0000-0000-0000C9080000}"/>
    <cellStyle name="Explanatory Text 2 6" xfId="2251" xr:uid="{00000000-0005-0000-0000-0000CA080000}"/>
    <cellStyle name="Explanatory Text 2 7" xfId="2252" xr:uid="{00000000-0005-0000-0000-0000CB080000}"/>
    <cellStyle name="Explanatory Text 2 8" xfId="2253" xr:uid="{00000000-0005-0000-0000-0000CC080000}"/>
    <cellStyle name="Explanatory Text 2 9" xfId="2254" xr:uid="{00000000-0005-0000-0000-0000CD080000}"/>
    <cellStyle name="Explanatory Text 3 10" xfId="2255" xr:uid="{00000000-0005-0000-0000-0000CE080000}"/>
    <cellStyle name="Explanatory Text 3 11" xfId="2256" xr:uid="{00000000-0005-0000-0000-0000CF080000}"/>
    <cellStyle name="Explanatory Text 3 12" xfId="2257" xr:uid="{00000000-0005-0000-0000-0000D0080000}"/>
    <cellStyle name="Explanatory Text 3 13" xfId="2258" xr:uid="{00000000-0005-0000-0000-0000D1080000}"/>
    <cellStyle name="Explanatory Text 3 14" xfId="2259" xr:uid="{00000000-0005-0000-0000-0000D2080000}"/>
    <cellStyle name="Explanatory Text 3 15" xfId="2260" xr:uid="{00000000-0005-0000-0000-0000D3080000}"/>
    <cellStyle name="Explanatory Text 3 16" xfId="2261" xr:uid="{00000000-0005-0000-0000-0000D4080000}"/>
    <cellStyle name="Explanatory Text 3 17" xfId="2262" xr:uid="{00000000-0005-0000-0000-0000D5080000}"/>
    <cellStyle name="Explanatory Text 3 2" xfId="2263" xr:uid="{00000000-0005-0000-0000-0000D6080000}"/>
    <cellStyle name="Explanatory Text 3 3" xfId="2264" xr:uid="{00000000-0005-0000-0000-0000D7080000}"/>
    <cellStyle name="Explanatory Text 3 4" xfId="2265" xr:uid="{00000000-0005-0000-0000-0000D8080000}"/>
    <cellStyle name="Explanatory Text 3 5" xfId="2266" xr:uid="{00000000-0005-0000-0000-0000D9080000}"/>
    <cellStyle name="Explanatory Text 3 6" xfId="2267" xr:uid="{00000000-0005-0000-0000-0000DA080000}"/>
    <cellStyle name="Explanatory Text 3 7" xfId="2268" xr:uid="{00000000-0005-0000-0000-0000DB080000}"/>
    <cellStyle name="Explanatory Text 3 8" xfId="2269" xr:uid="{00000000-0005-0000-0000-0000DC080000}"/>
    <cellStyle name="Explanatory Text 3 9" xfId="2270" xr:uid="{00000000-0005-0000-0000-0000DD080000}"/>
    <cellStyle name="Good 2" xfId="2271" xr:uid="{00000000-0005-0000-0000-0000DE080000}"/>
    <cellStyle name="Good 2 10" xfId="2272" xr:uid="{00000000-0005-0000-0000-0000DF080000}"/>
    <cellStyle name="Good 2 11" xfId="2273" xr:uid="{00000000-0005-0000-0000-0000E0080000}"/>
    <cellStyle name="Good 2 12" xfId="2274" xr:uid="{00000000-0005-0000-0000-0000E1080000}"/>
    <cellStyle name="Good 2 13" xfId="2275" xr:uid="{00000000-0005-0000-0000-0000E2080000}"/>
    <cellStyle name="Good 2 14" xfId="2276" xr:uid="{00000000-0005-0000-0000-0000E3080000}"/>
    <cellStyle name="Good 2 15" xfId="2277" xr:uid="{00000000-0005-0000-0000-0000E4080000}"/>
    <cellStyle name="Good 2 16" xfId="2278" xr:uid="{00000000-0005-0000-0000-0000E5080000}"/>
    <cellStyle name="Good 2 17" xfId="2279" xr:uid="{00000000-0005-0000-0000-0000E6080000}"/>
    <cellStyle name="Good 2 2" xfId="2280" xr:uid="{00000000-0005-0000-0000-0000E7080000}"/>
    <cellStyle name="Good 2 3" xfId="2281" xr:uid="{00000000-0005-0000-0000-0000E8080000}"/>
    <cellStyle name="Good 2 4" xfId="2282" xr:uid="{00000000-0005-0000-0000-0000E9080000}"/>
    <cellStyle name="Good 2 5" xfId="2283" xr:uid="{00000000-0005-0000-0000-0000EA080000}"/>
    <cellStyle name="Good 2 6" xfId="2284" xr:uid="{00000000-0005-0000-0000-0000EB080000}"/>
    <cellStyle name="Good 2 7" xfId="2285" xr:uid="{00000000-0005-0000-0000-0000EC080000}"/>
    <cellStyle name="Good 2 8" xfId="2286" xr:uid="{00000000-0005-0000-0000-0000ED080000}"/>
    <cellStyle name="Good 2 9" xfId="2287" xr:uid="{00000000-0005-0000-0000-0000EE080000}"/>
    <cellStyle name="Good 3 10" xfId="2288" xr:uid="{00000000-0005-0000-0000-0000EF080000}"/>
    <cellStyle name="Good 3 11" xfId="2289" xr:uid="{00000000-0005-0000-0000-0000F0080000}"/>
    <cellStyle name="Good 3 12" xfId="2290" xr:uid="{00000000-0005-0000-0000-0000F1080000}"/>
    <cellStyle name="Good 3 13" xfId="2291" xr:uid="{00000000-0005-0000-0000-0000F2080000}"/>
    <cellStyle name="Good 3 14" xfId="2292" xr:uid="{00000000-0005-0000-0000-0000F3080000}"/>
    <cellStyle name="Good 3 15" xfId="2293" xr:uid="{00000000-0005-0000-0000-0000F4080000}"/>
    <cellStyle name="Good 3 16" xfId="2294" xr:uid="{00000000-0005-0000-0000-0000F5080000}"/>
    <cellStyle name="Good 3 17" xfId="2295" xr:uid="{00000000-0005-0000-0000-0000F6080000}"/>
    <cellStyle name="Good 3 2" xfId="2296" xr:uid="{00000000-0005-0000-0000-0000F7080000}"/>
    <cellStyle name="Good 3 3" xfId="2297" xr:uid="{00000000-0005-0000-0000-0000F8080000}"/>
    <cellStyle name="Good 3 4" xfId="2298" xr:uid="{00000000-0005-0000-0000-0000F9080000}"/>
    <cellStyle name="Good 3 5" xfId="2299" xr:uid="{00000000-0005-0000-0000-0000FA080000}"/>
    <cellStyle name="Good 3 6" xfId="2300" xr:uid="{00000000-0005-0000-0000-0000FB080000}"/>
    <cellStyle name="Good 3 7" xfId="2301" xr:uid="{00000000-0005-0000-0000-0000FC080000}"/>
    <cellStyle name="Good 3 8" xfId="2302" xr:uid="{00000000-0005-0000-0000-0000FD080000}"/>
    <cellStyle name="Good 3 9" xfId="2303" xr:uid="{00000000-0005-0000-0000-0000FE080000}"/>
    <cellStyle name="Heading 1 2" xfId="2304" xr:uid="{00000000-0005-0000-0000-0000FF080000}"/>
    <cellStyle name="Heading 1 2 10" xfId="2305" xr:uid="{00000000-0005-0000-0000-000000090000}"/>
    <cellStyle name="Heading 1 2 11" xfId="2306" xr:uid="{00000000-0005-0000-0000-000001090000}"/>
    <cellStyle name="Heading 1 2 12" xfId="2307" xr:uid="{00000000-0005-0000-0000-000002090000}"/>
    <cellStyle name="Heading 1 2 13" xfId="2308" xr:uid="{00000000-0005-0000-0000-000003090000}"/>
    <cellStyle name="Heading 1 2 14" xfId="2309" xr:uid="{00000000-0005-0000-0000-000004090000}"/>
    <cellStyle name="Heading 1 2 15" xfId="2310" xr:uid="{00000000-0005-0000-0000-000005090000}"/>
    <cellStyle name="Heading 1 2 16" xfId="2311" xr:uid="{00000000-0005-0000-0000-000006090000}"/>
    <cellStyle name="Heading 1 2 17" xfId="2312" xr:uid="{00000000-0005-0000-0000-000007090000}"/>
    <cellStyle name="Heading 1 2 18" xfId="2313" xr:uid="{00000000-0005-0000-0000-000008090000}"/>
    <cellStyle name="Heading 1 2 2" xfId="2314" xr:uid="{00000000-0005-0000-0000-000009090000}"/>
    <cellStyle name="Heading 1 2 2 2" xfId="2315" xr:uid="{00000000-0005-0000-0000-00000A090000}"/>
    <cellStyle name="Heading 1 2 3" xfId="2316" xr:uid="{00000000-0005-0000-0000-00000B090000}"/>
    <cellStyle name="Heading 1 2 4" xfId="2317" xr:uid="{00000000-0005-0000-0000-00000C090000}"/>
    <cellStyle name="Heading 1 2 5" xfId="2318" xr:uid="{00000000-0005-0000-0000-00000D090000}"/>
    <cellStyle name="Heading 1 2 6" xfId="2319" xr:uid="{00000000-0005-0000-0000-00000E090000}"/>
    <cellStyle name="Heading 1 2 7" xfId="2320" xr:uid="{00000000-0005-0000-0000-00000F090000}"/>
    <cellStyle name="Heading 1 2 8" xfId="2321" xr:uid="{00000000-0005-0000-0000-000010090000}"/>
    <cellStyle name="Heading 1 2 9" xfId="2322" xr:uid="{00000000-0005-0000-0000-000011090000}"/>
    <cellStyle name="Heading 1 3" xfId="2323" xr:uid="{00000000-0005-0000-0000-000012090000}"/>
    <cellStyle name="Heading 1 3 10" xfId="2324" xr:uid="{00000000-0005-0000-0000-000013090000}"/>
    <cellStyle name="Heading 1 3 11" xfId="2325" xr:uid="{00000000-0005-0000-0000-000014090000}"/>
    <cellStyle name="Heading 1 3 12" xfId="2326" xr:uid="{00000000-0005-0000-0000-000015090000}"/>
    <cellStyle name="Heading 1 3 13" xfId="2327" xr:uid="{00000000-0005-0000-0000-000016090000}"/>
    <cellStyle name="Heading 1 3 14" xfId="2328" xr:uid="{00000000-0005-0000-0000-000017090000}"/>
    <cellStyle name="Heading 1 3 15" xfId="2329" xr:uid="{00000000-0005-0000-0000-000018090000}"/>
    <cellStyle name="Heading 1 3 16" xfId="2330" xr:uid="{00000000-0005-0000-0000-000019090000}"/>
    <cellStyle name="Heading 1 3 17" xfId="2331" xr:uid="{00000000-0005-0000-0000-00001A090000}"/>
    <cellStyle name="Heading 1 3 2" xfId="2332" xr:uid="{00000000-0005-0000-0000-00001B090000}"/>
    <cellStyle name="Heading 1 3 3" xfId="2333" xr:uid="{00000000-0005-0000-0000-00001C090000}"/>
    <cellStyle name="Heading 1 3 4" xfId="2334" xr:uid="{00000000-0005-0000-0000-00001D090000}"/>
    <cellStyle name="Heading 1 3 5" xfId="2335" xr:uid="{00000000-0005-0000-0000-00001E090000}"/>
    <cellStyle name="Heading 1 3 6" xfId="2336" xr:uid="{00000000-0005-0000-0000-00001F090000}"/>
    <cellStyle name="Heading 1 3 7" xfId="2337" xr:uid="{00000000-0005-0000-0000-000020090000}"/>
    <cellStyle name="Heading 1 3 8" xfId="2338" xr:uid="{00000000-0005-0000-0000-000021090000}"/>
    <cellStyle name="Heading 1 3 9" xfId="2339" xr:uid="{00000000-0005-0000-0000-000022090000}"/>
    <cellStyle name="Heading 2 2" xfId="2340" xr:uid="{00000000-0005-0000-0000-000023090000}"/>
    <cellStyle name="Heading 2 2 10" xfId="2341" xr:uid="{00000000-0005-0000-0000-000024090000}"/>
    <cellStyle name="Heading 2 2 11" xfId="2342" xr:uid="{00000000-0005-0000-0000-000025090000}"/>
    <cellStyle name="Heading 2 2 12" xfId="2343" xr:uid="{00000000-0005-0000-0000-000026090000}"/>
    <cellStyle name="Heading 2 2 13" xfId="2344" xr:uid="{00000000-0005-0000-0000-000027090000}"/>
    <cellStyle name="Heading 2 2 14" xfId="2345" xr:uid="{00000000-0005-0000-0000-000028090000}"/>
    <cellStyle name="Heading 2 2 15" xfId="2346" xr:uid="{00000000-0005-0000-0000-000029090000}"/>
    <cellStyle name="Heading 2 2 16" xfId="2347" xr:uid="{00000000-0005-0000-0000-00002A090000}"/>
    <cellStyle name="Heading 2 2 17" xfId="2348" xr:uid="{00000000-0005-0000-0000-00002B090000}"/>
    <cellStyle name="Heading 2 2 2" xfId="2349" xr:uid="{00000000-0005-0000-0000-00002C090000}"/>
    <cellStyle name="Heading 2 2 3" xfId="2350" xr:uid="{00000000-0005-0000-0000-00002D090000}"/>
    <cellStyle name="Heading 2 2 4" xfId="2351" xr:uid="{00000000-0005-0000-0000-00002E090000}"/>
    <cellStyle name="Heading 2 2 5" xfId="2352" xr:uid="{00000000-0005-0000-0000-00002F090000}"/>
    <cellStyle name="Heading 2 2 6" xfId="2353" xr:uid="{00000000-0005-0000-0000-000030090000}"/>
    <cellStyle name="Heading 2 2 7" xfId="2354" xr:uid="{00000000-0005-0000-0000-000031090000}"/>
    <cellStyle name="Heading 2 2 8" xfId="2355" xr:uid="{00000000-0005-0000-0000-000032090000}"/>
    <cellStyle name="Heading 2 2 9" xfId="2356" xr:uid="{00000000-0005-0000-0000-000033090000}"/>
    <cellStyle name="Heading 2 3 10" xfId="2357" xr:uid="{00000000-0005-0000-0000-000034090000}"/>
    <cellStyle name="Heading 2 3 11" xfId="2358" xr:uid="{00000000-0005-0000-0000-000035090000}"/>
    <cellStyle name="Heading 2 3 12" xfId="2359" xr:uid="{00000000-0005-0000-0000-000036090000}"/>
    <cellStyle name="Heading 2 3 13" xfId="2360" xr:uid="{00000000-0005-0000-0000-000037090000}"/>
    <cellStyle name="Heading 2 3 14" xfId="2361" xr:uid="{00000000-0005-0000-0000-000038090000}"/>
    <cellStyle name="Heading 2 3 15" xfId="2362" xr:uid="{00000000-0005-0000-0000-000039090000}"/>
    <cellStyle name="Heading 2 3 16" xfId="2363" xr:uid="{00000000-0005-0000-0000-00003A090000}"/>
    <cellStyle name="Heading 2 3 17" xfId="2364" xr:uid="{00000000-0005-0000-0000-00003B090000}"/>
    <cellStyle name="Heading 2 3 2" xfId="2365" xr:uid="{00000000-0005-0000-0000-00003C090000}"/>
    <cellStyle name="Heading 2 3 3" xfId="2366" xr:uid="{00000000-0005-0000-0000-00003D090000}"/>
    <cellStyle name="Heading 2 3 4" xfId="2367" xr:uid="{00000000-0005-0000-0000-00003E090000}"/>
    <cellStyle name="Heading 2 3 5" xfId="2368" xr:uid="{00000000-0005-0000-0000-00003F090000}"/>
    <cellStyle name="Heading 2 3 6" xfId="2369" xr:uid="{00000000-0005-0000-0000-000040090000}"/>
    <cellStyle name="Heading 2 3 7" xfId="2370" xr:uid="{00000000-0005-0000-0000-000041090000}"/>
    <cellStyle name="Heading 2 3 8" xfId="2371" xr:uid="{00000000-0005-0000-0000-000042090000}"/>
    <cellStyle name="Heading 2 3 9" xfId="2372" xr:uid="{00000000-0005-0000-0000-000043090000}"/>
    <cellStyle name="Heading 3 2" xfId="2373" xr:uid="{00000000-0005-0000-0000-000044090000}"/>
    <cellStyle name="Heading 3 2 10" xfId="2374" xr:uid="{00000000-0005-0000-0000-000045090000}"/>
    <cellStyle name="Heading 3 2 11" xfId="2375" xr:uid="{00000000-0005-0000-0000-000046090000}"/>
    <cellStyle name="Heading 3 2 12" xfId="2376" xr:uid="{00000000-0005-0000-0000-000047090000}"/>
    <cellStyle name="Heading 3 2 13" xfId="2377" xr:uid="{00000000-0005-0000-0000-000048090000}"/>
    <cellStyle name="Heading 3 2 14" xfId="2378" xr:uid="{00000000-0005-0000-0000-000049090000}"/>
    <cellStyle name="Heading 3 2 15" xfId="2379" xr:uid="{00000000-0005-0000-0000-00004A090000}"/>
    <cellStyle name="Heading 3 2 16" xfId="2380" xr:uid="{00000000-0005-0000-0000-00004B090000}"/>
    <cellStyle name="Heading 3 2 17" xfId="2381" xr:uid="{00000000-0005-0000-0000-00004C090000}"/>
    <cellStyle name="Heading 3 2 2" xfId="2382" xr:uid="{00000000-0005-0000-0000-00004D090000}"/>
    <cellStyle name="Heading 3 2 3" xfId="2383" xr:uid="{00000000-0005-0000-0000-00004E090000}"/>
    <cellStyle name="Heading 3 2 4" xfId="2384" xr:uid="{00000000-0005-0000-0000-00004F090000}"/>
    <cellStyle name="Heading 3 2 5" xfId="2385" xr:uid="{00000000-0005-0000-0000-000050090000}"/>
    <cellStyle name="Heading 3 2 6" xfId="2386" xr:uid="{00000000-0005-0000-0000-000051090000}"/>
    <cellStyle name="Heading 3 2 7" xfId="2387" xr:uid="{00000000-0005-0000-0000-000052090000}"/>
    <cellStyle name="Heading 3 2 8" xfId="2388" xr:uid="{00000000-0005-0000-0000-000053090000}"/>
    <cellStyle name="Heading 3 2 9" xfId="2389" xr:uid="{00000000-0005-0000-0000-000054090000}"/>
    <cellStyle name="Heading 3 3 10" xfId="2390" xr:uid="{00000000-0005-0000-0000-000055090000}"/>
    <cellStyle name="Heading 3 3 11" xfId="2391" xr:uid="{00000000-0005-0000-0000-000056090000}"/>
    <cellStyle name="Heading 3 3 12" xfId="2392" xr:uid="{00000000-0005-0000-0000-000057090000}"/>
    <cellStyle name="Heading 3 3 13" xfId="2393" xr:uid="{00000000-0005-0000-0000-000058090000}"/>
    <cellStyle name="Heading 3 3 14" xfId="2394" xr:uid="{00000000-0005-0000-0000-000059090000}"/>
    <cellStyle name="Heading 3 3 15" xfId="2395" xr:uid="{00000000-0005-0000-0000-00005A090000}"/>
    <cellStyle name="Heading 3 3 16" xfId="2396" xr:uid="{00000000-0005-0000-0000-00005B090000}"/>
    <cellStyle name="Heading 3 3 17" xfId="2397" xr:uid="{00000000-0005-0000-0000-00005C090000}"/>
    <cellStyle name="Heading 3 3 2" xfId="2398" xr:uid="{00000000-0005-0000-0000-00005D090000}"/>
    <cellStyle name="Heading 3 3 3" xfId="2399" xr:uid="{00000000-0005-0000-0000-00005E090000}"/>
    <cellStyle name="Heading 3 3 4" xfId="2400" xr:uid="{00000000-0005-0000-0000-00005F090000}"/>
    <cellStyle name="Heading 3 3 5" xfId="2401" xr:uid="{00000000-0005-0000-0000-000060090000}"/>
    <cellStyle name="Heading 3 3 6" xfId="2402" xr:uid="{00000000-0005-0000-0000-000061090000}"/>
    <cellStyle name="Heading 3 3 7" xfId="2403" xr:uid="{00000000-0005-0000-0000-000062090000}"/>
    <cellStyle name="Heading 3 3 8" xfId="2404" xr:uid="{00000000-0005-0000-0000-000063090000}"/>
    <cellStyle name="Heading 3 3 9" xfId="2405" xr:uid="{00000000-0005-0000-0000-000064090000}"/>
    <cellStyle name="Heading 4 2" xfId="2406" xr:uid="{00000000-0005-0000-0000-000065090000}"/>
    <cellStyle name="Heading 4 2 10" xfId="2407" xr:uid="{00000000-0005-0000-0000-000066090000}"/>
    <cellStyle name="Heading 4 2 11" xfId="2408" xr:uid="{00000000-0005-0000-0000-000067090000}"/>
    <cellStyle name="Heading 4 2 12" xfId="2409" xr:uid="{00000000-0005-0000-0000-000068090000}"/>
    <cellStyle name="Heading 4 2 13" xfId="2410" xr:uid="{00000000-0005-0000-0000-000069090000}"/>
    <cellStyle name="Heading 4 2 14" xfId="2411" xr:uid="{00000000-0005-0000-0000-00006A090000}"/>
    <cellStyle name="Heading 4 2 15" xfId="2412" xr:uid="{00000000-0005-0000-0000-00006B090000}"/>
    <cellStyle name="Heading 4 2 16" xfId="2413" xr:uid="{00000000-0005-0000-0000-00006C090000}"/>
    <cellStyle name="Heading 4 2 17" xfId="2414" xr:uid="{00000000-0005-0000-0000-00006D090000}"/>
    <cellStyle name="Heading 4 2 2" xfId="2415" xr:uid="{00000000-0005-0000-0000-00006E090000}"/>
    <cellStyle name="Heading 4 2 3" xfId="2416" xr:uid="{00000000-0005-0000-0000-00006F090000}"/>
    <cellStyle name="Heading 4 2 4" xfId="2417" xr:uid="{00000000-0005-0000-0000-000070090000}"/>
    <cellStyle name="Heading 4 2 5" xfId="2418" xr:uid="{00000000-0005-0000-0000-000071090000}"/>
    <cellStyle name="Heading 4 2 6" xfId="2419" xr:uid="{00000000-0005-0000-0000-000072090000}"/>
    <cellStyle name="Heading 4 2 7" xfId="2420" xr:uid="{00000000-0005-0000-0000-000073090000}"/>
    <cellStyle name="Heading 4 2 8" xfId="2421" xr:uid="{00000000-0005-0000-0000-000074090000}"/>
    <cellStyle name="Heading 4 2 9" xfId="2422" xr:uid="{00000000-0005-0000-0000-000075090000}"/>
    <cellStyle name="Heading 4 3 10" xfId="2423" xr:uid="{00000000-0005-0000-0000-000076090000}"/>
    <cellStyle name="Heading 4 3 11" xfId="2424" xr:uid="{00000000-0005-0000-0000-000077090000}"/>
    <cellStyle name="Heading 4 3 12" xfId="2425" xr:uid="{00000000-0005-0000-0000-000078090000}"/>
    <cellStyle name="Heading 4 3 13" xfId="2426" xr:uid="{00000000-0005-0000-0000-000079090000}"/>
    <cellStyle name="Heading 4 3 14" xfId="2427" xr:uid="{00000000-0005-0000-0000-00007A090000}"/>
    <cellStyle name="Heading 4 3 15" xfId="2428" xr:uid="{00000000-0005-0000-0000-00007B090000}"/>
    <cellStyle name="Heading 4 3 16" xfId="2429" xr:uid="{00000000-0005-0000-0000-00007C090000}"/>
    <cellStyle name="Heading 4 3 17" xfId="2430" xr:uid="{00000000-0005-0000-0000-00007D090000}"/>
    <cellStyle name="Heading 4 3 2" xfId="2431" xr:uid="{00000000-0005-0000-0000-00007E090000}"/>
    <cellStyle name="Heading 4 3 3" xfId="2432" xr:uid="{00000000-0005-0000-0000-00007F090000}"/>
    <cellStyle name="Heading 4 3 4" xfId="2433" xr:uid="{00000000-0005-0000-0000-000080090000}"/>
    <cellStyle name="Heading 4 3 5" xfId="2434" xr:uid="{00000000-0005-0000-0000-000081090000}"/>
    <cellStyle name="Heading 4 3 6" xfId="2435" xr:uid="{00000000-0005-0000-0000-000082090000}"/>
    <cellStyle name="Heading 4 3 7" xfId="2436" xr:uid="{00000000-0005-0000-0000-000083090000}"/>
    <cellStyle name="Heading 4 3 8" xfId="2437" xr:uid="{00000000-0005-0000-0000-000084090000}"/>
    <cellStyle name="Heading 4 3 9" xfId="2438" xr:uid="{00000000-0005-0000-0000-000085090000}"/>
    <cellStyle name="Hyperlink 2" xfId="2439" xr:uid="{00000000-0005-0000-0000-000086090000}"/>
    <cellStyle name="Hyperlink 2 2" xfId="2440" xr:uid="{00000000-0005-0000-0000-000087090000}"/>
    <cellStyle name="Hyperlink 3" xfId="2441" xr:uid="{00000000-0005-0000-0000-000088090000}"/>
    <cellStyle name="Hyperlink 4" xfId="2442" xr:uid="{00000000-0005-0000-0000-000089090000}"/>
    <cellStyle name="Input 2" xfId="2443" xr:uid="{00000000-0005-0000-0000-00008A090000}"/>
    <cellStyle name="Input 2 10" xfId="2444" xr:uid="{00000000-0005-0000-0000-00008B090000}"/>
    <cellStyle name="Input 2 11" xfId="2445" xr:uid="{00000000-0005-0000-0000-00008C090000}"/>
    <cellStyle name="Input 2 12" xfId="2446" xr:uid="{00000000-0005-0000-0000-00008D090000}"/>
    <cellStyle name="Input 2 13" xfId="2447" xr:uid="{00000000-0005-0000-0000-00008E090000}"/>
    <cellStyle name="Input 2 14" xfId="2448" xr:uid="{00000000-0005-0000-0000-00008F090000}"/>
    <cellStyle name="Input 2 15" xfId="2449" xr:uid="{00000000-0005-0000-0000-000090090000}"/>
    <cellStyle name="Input 2 16" xfId="2450" xr:uid="{00000000-0005-0000-0000-000091090000}"/>
    <cellStyle name="Input 2 17" xfId="2451" xr:uid="{00000000-0005-0000-0000-000092090000}"/>
    <cellStyle name="Input 2 18" xfId="2452" xr:uid="{00000000-0005-0000-0000-000093090000}"/>
    <cellStyle name="Input 2 19" xfId="2453" xr:uid="{00000000-0005-0000-0000-000094090000}"/>
    <cellStyle name="Input 2 2" xfId="2454" xr:uid="{00000000-0005-0000-0000-000095090000}"/>
    <cellStyle name="Input 2 20" xfId="2455" xr:uid="{00000000-0005-0000-0000-000096090000}"/>
    <cellStyle name="Input 2 3" xfId="2456" xr:uid="{00000000-0005-0000-0000-000097090000}"/>
    <cellStyle name="Input 2 4" xfId="2457" xr:uid="{00000000-0005-0000-0000-000098090000}"/>
    <cellStyle name="Input 2 5" xfId="2458" xr:uid="{00000000-0005-0000-0000-000099090000}"/>
    <cellStyle name="Input 2 6" xfId="2459" xr:uid="{00000000-0005-0000-0000-00009A090000}"/>
    <cellStyle name="Input 2 7" xfId="2460" xr:uid="{00000000-0005-0000-0000-00009B090000}"/>
    <cellStyle name="Input 2 8" xfId="2461" xr:uid="{00000000-0005-0000-0000-00009C090000}"/>
    <cellStyle name="Input 2 9" xfId="2462" xr:uid="{00000000-0005-0000-0000-00009D090000}"/>
    <cellStyle name="Input 3" xfId="2463" xr:uid="{00000000-0005-0000-0000-00009E090000}"/>
    <cellStyle name="Input 3 10" xfId="2464" xr:uid="{00000000-0005-0000-0000-00009F090000}"/>
    <cellStyle name="Input 3 11" xfId="2465" xr:uid="{00000000-0005-0000-0000-0000A0090000}"/>
    <cellStyle name="Input 3 12" xfId="2466" xr:uid="{00000000-0005-0000-0000-0000A1090000}"/>
    <cellStyle name="Input 3 13" xfId="2467" xr:uid="{00000000-0005-0000-0000-0000A2090000}"/>
    <cellStyle name="Input 3 14" xfId="2468" xr:uid="{00000000-0005-0000-0000-0000A3090000}"/>
    <cellStyle name="Input 3 15" xfId="2469" xr:uid="{00000000-0005-0000-0000-0000A4090000}"/>
    <cellStyle name="Input 3 16" xfId="2470" xr:uid="{00000000-0005-0000-0000-0000A5090000}"/>
    <cellStyle name="Input 3 17" xfId="2471" xr:uid="{00000000-0005-0000-0000-0000A6090000}"/>
    <cellStyle name="Input 3 2" xfId="2472" xr:uid="{00000000-0005-0000-0000-0000A7090000}"/>
    <cellStyle name="Input 3 3" xfId="2473" xr:uid="{00000000-0005-0000-0000-0000A8090000}"/>
    <cellStyle name="Input 3 4" xfId="2474" xr:uid="{00000000-0005-0000-0000-0000A9090000}"/>
    <cellStyle name="Input 3 5" xfId="2475" xr:uid="{00000000-0005-0000-0000-0000AA090000}"/>
    <cellStyle name="Input 3 6" xfId="2476" xr:uid="{00000000-0005-0000-0000-0000AB090000}"/>
    <cellStyle name="Input 3 7" xfId="2477" xr:uid="{00000000-0005-0000-0000-0000AC090000}"/>
    <cellStyle name="Input 3 8" xfId="2478" xr:uid="{00000000-0005-0000-0000-0000AD090000}"/>
    <cellStyle name="Input 3 9" xfId="2479" xr:uid="{00000000-0005-0000-0000-0000AE090000}"/>
    <cellStyle name="Input 4" xfId="2480" xr:uid="{00000000-0005-0000-0000-0000AF090000}"/>
    <cellStyle name="Linked Cell 2" xfId="2481" xr:uid="{00000000-0005-0000-0000-0000B0090000}"/>
    <cellStyle name="Linked Cell 2 10" xfId="2482" xr:uid="{00000000-0005-0000-0000-0000B1090000}"/>
    <cellStyle name="Linked Cell 2 11" xfId="2483" xr:uid="{00000000-0005-0000-0000-0000B2090000}"/>
    <cellStyle name="Linked Cell 2 12" xfId="2484" xr:uid="{00000000-0005-0000-0000-0000B3090000}"/>
    <cellStyle name="Linked Cell 2 13" xfId="2485" xr:uid="{00000000-0005-0000-0000-0000B4090000}"/>
    <cellStyle name="Linked Cell 2 14" xfId="2486" xr:uid="{00000000-0005-0000-0000-0000B5090000}"/>
    <cellStyle name="Linked Cell 2 15" xfId="2487" xr:uid="{00000000-0005-0000-0000-0000B6090000}"/>
    <cellStyle name="Linked Cell 2 16" xfId="2488" xr:uid="{00000000-0005-0000-0000-0000B7090000}"/>
    <cellStyle name="Linked Cell 2 17" xfId="2489" xr:uid="{00000000-0005-0000-0000-0000B8090000}"/>
    <cellStyle name="Linked Cell 2 2" xfId="2490" xr:uid="{00000000-0005-0000-0000-0000B9090000}"/>
    <cellStyle name="Linked Cell 2 3" xfId="2491" xr:uid="{00000000-0005-0000-0000-0000BA090000}"/>
    <cellStyle name="Linked Cell 2 4" xfId="2492" xr:uid="{00000000-0005-0000-0000-0000BB090000}"/>
    <cellStyle name="Linked Cell 2 5" xfId="2493" xr:uid="{00000000-0005-0000-0000-0000BC090000}"/>
    <cellStyle name="Linked Cell 2 6" xfId="2494" xr:uid="{00000000-0005-0000-0000-0000BD090000}"/>
    <cellStyle name="Linked Cell 2 7" xfId="2495" xr:uid="{00000000-0005-0000-0000-0000BE090000}"/>
    <cellStyle name="Linked Cell 2 8" xfId="2496" xr:uid="{00000000-0005-0000-0000-0000BF090000}"/>
    <cellStyle name="Linked Cell 2 9" xfId="2497" xr:uid="{00000000-0005-0000-0000-0000C0090000}"/>
    <cellStyle name="Linked Cell 3 10" xfId="2498" xr:uid="{00000000-0005-0000-0000-0000C1090000}"/>
    <cellStyle name="Linked Cell 3 11" xfId="2499" xr:uid="{00000000-0005-0000-0000-0000C2090000}"/>
    <cellStyle name="Linked Cell 3 12" xfId="2500" xr:uid="{00000000-0005-0000-0000-0000C3090000}"/>
    <cellStyle name="Linked Cell 3 13" xfId="2501" xr:uid="{00000000-0005-0000-0000-0000C4090000}"/>
    <cellStyle name="Linked Cell 3 14" xfId="2502" xr:uid="{00000000-0005-0000-0000-0000C5090000}"/>
    <cellStyle name="Linked Cell 3 15" xfId="2503" xr:uid="{00000000-0005-0000-0000-0000C6090000}"/>
    <cellStyle name="Linked Cell 3 16" xfId="2504" xr:uid="{00000000-0005-0000-0000-0000C7090000}"/>
    <cellStyle name="Linked Cell 3 17" xfId="2505" xr:uid="{00000000-0005-0000-0000-0000C8090000}"/>
    <cellStyle name="Linked Cell 3 2" xfId="2506" xr:uid="{00000000-0005-0000-0000-0000C9090000}"/>
    <cellStyle name="Linked Cell 3 3" xfId="2507" xr:uid="{00000000-0005-0000-0000-0000CA090000}"/>
    <cellStyle name="Linked Cell 3 4" xfId="2508" xr:uid="{00000000-0005-0000-0000-0000CB090000}"/>
    <cellStyle name="Linked Cell 3 5" xfId="2509" xr:uid="{00000000-0005-0000-0000-0000CC090000}"/>
    <cellStyle name="Linked Cell 3 6" xfId="2510" xr:uid="{00000000-0005-0000-0000-0000CD090000}"/>
    <cellStyle name="Linked Cell 3 7" xfId="2511" xr:uid="{00000000-0005-0000-0000-0000CE090000}"/>
    <cellStyle name="Linked Cell 3 8" xfId="2512" xr:uid="{00000000-0005-0000-0000-0000CF090000}"/>
    <cellStyle name="Linked Cell 3 9" xfId="2513" xr:uid="{00000000-0005-0000-0000-0000D0090000}"/>
    <cellStyle name="Migliaia 2" xfId="2514" xr:uid="{00000000-0005-0000-0000-0000D1090000}"/>
    <cellStyle name="Migliaia 2 2" xfId="2515" xr:uid="{00000000-0005-0000-0000-0000D2090000}"/>
    <cellStyle name="Migliaia 2 3" xfId="2516" xr:uid="{00000000-0005-0000-0000-0000D3090000}"/>
    <cellStyle name="Migliaia 2 4" xfId="2517" xr:uid="{00000000-0005-0000-0000-0000D4090000}"/>
    <cellStyle name="Migliaia 2 4 2" xfId="2518" xr:uid="{00000000-0005-0000-0000-0000D5090000}"/>
    <cellStyle name="Migliaia 2 5" xfId="2519" xr:uid="{00000000-0005-0000-0000-0000D6090000}"/>
    <cellStyle name="Migliaia 3" xfId="2520" xr:uid="{00000000-0005-0000-0000-0000D7090000}"/>
    <cellStyle name="Migliaia 3 2" xfId="2521" xr:uid="{00000000-0005-0000-0000-0000D8090000}"/>
    <cellStyle name="Migliaia 3 3" xfId="2522" xr:uid="{00000000-0005-0000-0000-0000D9090000}"/>
    <cellStyle name="Migliaia 3 4" xfId="2523" xr:uid="{00000000-0005-0000-0000-0000DA090000}"/>
    <cellStyle name="Migliaia 3 4 2" xfId="2524" xr:uid="{00000000-0005-0000-0000-0000DB090000}"/>
    <cellStyle name="Migliaia 3 5" xfId="2525" xr:uid="{00000000-0005-0000-0000-0000DC090000}"/>
    <cellStyle name="Neutral 2" xfId="2526" xr:uid="{00000000-0005-0000-0000-0000DD090000}"/>
    <cellStyle name="Neutral 2 10" xfId="2527" xr:uid="{00000000-0005-0000-0000-0000DE090000}"/>
    <cellStyle name="Neutral 2 11" xfId="2528" xr:uid="{00000000-0005-0000-0000-0000DF090000}"/>
    <cellStyle name="Neutral 2 12" xfId="2529" xr:uid="{00000000-0005-0000-0000-0000E0090000}"/>
    <cellStyle name="Neutral 2 13" xfId="2530" xr:uid="{00000000-0005-0000-0000-0000E1090000}"/>
    <cellStyle name="Neutral 2 14" xfId="2531" xr:uid="{00000000-0005-0000-0000-0000E2090000}"/>
    <cellStyle name="Neutral 2 15" xfId="2532" xr:uid="{00000000-0005-0000-0000-0000E3090000}"/>
    <cellStyle name="Neutral 2 16" xfId="2533" xr:uid="{00000000-0005-0000-0000-0000E4090000}"/>
    <cellStyle name="Neutral 2 17" xfId="2534" xr:uid="{00000000-0005-0000-0000-0000E5090000}"/>
    <cellStyle name="Neutral 2 2" xfId="2535" xr:uid="{00000000-0005-0000-0000-0000E6090000}"/>
    <cellStyle name="Neutral 2 3" xfId="2536" xr:uid="{00000000-0005-0000-0000-0000E7090000}"/>
    <cellStyle name="Neutral 2 4" xfId="2537" xr:uid="{00000000-0005-0000-0000-0000E8090000}"/>
    <cellStyle name="Neutral 2 5" xfId="2538" xr:uid="{00000000-0005-0000-0000-0000E9090000}"/>
    <cellStyle name="Neutral 2 6" xfId="2539" xr:uid="{00000000-0005-0000-0000-0000EA090000}"/>
    <cellStyle name="Neutral 2 7" xfId="2540" xr:uid="{00000000-0005-0000-0000-0000EB090000}"/>
    <cellStyle name="Neutral 2 8" xfId="2541" xr:uid="{00000000-0005-0000-0000-0000EC090000}"/>
    <cellStyle name="Neutral 2 9" xfId="2542" xr:uid="{00000000-0005-0000-0000-0000ED090000}"/>
    <cellStyle name="Neutral 3 10" xfId="2543" xr:uid="{00000000-0005-0000-0000-0000EE090000}"/>
    <cellStyle name="Neutral 3 11" xfId="2544" xr:uid="{00000000-0005-0000-0000-0000EF090000}"/>
    <cellStyle name="Neutral 3 12" xfId="2545" xr:uid="{00000000-0005-0000-0000-0000F0090000}"/>
    <cellStyle name="Neutral 3 13" xfId="2546" xr:uid="{00000000-0005-0000-0000-0000F1090000}"/>
    <cellStyle name="Neutral 3 14" xfId="2547" xr:uid="{00000000-0005-0000-0000-0000F2090000}"/>
    <cellStyle name="Neutral 3 15" xfId="2548" xr:uid="{00000000-0005-0000-0000-0000F3090000}"/>
    <cellStyle name="Neutral 3 16" xfId="2549" xr:uid="{00000000-0005-0000-0000-0000F4090000}"/>
    <cellStyle name="Neutral 3 17" xfId="2550" xr:uid="{00000000-0005-0000-0000-0000F5090000}"/>
    <cellStyle name="Neutral 3 2" xfId="2551" xr:uid="{00000000-0005-0000-0000-0000F6090000}"/>
    <cellStyle name="Neutral 3 3" xfId="2552" xr:uid="{00000000-0005-0000-0000-0000F7090000}"/>
    <cellStyle name="Neutral 3 4" xfId="2553" xr:uid="{00000000-0005-0000-0000-0000F8090000}"/>
    <cellStyle name="Neutral 3 5" xfId="2554" xr:uid="{00000000-0005-0000-0000-0000F9090000}"/>
    <cellStyle name="Neutral 3 6" xfId="2555" xr:uid="{00000000-0005-0000-0000-0000FA090000}"/>
    <cellStyle name="Neutral 3 7" xfId="2556" xr:uid="{00000000-0005-0000-0000-0000FB090000}"/>
    <cellStyle name="Neutral 3 8" xfId="2557" xr:uid="{00000000-0005-0000-0000-0000FC090000}"/>
    <cellStyle name="Neutral 3 9" xfId="2558" xr:uid="{00000000-0005-0000-0000-0000FD090000}"/>
    <cellStyle name="Neutrale" xfId="2559" xr:uid="{00000000-0005-0000-0000-0000FE090000}"/>
    <cellStyle name="Neutrale 2" xfId="2560" xr:uid="{00000000-0005-0000-0000-0000FF090000}"/>
    <cellStyle name="Neutrale 2 2" xfId="2561" xr:uid="{00000000-0005-0000-0000-0000000A0000}"/>
    <cellStyle name="Neutrale 2 2 2" xfId="2562" xr:uid="{00000000-0005-0000-0000-0000010A0000}"/>
    <cellStyle name="Neutrale 3" xfId="2563" xr:uid="{00000000-0005-0000-0000-0000020A0000}"/>
    <cellStyle name="Neutrale 4" xfId="2564" xr:uid="{00000000-0005-0000-0000-0000030A0000}"/>
    <cellStyle name="Normal" xfId="0" builtinId="0"/>
    <cellStyle name="Normal 10" xfId="2565" xr:uid="{00000000-0005-0000-0000-0000050A0000}"/>
    <cellStyle name="Normal 10 2" xfId="2566" xr:uid="{00000000-0005-0000-0000-0000060A0000}"/>
    <cellStyle name="Normal 10 3" xfId="2567" xr:uid="{00000000-0005-0000-0000-0000070A0000}"/>
    <cellStyle name="Normal 10 4" xfId="2568" xr:uid="{00000000-0005-0000-0000-0000080A0000}"/>
    <cellStyle name="Normal 11" xfId="2569" xr:uid="{00000000-0005-0000-0000-0000090A0000}"/>
    <cellStyle name="Normal 11 2" xfId="2570" xr:uid="{00000000-0005-0000-0000-00000A0A0000}"/>
    <cellStyle name="Normal 11 2 2" xfId="2571" xr:uid="{00000000-0005-0000-0000-00000B0A0000}"/>
    <cellStyle name="Normal 11 3" xfId="2572" xr:uid="{00000000-0005-0000-0000-00000C0A0000}"/>
    <cellStyle name="Normal 12" xfId="2573" xr:uid="{00000000-0005-0000-0000-00000D0A0000}"/>
    <cellStyle name="Normal 13" xfId="2574" xr:uid="{00000000-0005-0000-0000-00000E0A0000}"/>
    <cellStyle name="Normal 13 10" xfId="4323" xr:uid="{00000000-0005-0000-0000-0000DC080000}"/>
    <cellStyle name="Normal 13 10 2" xfId="4582" xr:uid="{00000000-0005-0000-0000-0000DD080000}"/>
    <cellStyle name="Normal 13 10 2 2" xfId="6257" xr:uid="{00000000-0005-0000-0000-0000DE080000}"/>
    <cellStyle name="Normal 13 10 2 2 2" xfId="9607" xr:uid="{00000000-0005-0000-0000-0000DF080000}"/>
    <cellStyle name="Normal 13 10 2 3" xfId="11282" xr:uid="{00000000-0005-0000-0000-0000E0080000}"/>
    <cellStyle name="Normal 13 10 2 4" xfId="7932" xr:uid="{00000000-0005-0000-0000-0000E1080000}"/>
    <cellStyle name="Normal 13 10 3" xfId="5998" xr:uid="{00000000-0005-0000-0000-0000E2080000}"/>
    <cellStyle name="Normal 13 10 3 2" xfId="9348" xr:uid="{00000000-0005-0000-0000-0000E3080000}"/>
    <cellStyle name="Normal 13 10 4" xfId="11023" xr:uid="{00000000-0005-0000-0000-0000E4080000}"/>
    <cellStyle name="Normal 13 10 5" xfId="7673" xr:uid="{00000000-0005-0000-0000-0000E5080000}"/>
    <cellStyle name="Normal 13 11" xfId="4559" xr:uid="{00000000-0005-0000-0000-0000E6080000}"/>
    <cellStyle name="Normal 13 11 2" xfId="6234" xr:uid="{00000000-0005-0000-0000-0000E7080000}"/>
    <cellStyle name="Normal 13 11 2 2" xfId="9584" xr:uid="{00000000-0005-0000-0000-0000E8080000}"/>
    <cellStyle name="Normal 13 11 3" xfId="11259" xr:uid="{00000000-0005-0000-0000-0000E9080000}"/>
    <cellStyle name="Normal 13 11 4" xfId="7909" xr:uid="{00000000-0005-0000-0000-0000EA080000}"/>
    <cellStyle name="Normal 13 12" xfId="5290" xr:uid="{00000000-0005-0000-0000-0000EB080000}"/>
    <cellStyle name="Normal 13 12 2" xfId="8640" xr:uid="{00000000-0005-0000-0000-0000EC080000}"/>
    <cellStyle name="Normal 13 13" xfId="10315" xr:uid="{00000000-0005-0000-0000-0000ED080000}"/>
    <cellStyle name="Normal 13 14" xfId="6965" xr:uid="{00000000-0005-0000-0000-0000EE080000}"/>
    <cellStyle name="Normal 13 15" xfId="3404" xr:uid="{00000000-0005-0000-0000-0000DB080000}"/>
    <cellStyle name="Normal 13 2" xfId="2575" xr:uid="{00000000-0005-0000-0000-00000F0A0000}"/>
    <cellStyle name="Normal 13 2 10" xfId="4560" xr:uid="{00000000-0005-0000-0000-0000F0080000}"/>
    <cellStyle name="Normal 13 2 10 2" xfId="6235" xr:uid="{00000000-0005-0000-0000-0000F1080000}"/>
    <cellStyle name="Normal 13 2 10 2 2" xfId="9585" xr:uid="{00000000-0005-0000-0000-0000F2080000}"/>
    <cellStyle name="Normal 13 2 10 3" xfId="11260" xr:uid="{00000000-0005-0000-0000-0000F3080000}"/>
    <cellStyle name="Normal 13 2 10 4" xfId="7910" xr:uid="{00000000-0005-0000-0000-0000F4080000}"/>
    <cellStyle name="Normal 13 2 11" xfId="5291" xr:uid="{00000000-0005-0000-0000-0000F5080000}"/>
    <cellStyle name="Normal 13 2 11 2" xfId="8641" xr:uid="{00000000-0005-0000-0000-0000F6080000}"/>
    <cellStyle name="Normal 13 2 12" xfId="10316" xr:uid="{00000000-0005-0000-0000-0000F7080000}"/>
    <cellStyle name="Normal 13 2 13" xfId="6966" xr:uid="{00000000-0005-0000-0000-0000F8080000}"/>
    <cellStyle name="Normal 13 2 14" xfId="3405" xr:uid="{00000000-0005-0000-0000-0000EF080000}"/>
    <cellStyle name="Normal 13 2 2" xfId="3639" xr:uid="{00000000-0005-0000-0000-0000F9080000}"/>
    <cellStyle name="Normal 13 2 2 2" xfId="3758" xr:uid="{00000000-0005-0000-0000-0000FA080000}"/>
    <cellStyle name="Normal 13 2 2 2 2" xfId="3994" xr:uid="{00000000-0005-0000-0000-0000FB080000}"/>
    <cellStyle name="Normal 13 2 2 2 2 2" xfId="4961" xr:uid="{00000000-0005-0000-0000-0000FC080000}"/>
    <cellStyle name="Normal 13 2 2 2 2 2 2" xfId="6636" xr:uid="{00000000-0005-0000-0000-0000FD080000}"/>
    <cellStyle name="Normal 13 2 2 2 2 2 2 2" xfId="9986" xr:uid="{00000000-0005-0000-0000-0000FE080000}"/>
    <cellStyle name="Normal 13 2 2 2 2 2 3" xfId="11661" xr:uid="{00000000-0005-0000-0000-0000FF080000}"/>
    <cellStyle name="Normal 13 2 2 2 2 2 4" xfId="8311" xr:uid="{00000000-0005-0000-0000-000000090000}"/>
    <cellStyle name="Normal 13 2 2 2 2 3" xfId="5669" xr:uid="{00000000-0005-0000-0000-000001090000}"/>
    <cellStyle name="Normal 13 2 2 2 2 3 2" xfId="9019" xr:uid="{00000000-0005-0000-0000-000002090000}"/>
    <cellStyle name="Normal 13 2 2 2 2 4" xfId="10694" xr:uid="{00000000-0005-0000-0000-000003090000}"/>
    <cellStyle name="Normal 13 2 2 2 2 5" xfId="7344" xr:uid="{00000000-0005-0000-0000-000004090000}"/>
    <cellStyle name="Normal 13 2 2 2 3" xfId="4230" xr:uid="{00000000-0005-0000-0000-000005090000}"/>
    <cellStyle name="Normal 13 2 2 2 3 2" xfId="5197" xr:uid="{00000000-0005-0000-0000-000006090000}"/>
    <cellStyle name="Normal 13 2 2 2 3 2 2" xfId="6872" xr:uid="{00000000-0005-0000-0000-000007090000}"/>
    <cellStyle name="Normal 13 2 2 2 3 2 2 2" xfId="10222" xr:uid="{00000000-0005-0000-0000-000008090000}"/>
    <cellStyle name="Normal 13 2 2 2 3 2 3" xfId="11897" xr:uid="{00000000-0005-0000-0000-000009090000}"/>
    <cellStyle name="Normal 13 2 2 2 3 2 4" xfId="8547" xr:uid="{00000000-0005-0000-0000-00000A090000}"/>
    <cellStyle name="Normal 13 2 2 2 3 3" xfId="5905" xr:uid="{00000000-0005-0000-0000-00000B090000}"/>
    <cellStyle name="Normal 13 2 2 2 3 3 2" xfId="9255" xr:uid="{00000000-0005-0000-0000-00000C090000}"/>
    <cellStyle name="Normal 13 2 2 2 3 4" xfId="10930" xr:uid="{00000000-0005-0000-0000-00000D090000}"/>
    <cellStyle name="Normal 13 2 2 2 3 5" xfId="7580" xr:uid="{00000000-0005-0000-0000-00000E090000}"/>
    <cellStyle name="Normal 13 2 2 2 4" xfId="4466" xr:uid="{00000000-0005-0000-0000-00000F090000}"/>
    <cellStyle name="Normal 13 2 2 2 4 2" xfId="6141" xr:uid="{00000000-0005-0000-0000-000010090000}"/>
    <cellStyle name="Normal 13 2 2 2 4 2 2" xfId="9491" xr:uid="{00000000-0005-0000-0000-000011090000}"/>
    <cellStyle name="Normal 13 2 2 2 4 3" xfId="11166" xr:uid="{00000000-0005-0000-0000-000012090000}"/>
    <cellStyle name="Normal 13 2 2 2 4 4" xfId="7816" xr:uid="{00000000-0005-0000-0000-000013090000}"/>
    <cellStyle name="Normal 13 2 2 2 5" xfId="4725" xr:uid="{00000000-0005-0000-0000-000014090000}"/>
    <cellStyle name="Normal 13 2 2 2 5 2" xfId="6400" xr:uid="{00000000-0005-0000-0000-000015090000}"/>
    <cellStyle name="Normal 13 2 2 2 5 2 2" xfId="9750" xr:uid="{00000000-0005-0000-0000-000016090000}"/>
    <cellStyle name="Normal 13 2 2 2 5 3" xfId="11425" xr:uid="{00000000-0005-0000-0000-000017090000}"/>
    <cellStyle name="Normal 13 2 2 2 5 4" xfId="8075" xr:uid="{00000000-0005-0000-0000-000018090000}"/>
    <cellStyle name="Normal 13 2 2 2 6" xfId="5433" xr:uid="{00000000-0005-0000-0000-000019090000}"/>
    <cellStyle name="Normal 13 2 2 2 6 2" xfId="8783" xr:uid="{00000000-0005-0000-0000-00001A090000}"/>
    <cellStyle name="Normal 13 2 2 2 7" xfId="10458" xr:uid="{00000000-0005-0000-0000-00001B090000}"/>
    <cellStyle name="Normal 13 2 2 2 8" xfId="7108" xr:uid="{00000000-0005-0000-0000-00001C090000}"/>
    <cellStyle name="Normal 13 2 2 3" xfId="3875" xr:uid="{00000000-0005-0000-0000-00001D090000}"/>
    <cellStyle name="Normal 13 2 2 3 2" xfId="4842" xr:uid="{00000000-0005-0000-0000-00001E090000}"/>
    <cellStyle name="Normal 13 2 2 3 2 2" xfId="6517" xr:uid="{00000000-0005-0000-0000-00001F090000}"/>
    <cellStyle name="Normal 13 2 2 3 2 2 2" xfId="9867" xr:uid="{00000000-0005-0000-0000-000020090000}"/>
    <cellStyle name="Normal 13 2 2 3 2 3" xfId="11542" xr:uid="{00000000-0005-0000-0000-000021090000}"/>
    <cellStyle name="Normal 13 2 2 3 2 4" xfId="8192" xr:uid="{00000000-0005-0000-0000-000022090000}"/>
    <cellStyle name="Normal 13 2 2 3 3" xfId="5550" xr:uid="{00000000-0005-0000-0000-000023090000}"/>
    <cellStyle name="Normal 13 2 2 3 3 2" xfId="8900" xr:uid="{00000000-0005-0000-0000-000024090000}"/>
    <cellStyle name="Normal 13 2 2 3 4" xfId="10575" xr:uid="{00000000-0005-0000-0000-000025090000}"/>
    <cellStyle name="Normal 13 2 2 3 5" xfId="7225" xr:uid="{00000000-0005-0000-0000-000026090000}"/>
    <cellStyle name="Normal 13 2 2 4" xfId="4111" xr:uid="{00000000-0005-0000-0000-000027090000}"/>
    <cellStyle name="Normal 13 2 2 4 2" xfId="5078" xr:uid="{00000000-0005-0000-0000-000028090000}"/>
    <cellStyle name="Normal 13 2 2 4 2 2" xfId="6753" xr:uid="{00000000-0005-0000-0000-000029090000}"/>
    <cellStyle name="Normal 13 2 2 4 2 2 2" xfId="10103" xr:uid="{00000000-0005-0000-0000-00002A090000}"/>
    <cellStyle name="Normal 13 2 2 4 2 3" xfId="11778" xr:uid="{00000000-0005-0000-0000-00002B090000}"/>
    <cellStyle name="Normal 13 2 2 4 2 4" xfId="8428" xr:uid="{00000000-0005-0000-0000-00002C090000}"/>
    <cellStyle name="Normal 13 2 2 4 3" xfId="5786" xr:uid="{00000000-0005-0000-0000-00002D090000}"/>
    <cellStyle name="Normal 13 2 2 4 3 2" xfId="9136" xr:uid="{00000000-0005-0000-0000-00002E090000}"/>
    <cellStyle name="Normal 13 2 2 4 4" xfId="10811" xr:uid="{00000000-0005-0000-0000-00002F090000}"/>
    <cellStyle name="Normal 13 2 2 4 5" xfId="7461" xr:uid="{00000000-0005-0000-0000-000030090000}"/>
    <cellStyle name="Normal 13 2 2 5" xfId="4347" xr:uid="{00000000-0005-0000-0000-000031090000}"/>
    <cellStyle name="Normal 13 2 2 5 2" xfId="6022" xr:uid="{00000000-0005-0000-0000-000032090000}"/>
    <cellStyle name="Normal 13 2 2 5 2 2" xfId="9372" xr:uid="{00000000-0005-0000-0000-000033090000}"/>
    <cellStyle name="Normal 13 2 2 5 3" xfId="11047" xr:uid="{00000000-0005-0000-0000-000034090000}"/>
    <cellStyle name="Normal 13 2 2 5 4" xfId="7697" xr:uid="{00000000-0005-0000-0000-000035090000}"/>
    <cellStyle name="Normal 13 2 2 6" xfId="4606" xr:uid="{00000000-0005-0000-0000-000036090000}"/>
    <cellStyle name="Normal 13 2 2 6 2" xfId="6281" xr:uid="{00000000-0005-0000-0000-000037090000}"/>
    <cellStyle name="Normal 13 2 2 6 2 2" xfId="9631" xr:uid="{00000000-0005-0000-0000-000038090000}"/>
    <cellStyle name="Normal 13 2 2 6 3" xfId="11306" xr:uid="{00000000-0005-0000-0000-000039090000}"/>
    <cellStyle name="Normal 13 2 2 6 4" xfId="7956" xr:uid="{00000000-0005-0000-0000-00003A090000}"/>
    <cellStyle name="Normal 13 2 2 7" xfId="5314" xr:uid="{00000000-0005-0000-0000-00003B090000}"/>
    <cellStyle name="Normal 13 2 2 7 2" xfId="8664" xr:uid="{00000000-0005-0000-0000-00003C090000}"/>
    <cellStyle name="Normal 13 2 2 8" xfId="10339" xr:uid="{00000000-0005-0000-0000-00003D090000}"/>
    <cellStyle name="Normal 13 2 2 9" xfId="6989" xr:uid="{00000000-0005-0000-0000-00003E090000}"/>
    <cellStyle name="Normal 13 2 3" xfId="3662" xr:uid="{00000000-0005-0000-0000-00003F090000}"/>
    <cellStyle name="Normal 13 2 3 2" xfId="3780" xr:uid="{00000000-0005-0000-0000-000040090000}"/>
    <cellStyle name="Normal 13 2 3 2 2" xfId="4016" xr:uid="{00000000-0005-0000-0000-000041090000}"/>
    <cellStyle name="Normal 13 2 3 2 2 2" xfId="4983" xr:uid="{00000000-0005-0000-0000-000042090000}"/>
    <cellStyle name="Normal 13 2 3 2 2 2 2" xfId="6658" xr:uid="{00000000-0005-0000-0000-000043090000}"/>
    <cellStyle name="Normal 13 2 3 2 2 2 2 2" xfId="10008" xr:uid="{00000000-0005-0000-0000-000044090000}"/>
    <cellStyle name="Normal 13 2 3 2 2 2 3" xfId="11683" xr:uid="{00000000-0005-0000-0000-000045090000}"/>
    <cellStyle name="Normal 13 2 3 2 2 2 4" xfId="8333" xr:uid="{00000000-0005-0000-0000-000046090000}"/>
    <cellStyle name="Normal 13 2 3 2 2 3" xfId="5691" xr:uid="{00000000-0005-0000-0000-000047090000}"/>
    <cellStyle name="Normal 13 2 3 2 2 3 2" xfId="9041" xr:uid="{00000000-0005-0000-0000-000048090000}"/>
    <cellStyle name="Normal 13 2 3 2 2 4" xfId="10716" xr:uid="{00000000-0005-0000-0000-000049090000}"/>
    <cellStyle name="Normal 13 2 3 2 2 5" xfId="7366" xr:uid="{00000000-0005-0000-0000-00004A090000}"/>
    <cellStyle name="Normal 13 2 3 2 3" xfId="4252" xr:uid="{00000000-0005-0000-0000-00004B090000}"/>
    <cellStyle name="Normal 13 2 3 2 3 2" xfId="5219" xr:uid="{00000000-0005-0000-0000-00004C090000}"/>
    <cellStyle name="Normal 13 2 3 2 3 2 2" xfId="6894" xr:uid="{00000000-0005-0000-0000-00004D090000}"/>
    <cellStyle name="Normal 13 2 3 2 3 2 2 2" xfId="10244" xr:uid="{00000000-0005-0000-0000-00004E090000}"/>
    <cellStyle name="Normal 13 2 3 2 3 2 3" xfId="11919" xr:uid="{00000000-0005-0000-0000-00004F090000}"/>
    <cellStyle name="Normal 13 2 3 2 3 2 4" xfId="8569" xr:uid="{00000000-0005-0000-0000-000050090000}"/>
    <cellStyle name="Normal 13 2 3 2 3 3" xfId="5927" xr:uid="{00000000-0005-0000-0000-000051090000}"/>
    <cellStyle name="Normal 13 2 3 2 3 3 2" xfId="9277" xr:uid="{00000000-0005-0000-0000-000052090000}"/>
    <cellStyle name="Normal 13 2 3 2 3 4" xfId="10952" xr:uid="{00000000-0005-0000-0000-000053090000}"/>
    <cellStyle name="Normal 13 2 3 2 3 5" xfId="7602" xr:uid="{00000000-0005-0000-0000-000054090000}"/>
    <cellStyle name="Normal 13 2 3 2 4" xfId="4488" xr:uid="{00000000-0005-0000-0000-000055090000}"/>
    <cellStyle name="Normal 13 2 3 2 4 2" xfId="6163" xr:uid="{00000000-0005-0000-0000-000056090000}"/>
    <cellStyle name="Normal 13 2 3 2 4 2 2" xfId="9513" xr:uid="{00000000-0005-0000-0000-000057090000}"/>
    <cellStyle name="Normal 13 2 3 2 4 3" xfId="11188" xr:uid="{00000000-0005-0000-0000-000058090000}"/>
    <cellStyle name="Normal 13 2 3 2 4 4" xfId="7838" xr:uid="{00000000-0005-0000-0000-000059090000}"/>
    <cellStyle name="Normal 13 2 3 2 5" xfId="4747" xr:uid="{00000000-0005-0000-0000-00005A090000}"/>
    <cellStyle name="Normal 13 2 3 2 5 2" xfId="6422" xr:uid="{00000000-0005-0000-0000-00005B090000}"/>
    <cellStyle name="Normal 13 2 3 2 5 2 2" xfId="9772" xr:uid="{00000000-0005-0000-0000-00005C090000}"/>
    <cellStyle name="Normal 13 2 3 2 5 3" xfId="11447" xr:uid="{00000000-0005-0000-0000-00005D090000}"/>
    <cellStyle name="Normal 13 2 3 2 5 4" xfId="8097" xr:uid="{00000000-0005-0000-0000-00005E090000}"/>
    <cellStyle name="Normal 13 2 3 2 6" xfId="5455" xr:uid="{00000000-0005-0000-0000-00005F090000}"/>
    <cellStyle name="Normal 13 2 3 2 6 2" xfId="8805" xr:uid="{00000000-0005-0000-0000-000060090000}"/>
    <cellStyle name="Normal 13 2 3 2 7" xfId="10480" xr:uid="{00000000-0005-0000-0000-000061090000}"/>
    <cellStyle name="Normal 13 2 3 2 8" xfId="7130" xr:uid="{00000000-0005-0000-0000-000062090000}"/>
    <cellStyle name="Normal 13 2 3 3" xfId="3898" xr:uid="{00000000-0005-0000-0000-000063090000}"/>
    <cellStyle name="Normal 13 2 3 3 2" xfId="4865" xr:uid="{00000000-0005-0000-0000-000064090000}"/>
    <cellStyle name="Normal 13 2 3 3 2 2" xfId="6540" xr:uid="{00000000-0005-0000-0000-000065090000}"/>
    <cellStyle name="Normal 13 2 3 3 2 2 2" xfId="9890" xr:uid="{00000000-0005-0000-0000-000066090000}"/>
    <cellStyle name="Normal 13 2 3 3 2 3" xfId="11565" xr:uid="{00000000-0005-0000-0000-000067090000}"/>
    <cellStyle name="Normal 13 2 3 3 2 4" xfId="8215" xr:uid="{00000000-0005-0000-0000-000068090000}"/>
    <cellStyle name="Normal 13 2 3 3 3" xfId="5573" xr:uid="{00000000-0005-0000-0000-000069090000}"/>
    <cellStyle name="Normal 13 2 3 3 3 2" xfId="8923" xr:uid="{00000000-0005-0000-0000-00006A090000}"/>
    <cellStyle name="Normal 13 2 3 3 4" xfId="10598" xr:uid="{00000000-0005-0000-0000-00006B090000}"/>
    <cellStyle name="Normal 13 2 3 3 5" xfId="7248" xr:uid="{00000000-0005-0000-0000-00006C090000}"/>
    <cellStyle name="Normal 13 2 3 4" xfId="4134" xr:uid="{00000000-0005-0000-0000-00006D090000}"/>
    <cellStyle name="Normal 13 2 3 4 2" xfId="5101" xr:uid="{00000000-0005-0000-0000-00006E090000}"/>
    <cellStyle name="Normal 13 2 3 4 2 2" xfId="6776" xr:uid="{00000000-0005-0000-0000-00006F090000}"/>
    <cellStyle name="Normal 13 2 3 4 2 2 2" xfId="10126" xr:uid="{00000000-0005-0000-0000-000070090000}"/>
    <cellStyle name="Normal 13 2 3 4 2 3" xfId="11801" xr:uid="{00000000-0005-0000-0000-000071090000}"/>
    <cellStyle name="Normal 13 2 3 4 2 4" xfId="8451" xr:uid="{00000000-0005-0000-0000-000072090000}"/>
    <cellStyle name="Normal 13 2 3 4 3" xfId="5809" xr:uid="{00000000-0005-0000-0000-000073090000}"/>
    <cellStyle name="Normal 13 2 3 4 3 2" xfId="9159" xr:uid="{00000000-0005-0000-0000-000074090000}"/>
    <cellStyle name="Normal 13 2 3 4 4" xfId="10834" xr:uid="{00000000-0005-0000-0000-000075090000}"/>
    <cellStyle name="Normal 13 2 3 4 5" xfId="7484" xr:uid="{00000000-0005-0000-0000-000076090000}"/>
    <cellStyle name="Normal 13 2 3 5" xfId="4370" xr:uid="{00000000-0005-0000-0000-000077090000}"/>
    <cellStyle name="Normal 13 2 3 5 2" xfId="6045" xr:uid="{00000000-0005-0000-0000-000078090000}"/>
    <cellStyle name="Normal 13 2 3 5 2 2" xfId="9395" xr:uid="{00000000-0005-0000-0000-000079090000}"/>
    <cellStyle name="Normal 13 2 3 5 3" xfId="11070" xr:uid="{00000000-0005-0000-0000-00007A090000}"/>
    <cellStyle name="Normal 13 2 3 5 4" xfId="7720" xr:uid="{00000000-0005-0000-0000-00007B090000}"/>
    <cellStyle name="Normal 13 2 3 6" xfId="4629" xr:uid="{00000000-0005-0000-0000-00007C090000}"/>
    <cellStyle name="Normal 13 2 3 6 2" xfId="6304" xr:uid="{00000000-0005-0000-0000-00007D090000}"/>
    <cellStyle name="Normal 13 2 3 6 2 2" xfId="9654" xr:uid="{00000000-0005-0000-0000-00007E090000}"/>
    <cellStyle name="Normal 13 2 3 6 3" xfId="11329" xr:uid="{00000000-0005-0000-0000-00007F090000}"/>
    <cellStyle name="Normal 13 2 3 6 4" xfId="7979" xr:uid="{00000000-0005-0000-0000-000080090000}"/>
    <cellStyle name="Normal 13 2 3 7" xfId="5337" xr:uid="{00000000-0005-0000-0000-000081090000}"/>
    <cellStyle name="Normal 13 2 3 7 2" xfId="8687" xr:uid="{00000000-0005-0000-0000-000082090000}"/>
    <cellStyle name="Normal 13 2 3 8" xfId="10362" xr:uid="{00000000-0005-0000-0000-000083090000}"/>
    <cellStyle name="Normal 13 2 3 9" xfId="7012" xr:uid="{00000000-0005-0000-0000-000084090000}"/>
    <cellStyle name="Normal 13 2 4" xfId="3686" xr:uid="{00000000-0005-0000-0000-000085090000}"/>
    <cellStyle name="Normal 13 2 4 2" xfId="3804" xr:uid="{00000000-0005-0000-0000-000086090000}"/>
    <cellStyle name="Normal 13 2 4 2 2" xfId="4040" xr:uid="{00000000-0005-0000-0000-000087090000}"/>
    <cellStyle name="Normal 13 2 4 2 2 2" xfId="5007" xr:uid="{00000000-0005-0000-0000-000088090000}"/>
    <cellStyle name="Normal 13 2 4 2 2 2 2" xfId="6682" xr:uid="{00000000-0005-0000-0000-000089090000}"/>
    <cellStyle name="Normal 13 2 4 2 2 2 2 2" xfId="10032" xr:uid="{00000000-0005-0000-0000-00008A090000}"/>
    <cellStyle name="Normal 13 2 4 2 2 2 3" xfId="11707" xr:uid="{00000000-0005-0000-0000-00008B090000}"/>
    <cellStyle name="Normal 13 2 4 2 2 2 4" xfId="8357" xr:uid="{00000000-0005-0000-0000-00008C090000}"/>
    <cellStyle name="Normal 13 2 4 2 2 3" xfId="5715" xr:uid="{00000000-0005-0000-0000-00008D090000}"/>
    <cellStyle name="Normal 13 2 4 2 2 3 2" xfId="9065" xr:uid="{00000000-0005-0000-0000-00008E090000}"/>
    <cellStyle name="Normal 13 2 4 2 2 4" xfId="10740" xr:uid="{00000000-0005-0000-0000-00008F090000}"/>
    <cellStyle name="Normal 13 2 4 2 2 5" xfId="7390" xr:uid="{00000000-0005-0000-0000-000090090000}"/>
    <cellStyle name="Normal 13 2 4 2 3" xfId="4276" xr:uid="{00000000-0005-0000-0000-000091090000}"/>
    <cellStyle name="Normal 13 2 4 2 3 2" xfId="5243" xr:uid="{00000000-0005-0000-0000-000092090000}"/>
    <cellStyle name="Normal 13 2 4 2 3 2 2" xfId="6918" xr:uid="{00000000-0005-0000-0000-000093090000}"/>
    <cellStyle name="Normal 13 2 4 2 3 2 2 2" xfId="10268" xr:uid="{00000000-0005-0000-0000-000094090000}"/>
    <cellStyle name="Normal 13 2 4 2 3 2 3" xfId="11943" xr:uid="{00000000-0005-0000-0000-000095090000}"/>
    <cellStyle name="Normal 13 2 4 2 3 2 4" xfId="8593" xr:uid="{00000000-0005-0000-0000-000096090000}"/>
    <cellStyle name="Normal 13 2 4 2 3 3" xfId="5951" xr:uid="{00000000-0005-0000-0000-000097090000}"/>
    <cellStyle name="Normal 13 2 4 2 3 3 2" xfId="9301" xr:uid="{00000000-0005-0000-0000-000098090000}"/>
    <cellStyle name="Normal 13 2 4 2 3 4" xfId="10976" xr:uid="{00000000-0005-0000-0000-000099090000}"/>
    <cellStyle name="Normal 13 2 4 2 3 5" xfId="7626" xr:uid="{00000000-0005-0000-0000-00009A090000}"/>
    <cellStyle name="Normal 13 2 4 2 4" xfId="4512" xr:uid="{00000000-0005-0000-0000-00009B090000}"/>
    <cellStyle name="Normal 13 2 4 2 4 2" xfId="6187" xr:uid="{00000000-0005-0000-0000-00009C090000}"/>
    <cellStyle name="Normal 13 2 4 2 4 2 2" xfId="9537" xr:uid="{00000000-0005-0000-0000-00009D090000}"/>
    <cellStyle name="Normal 13 2 4 2 4 3" xfId="11212" xr:uid="{00000000-0005-0000-0000-00009E090000}"/>
    <cellStyle name="Normal 13 2 4 2 4 4" xfId="7862" xr:uid="{00000000-0005-0000-0000-00009F090000}"/>
    <cellStyle name="Normal 13 2 4 2 5" xfId="4771" xr:uid="{00000000-0005-0000-0000-0000A0090000}"/>
    <cellStyle name="Normal 13 2 4 2 5 2" xfId="6446" xr:uid="{00000000-0005-0000-0000-0000A1090000}"/>
    <cellStyle name="Normal 13 2 4 2 5 2 2" xfId="9796" xr:uid="{00000000-0005-0000-0000-0000A2090000}"/>
    <cellStyle name="Normal 13 2 4 2 5 3" xfId="11471" xr:uid="{00000000-0005-0000-0000-0000A3090000}"/>
    <cellStyle name="Normal 13 2 4 2 5 4" xfId="8121" xr:uid="{00000000-0005-0000-0000-0000A4090000}"/>
    <cellStyle name="Normal 13 2 4 2 6" xfId="5479" xr:uid="{00000000-0005-0000-0000-0000A5090000}"/>
    <cellStyle name="Normal 13 2 4 2 6 2" xfId="8829" xr:uid="{00000000-0005-0000-0000-0000A6090000}"/>
    <cellStyle name="Normal 13 2 4 2 7" xfId="10504" xr:uid="{00000000-0005-0000-0000-0000A7090000}"/>
    <cellStyle name="Normal 13 2 4 2 8" xfId="7154" xr:uid="{00000000-0005-0000-0000-0000A8090000}"/>
    <cellStyle name="Normal 13 2 4 3" xfId="3922" xr:uid="{00000000-0005-0000-0000-0000A9090000}"/>
    <cellStyle name="Normal 13 2 4 3 2" xfId="4889" xr:uid="{00000000-0005-0000-0000-0000AA090000}"/>
    <cellStyle name="Normal 13 2 4 3 2 2" xfId="6564" xr:uid="{00000000-0005-0000-0000-0000AB090000}"/>
    <cellStyle name="Normal 13 2 4 3 2 2 2" xfId="9914" xr:uid="{00000000-0005-0000-0000-0000AC090000}"/>
    <cellStyle name="Normal 13 2 4 3 2 3" xfId="11589" xr:uid="{00000000-0005-0000-0000-0000AD090000}"/>
    <cellStyle name="Normal 13 2 4 3 2 4" xfId="8239" xr:uid="{00000000-0005-0000-0000-0000AE090000}"/>
    <cellStyle name="Normal 13 2 4 3 3" xfId="5597" xr:uid="{00000000-0005-0000-0000-0000AF090000}"/>
    <cellStyle name="Normal 13 2 4 3 3 2" xfId="8947" xr:uid="{00000000-0005-0000-0000-0000B0090000}"/>
    <cellStyle name="Normal 13 2 4 3 4" xfId="10622" xr:uid="{00000000-0005-0000-0000-0000B1090000}"/>
    <cellStyle name="Normal 13 2 4 3 5" xfId="7272" xr:uid="{00000000-0005-0000-0000-0000B2090000}"/>
    <cellStyle name="Normal 13 2 4 4" xfId="4158" xr:uid="{00000000-0005-0000-0000-0000B3090000}"/>
    <cellStyle name="Normal 13 2 4 4 2" xfId="5125" xr:uid="{00000000-0005-0000-0000-0000B4090000}"/>
    <cellStyle name="Normal 13 2 4 4 2 2" xfId="6800" xr:uid="{00000000-0005-0000-0000-0000B5090000}"/>
    <cellStyle name="Normal 13 2 4 4 2 2 2" xfId="10150" xr:uid="{00000000-0005-0000-0000-0000B6090000}"/>
    <cellStyle name="Normal 13 2 4 4 2 3" xfId="11825" xr:uid="{00000000-0005-0000-0000-0000B7090000}"/>
    <cellStyle name="Normal 13 2 4 4 2 4" xfId="8475" xr:uid="{00000000-0005-0000-0000-0000B8090000}"/>
    <cellStyle name="Normal 13 2 4 4 3" xfId="5833" xr:uid="{00000000-0005-0000-0000-0000B9090000}"/>
    <cellStyle name="Normal 13 2 4 4 3 2" xfId="9183" xr:uid="{00000000-0005-0000-0000-0000BA090000}"/>
    <cellStyle name="Normal 13 2 4 4 4" xfId="10858" xr:uid="{00000000-0005-0000-0000-0000BB090000}"/>
    <cellStyle name="Normal 13 2 4 4 5" xfId="7508" xr:uid="{00000000-0005-0000-0000-0000BC090000}"/>
    <cellStyle name="Normal 13 2 4 5" xfId="4394" xr:uid="{00000000-0005-0000-0000-0000BD090000}"/>
    <cellStyle name="Normal 13 2 4 5 2" xfId="6069" xr:uid="{00000000-0005-0000-0000-0000BE090000}"/>
    <cellStyle name="Normal 13 2 4 5 2 2" xfId="9419" xr:uid="{00000000-0005-0000-0000-0000BF090000}"/>
    <cellStyle name="Normal 13 2 4 5 3" xfId="11094" xr:uid="{00000000-0005-0000-0000-0000C0090000}"/>
    <cellStyle name="Normal 13 2 4 5 4" xfId="7744" xr:uid="{00000000-0005-0000-0000-0000C1090000}"/>
    <cellStyle name="Normal 13 2 4 6" xfId="4653" xr:uid="{00000000-0005-0000-0000-0000C2090000}"/>
    <cellStyle name="Normal 13 2 4 6 2" xfId="6328" xr:uid="{00000000-0005-0000-0000-0000C3090000}"/>
    <cellStyle name="Normal 13 2 4 6 2 2" xfId="9678" xr:uid="{00000000-0005-0000-0000-0000C4090000}"/>
    <cellStyle name="Normal 13 2 4 6 3" xfId="11353" xr:uid="{00000000-0005-0000-0000-0000C5090000}"/>
    <cellStyle name="Normal 13 2 4 6 4" xfId="8003" xr:uid="{00000000-0005-0000-0000-0000C6090000}"/>
    <cellStyle name="Normal 13 2 4 7" xfId="5361" xr:uid="{00000000-0005-0000-0000-0000C7090000}"/>
    <cellStyle name="Normal 13 2 4 7 2" xfId="8711" xr:uid="{00000000-0005-0000-0000-0000C8090000}"/>
    <cellStyle name="Normal 13 2 4 8" xfId="10386" xr:uid="{00000000-0005-0000-0000-0000C9090000}"/>
    <cellStyle name="Normal 13 2 4 9" xfId="7036" xr:uid="{00000000-0005-0000-0000-0000CA090000}"/>
    <cellStyle name="Normal 13 2 5" xfId="3710" xr:uid="{00000000-0005-0000-0000-0000CB090000}"/>
    <cellStyle name="Normal 13 2 5 2" xfId="3828" xr:uid="{00000000-0005-0000-0000-0000CC090000}"/>
    <cellStyle name="Normal 13 2 5 2 2" xfId="4064" xr:uid="{00000000-0005-0000-0000-0000CD090000}"/>
    <cellStyle name="Normal 13 2 5 2 2 2" xfId="5031" xr:uid="{00000000-0005-0000-0000-0000CE090000}"/>
    <cellStyle name="Normal 13 2 5 2 2 2 2" xfId="6706" xr:uid="{00000000-0005-0000-0000-0000CF090000}"/>
    <cellStyle name="Normal 13 2 5 2 2 2 2 2" xfId="10056" xr:uid="{00000000-0005-0000-0000-0000D0090000}"/>
    <cellStyle name="Normal 13 2 5 2 2 2 3" xfId="11731" xr:uid="{00000000-0005-0000-0000-0000D1090000}"/>
    <cellStyle name="Normal 13 2 5 2 2 2 4" xfId="8381" xr:uid="{00000000-0005-0000-0000-0000D2090000}"/>
    <cellStyle name="Normal 13 2 5 2 2 3" xfId="5739" xr:uid="{00000000-0005-0000-0000-0000D3090000}"/>
    <cellStyle name="Normal 13 2 5 2 2 3 2" xfId="9089" xr:uid="{00000000-0005-0000-0000-0000D4090000}"/>
    <cellStyle name="Normal 13 2 5 2 2 4" xfId="10764" xr:uid="{00000000-0005-0000-0000-0000D5090000}"/>
    <cellStyle name="Normal 13 2 5 2 2 5" xfId="7414" xr:uid="{00000000-0005-0000-0000-0000D6090000}"/>
    <cellStyle name="Normal 13 2 5 2 3" xfId="4300" xr:uid="{00000000-0005-0000-0000-0000D7090000}"/>
    <cellStyle name="Normal 13 2 5 2 3 2" xfId="5267" xr:uid="{00000000-0005-0000-0000-0000D8090000}"/>
    <cellStyle name="Normal 13 2 5 2 3 2 2" xfId="6942" xr:uid="{00000000-0005-0000-0000-0000D9090000}"/>
    <cellStyle name="Normal 13 2 5 2 3 2 2 2" xfId="10292" xr:uid="{00000000-0005-0000-0000-0000DA090000}"/>
    <cellStyle name="Normal 13 2 5 2 3 2 3" xfId="11967" xr:uid="{00000000-0005-0000-0000-0000DB090000}"/>
    <cellStyle name="Normal 13 2 5 2 3 2 4" xfId="8617" xr:uid="{00000000-0005-0000-0000-0000DC090000}"/>
    <cellStyle name="Normal 13 2 5 2 3 3" xfId="5975" xr:uid="{00000000-0005-0000-0000-0000DD090000}"/>
    <cellStyle name="Normal 13 2 5 2 3 3 2" xfId="9325" xr:uid="{00000000-0005-0000-0000-0000DE090000}"/>
    <cellStyle name="Normal 13 2 5 2 3 4" xfId="11000" xr:uid="{00000000-0005-0000-0000-0000DF090000}"/>
    <cellStyle name="Normal 13 2 5 2 3 5" xfId="7650" xr:uid="{00000000-0005-0000-0000-0000E0090000}"/>
    <cellStyle name="Normal 13 2 5 2 4" xfId="4536" xr:uid="{00000000-0005-0000-0000-0000E1090000}"/>
    <cellStyle name="Normal 13 2 5 2 4 2" xfId="6211" xr:uid="{00000000-0005-0000-0000-0000E2090000}"/>
    <cellStyle name="Normal 13 2 5 2 4 2 2" xfId="9561" xr:uid="{00000000-0005-0000-0000-0000E3090000}"/>
    <cellStyle name="Normal 13 2 5 2 4 3" xfId="11236" xr:uid="{00000000-0005-0000-0000-0000E4090000}"/>
    <cellStyle name="Normal 13 2 5 2 4 4" xfId="7886" xr:uid="{00000000-0005-0000-0000-0000E5090000}"/>
    <cellStyle name="Normal 13 2 5 2 5" xfId="4795" xr:uid="{00000000-0005-0000-0000-0000E6090000}"/>
    <cellStyle name="Normal 13 2 5 2 5 2" xfId="6470" xr:uid="{00000000-0005-0000-0000-0000E7090000}"/>
    <cellStyle name="Normal 13 2 5 2 5 2 2" xfId="9820" xr:uid="{00000000-0005-0000-0000-0000E8090000}"/>
    <cellStyle name="Normal 13 2 5 2 5 3" xfId="11495" xr:uid="{00000000-0005-0000-0000-0000E9090000}"/>
    <cellStyle name="Normal 13 2 5 2 5 4" xfId="8145" xr:uid="{00000000-0005-0000-0000-0000EA090000}"/>
    <cellStyle name="Normal 13 2 5 2 6" xfId="5503" xr:uid="{00000000-0005-0000-0000-0000EB090000}"/>
    <cellStyle name="Normal 13 2 5 2 6 2" xfId="8853" xr:uid="{00000000-0005-0000-0000-0000EC090000}"/>
    <cellStyle name="Normal 13 2 5 2 7" xfId="10528" xr:uid="{00000000-0005-0000-0000-0000ED090000}"/>
    <cellStyle name="Normal 13 2 5 2 8" xfId="7178" xr:uid="{00000000-0005-0000-0000-0000EE090000}"/>
    <cellStyle name="Normal 13 2 5 3" xfId="3946" xr:uid="{00000000-0005-0000-0000-0000EF090000}"/>
    <cellStyle name="Normal 13 2 5 3 2" xfId="4913" xr:uid="{00000000-0005-0000-0000-0000F0090000}"/>
    <cellStyle name="Normal 13 2 5 3 2 2" xfId="6588" xr:uid="{00000000-0005-0000-0000-0000F1090000}"/>
    <cellStyle name="Normal 13 2 5 3 2 2 2" xfId="9938" xr:uid="{00000000-0005-0000-0000-0000F2090000}"/>
    <cellStyle name="Normal 13 2 5 3 2 3" xfId="11613" xr:uid="{00000000-0005-0000-0000-0000F3090000}"/>
    <cellStyle name="Normal 13 2 5 3 2 4" xfId="8263" xr:uid="{00000000-0005-0000-0000-0000F4090000}"/>
    <cellStyle name="Normal 13 2 5 3 3" xfId="5621" xr:uid="{00000000-0005-0000-0000-0000F5090000}"/>
    <cellStyle name="Normal 13 2 5 3 3 2" xfId="8971" xr:uid="{00000000-0005-0000-0000-0000F6090000}"/>
    <cellStyle name="Normal 13 2 5 3 4" xfId="10646" xr:uid="{00000000-0005-0000-0000-0000F7090000}"/>
    <cellStyle name="Normal 13 2 5 3 5" xfId="7296" xr:uid="{00000000-0005-0000-0000-0000F8090000}"/>
    <cellStyle name="Normal 13 2 5 4" xfId="4182" xr:uid="{00000000-0005-0000-0000-0000F9090000}"/>
    <cellStyle name="Normal 13 2 5 4 2" xfId="5149" xr:uid="{00000000-0005-0000-0000-0000FA090000}"/>
    <cellStyle name="Normal 13 2 5 4 2 2" xfId="6824" xr:uid="{00000000-0005-0000-0000-0000FB090000}"/>
    <cellStyle name="Normal 13 2 5 4 2 2 2" xfId="10174" xr:uid="{00000000-0005-0000-0000-0000FC090000}"/>
    <cellStyle name="Normal 13 2 5 4 2 3" xfId="11849" xr:uid="{00000000-0005-0000-0000-0000FD090000}"/>
    <cellStyle name="Normal 13 2 5 4 2 4" xfId="8499" xr:uid="{00000000-0005-0000-0000-0000FE090000}"/>
    <cellStyle name="Normal 13 2 5 4 3" xfId="5857" xr:uid="{00000000-0005-0000-0000-0000FF090000}"/>
    <cellStyle name="Normal 13 2 5 4 3 2" xfId="9207" xr:uid="{00000000-0005-0000-0000-0000000A0000}"/>
    <cellStyle name="Normal 13 2 5 4 4" xfId="10882" xr:uid="{00000000-0005-0000-0000-0000010A0000}"/>
    <cellStyle name="Normal 13 2 5 4 5" xfId="7532" xr:uid="{00000000-0005-0000-0000-0000020A0000}"/>
    <cellStyle name="Normal 13 2 5 5" xfId="4418" xr:uid="{00000000-0005-0000-0000-0000030A0000}"/>
    <cellStyle name="Normal 13 2 5 5 2" xfId="6093" xr:uid="{00000000-0005-0000-0000-0000040A0000}"/>
    <cellStyle name="Normal 13 2 5 5 2 2" xfId="9443" xr:uid="{00000000-0005-0000-0000-0000050A0000}"/>
    <cellStyle name="Normal 13 2 5 5 3" xfId="11118" xr:uid="{00000000-0005-0000-0000-0000060A0000}"/>
    <cellStyle name="Normal 13 2 5 5 4" xfId="7768" xr:uid="{00000000-0005-0000-0000-0000070A0000}"/>
    <cellStyle name="Normal 13 2 5 6" xfId="4677" xr:uid="{00000000-0005-0000-0000-0000080A0000}"/>
    <cellStyle name="Normal 13 2 5 6 2" xfId="6352" xr:uid="{00000000-0005-0000-0000-0000090A0000}"/>
    <cellStyle name="Normal 13 2 5 6 2 2" xfId="9702" xr:uid="{00000000-0005-0000-0000-00000A0A0000}"/>
    <cellStyle name="Normal 13 2 5 6 3" xfId="11377" xr:uid="{00000000-0005-0000-0000-00000B0A0000}"/>
    <cellStyle name="Normal 13 2 5 6 4" xfId="8027" xr:uid="{00000000-0005-0000-0000-00000C0A0000}"/>
    <cellStyle name="Normal 13 2 5 7" xfId="5385" xr:uid="{00000000-0005-0000-0000-00000D0A0000}"/>
    <cellStyle name="Normal 13 2 5 7 2" xfId="8735" xr:uid="{00000000-0005-0000-0000-00000E0A0000}"/>
    <cellStyle name="Normal 13 2 5 8" xfId="10410" xr:uid="{00000000-0005-0000-0000-00000F0A0000}"/>
    <cellStyle name="Normal 13 2 5 9" xfId="7060" xr:uid="{00000000-0005-0000-0000-0000100A0000}"/>
    <cellStyle name="Normal 13 2 6" xfId="3734" xr:uid="{00000000-0005-0000-0000-0000110A0000}"/>
    <cellStyle name="Normal 13 2 6 2" xfId="3970" xr:uid="{00000000-0005-0000-0000-0000120A0000}"/>
    <cellStyle name="Normal 13 2 6 2 2" xfId="4937" xr:uid="{00000000-0005-0000-0000-0000130A0000}"/>
    <cellStyle name="Normal 13 2 6 2 2 2" xfId="6612" xr:uid="{00000000-0005-0000-0000-0000140A0000}"/>
    <cellStyle name="Normal 13 2 6 2 2 2 2" xfId="9962" xr:uid="{00000000-0005-0000-0000-0000150A0000}"/>
    <cellStyle name="Normal 13 2 6 2 2 3" xfId="11637" xr:uid="{00000000-0005-0000-0000-0000160A0000}"/>
    <cellStyle name="Normal 13 2 6 2 2 4" xfId="8287" xr:uid="{00000000-0005-0000-0000-0000170A0000}"/>
    <cellStyle name="Normal 13 2 6 2 3" xfId="5645" xr:uid="{00000000-0005-0000-0000-0000180A0000}"/>
    <cellStyle name="Normal 13 2 6 2 3 2" xfId="8995" xr:uid="{00000000-0005-0000-0000-0000190A0000}"/>
    <cellStyle name="Normal 13 2 6 2 4" xfId="10670" xr:uid="{00000000-0005-0000-0000-00001A0A0000}"/>
    <cellStyle name="Normal 13 2 6 2 5" xfId="7320" xr:uid="{00000000-0005-0000-0000-00001B0A0000}"/>
    <cellStyle name="Normal 13 2 6 3" xfId="4206" xr:uid="{00000000-0005-0000-0000-00001C0A0000}"/>
    <cellStyle name="Normal 13 2 6 3 2" xfId="5173" xr:uid="{00000000-0005-0000-0000-00001D0A0000}"/>
    <cellStyle name="Normal 13 2 6 3 2 2" xfId="6848" xr:uid="{00000000-0005-0000-0000-00001E0A0000}"/>
    <cellStyle name="Normal 13 2 6 3 2 2 2" xfId="10198" xr:uid="{00000000-0005-0000-0000-00001F0A0000}"/>
    <cellStyle name="Normal 13 2 6 3 2 3" xfId="11873" xr:uid="{00000000-0005-0000-0000-0000200A0000}"/>
    <cellStyle name="Normal 13 2 6 3 2 4" xfId="8523" xr:uid="{00000000-0005-0000-0000-0000210A0000}"/>
    <cellStyle name="Normal 13 2 6 3 3" xfId="5881" xr:uid="{00000000-0005-0000-0000-0000220A0000}"/>
    <cellStyle name="Normal 13 2 6 3 3 2" xfId="9231" xr:uid="{00000000-0005-0000-0000-0000230A0000}"/>
    <cellStyle name="Normal 13 2 6 3 4" xfId="10906" xr:uid="{00000000-0005-0000-0000-0000240A0000}"/>
    <cellStyle name="Normal 13 2 6 3 5" xfId="7556" xr:uid="{00000000-0005-0000-0000-0000250A0000}"/>
    <cellStyle name="Normal 13 2 6 4" xfId="4442" xr:uid="{00000000-0005-0000-0000-0000260A0000}"/>
    <cellStyle name="Normal 13 2 6 4 2" xfId="6117" xr:uid="{00000000-0005-0000-0000-0000270A0000}"/>
    <cellStyle name="Normal 13 2 6 4 2 2" xfId="9467" xr:uid="{00000000-0005-0000-0000-0000280A0000}"/>
    <cellStyle name="Normal 13 2 6 4 3" xfId="11142" xr:uid="{00000000-0005-0000-0000-0000290A0000}"/>
    <cellStyle name="Normal 13 2 6 4 4" xfId="7792" xr:uid="{00000000-0005-0000-0000-00002A0A0000}"/>
    <cellStyle name="Normal 13 2 6 5" xfId="4701" xr:uid="{00000000-0005-0000-0000-00002B0A0000}"/>
    <cellStyle name="Normal 13 2 6 5 2" xfId="6376" xr:uid="{00000000-0005-0000-0000-00002C0A0000}"/>
    <cellStyle name="Normal 13 2 6 5 2 2" xfId="9726" xr:uid="{00000000-0005-0000-0000-00002D0A0000}"/>
    <cellStyle name="Normal 13 2 6 5 3" xfId="11401" xr:uid="{00000000-0005-0000-0000-00002E0A0000}"/>
    <cellStyle name="Normal 13 2 6 5 4" xfId="8051" xr:uid="{00000000-0005-0000-0000-00002F0A0000}"/>
    <cellStyle name="Normal 13 2 6 6" xfId="5409" xr:uid="{00000000-0005-0000-0000-0000300A0000}"/>
    <cellStyle name="Normal 13 2 6 6 2" xfId="8759" xr:uid="{00000000-0005-0000-0000-0000310A0000}"/>
    <cellStyle name="Normal 13 2 6 7" xfId="10434" xr:uid="{00000000-0005-0000-0000-0000320A0000}"/>
    <cellStyle name="Normal 13 2 6 8" xfId="7084" xr:uid="{00000000-0005-0000-0000-0000330A0000}"/>
    <cellStyle name="Normal 13 2 7" xfId="3852" xr:uid="{00000000-0005-0000-0000-0000340A0000}"/>
    <cellStyle name="Normal 13 2 7 2" xfId="4819" xr:uid="{00000000-0005-0000-0000-0000350A0000}"/>
    <cellStyle name="Normal 13 2 7 2 2" xfId="6494" xr:uid="{00000000-0005-0000-0000-0000360A0000}"/>
    <cellStyle name="Normal 13 2 7 2 2 2" xfId="9844" xr:uid="{00000000-0005-0000-0000-0000370A0000}"/>
    <cellStyle name="Normal 13 2 7 2 3" xfId="11519" xr:uid="{00000000-0005-0000-0000-0000380A0000}"/>
    <cellStyle name="Normal 13 2 7 2 4" xfId="8169" xr:uid="{00000000-0005-0000-0000-0000390A0000}"/>
    <cellStyle name="Normal 13 2 7 3" xfId="5527" xr:uid="{00000000-0005-0000-0000-00003A0A0000}"/>
    <cellStyle name="Normal 13 2 7 3 2" xfId="8877" xr:uid="{00000000-0005-0000-0000-00003B0A0000}"/>
    <cellStyle name="Normal 13 2 7 4" xfId="10552" xr:uid="{00000000-0005-0000-0000-00003C0A0000}"/>
    <cellStyle name="Normal 13 2 7 5" xfId="7202" xr:uid="{00000000-0005-0000-0000-00003D0A0000}"/>
    <cellStyle name="Normal 13 2 8" xfId="4088" xr:uid="{00000000-0005-0000-0000-00003E0A0000}"/>
    <cellStyle name="Normal 13 2 8 2" xfId="5055" xr:uid="{00000000-0005-0000-0000-00003F0A0000}"/>
    <cellStyle name="Normal 13 2 8 2 2" xfId="6730" xr:uid="{00000000-0005-0000-0000-0000400A0000}"/>
    <cellStyle name="Normal 13 2 8 2 2 2" xfId="10080" xr:uid="{00000000-0005-0000-0000-0000410A0000}"/>
    <cellStyle name="Normal 13 2 8 2 3" xfId="11755" xr:uid="{00000000-0005-0000-0000-0000420A0000}"/>
    <cellStyle name="Normal 13 2 8 2 4" xfId="8405" xr:uid="{00000000-0005-0000-0000-0000430A0000}"/>
    <cellStyle name="Normal 13 2 8 3" xfId="5763" xr:uid="{00000000-0005-0000-0000-0000440A0000}"/>
    <cellStyle name="Normal 13 2 8 3 2" xfId="9113" xr:uid="{00000000-0005-0000-0000-0000450A0000}"/>
    <cellStyle name="Normal 13 2 8 4" xfId="10788" xr:uid="{00000000-0005-0000-0000-0000460A0000}"/>
    <cellStyle name="Normal 13 2 8 5" xfId="7438" xr:uid="{00000000-0005-0000-0000-0000470A0000}"/>
    <cellStyle name="Normal 13 2 9" xfId="4324" xr:uid="{00000000-0005-0000-0000-0000480A0000}"/>
    <cellStyle name="Normal 13 2 9 2" xfId="4583" xr:uid="{00000000-0005-0000-0000-0000490A0000}"/>
    <cellStyle name="Normal 13 2 9 2 2" xfId="6258" xr:uid="{00000000-0005-0000-0000-00004A0A0000}"/>
    <cellStyle name="Normal 13 2 9 2 2 2" xfId="9608" xr:uid="{00000000-0005-0000-0000-00004B0A0000}"/>
    <cellStyle name="Normal 13 2 9 2 3" xfId="11283" xr:uid="{00000000-0005-0000-0000-00004C0A0000}"/>
    <cellStyle name="Normal 13 2 9 2 4" xfId="7933" xr:uid="{00000000-0005-0000-0000-00004D0A0000}"/>
    <cellStyle name="Normal 13 2 9 3" xfId="5999" xr:uid="{00000000-0005-0000-0000-00004E0A0000}"/>
    <cellStyle name="Normal 13 2 9 3 2" xfId="9349" xr:uid="{00000000-0005-0000-0000-00004F0A0000}"/>
    <cellStyle name="Normal 13 2 9 4" xfId="11024" xr:uid="{00000000-0005-0000-0000-0000500A0000}"/>
    <cellStyle name="Normal 13 2 9 5" xfId="7674" xr:uid="{00000000-0005-0000-0000-0000510A0000}"/>
    <cellStyle name="Normal 13 3" xfId="3638" xr:uid="{00000000-0005-0000-0000-0000520A0000}"/>
    <cellStyle name="Normal 13 3 2" xfId="3757" xr:uid="{00000000-0005-0000-0000-0000530A0000}"/>
    <cellStyle name="Normal 13 3 2 2" xfId="3993" xr:uid="{00000000-0005-0000-0000-0000540A0000}"/>
    <cellStyle name="Normal 13 3 2 2 2" xfId="4960" xr:uid="{00000000-0005-0000-0000-0000550A0000}"/>
    <cellStyle name="Normal 13 3 2 2 2 2" xfId="6635" xr:uid="{00000000-0005-0000-0000-0000560A0000}"/>
    <cellStyle name="Normal 13 3 2 2 2 2 2" xfId="9985" xr:uid="{00000000-0005-0000-0000-0000570A0000}"/>
    <cellStyle name="Normal 13 3 2 2 2 3" xfId="11660" xr:uid="{00000000-0005-0000-0000-0000580A0000}"/>
    <cellStyle name="Normal 13 3 2 2 2 4" xfId="8310" xr:uid="{00000000-0005-0000-0000-0000590A0000}"/>
    <cellStyle name="Normal 13 3 2 2 3" xfId="5668" xr:uid="{00000000-0005-0000-0000-00005A0A0000}"/>
    <cellStyle name="Normal 13 3 2 2 3 2" xfId="9018" xr:uid="{00000000-0005-0000-0000-00005B0A0000}"/>
    <cellStyle name="Normal 13 3 2 2 4" xfId="10693" xr:uid="{00000000-0005-0000-0000-00005C0A0000}"/>
    <cellStyle name="Normal 13 3 2 2 5" xfId="7343" xr:uid="{00000000-0005-0000-0000-00005D0A0000}"/>
    <cellStyle name="Normal 13 3 2 3" xfId="4229" xr:uid="{00000000-0005-0000-0000-00005E0A0000}"/>
    <cellStyle name="Normal 13 3 2 3 2" xfId="5196" xr:uid="{00000000-0005-0000-0000-00005F0A0000}"/>
    <cellStyle name="Normal 13 3 2 3 2 2" xfId="6871" xr:uid="{00000000-0005-0000-0000-0000600A0000}"/>
    <cellStyle name="Normal 13 3 2 3 2 2 2" xfId="10221" xr:uid="{00000000-0005-0000-0000-0000610A0000}"/>
    <cellStyle name="Normal 13 3 2 3 2 3" xfId="11896" xr:uid="{00000000-0005-0000-0000-0000620A0000}"/>
    <cellStyle name="Normal 13 3 2 3 2 4" xfId="8546" xr:uid="{00000000-0005-0000-0000-0000630A0000}"/>
    <cellStyle name="Normal 13 3 2 3 3" xfId="5904" xr:uid="{00000000-0005-0000-0000-0000640A0000}"/>
    <cellStyle name="Normal 13 3 2 3 3 2" xfId="9254" xr:uid="{00000000-0005-0000-0000-0000650A0000}"/>
    <cellStyle name="Normal 13 3 2 3 4" xfId="10929" xr:uid="{00000000-0005-0000-0000-0000660A0000}"/>
    <cellStyle name="Normal 13 3 2 3 5" xfId="7579" xr:uid="{00000000-0005-0000-0000-0000670A0000}"/>
    <cellStyle name="Normal 13 3 2 4" xfId="4465" xr:uid="{00000000-0005-0000-0000-0000680A0000}"/>
    <cellStyle name="Normal 13 3 2 4 2" xfId="6140" xr:uid="{00000000-0005-0000-0000-0000690A0000}"/>
    <cellStyle name="Normal 13 3 2 4 2 2" xfId="9490" xr:uid="{00000000-0005-0000-0000-00006A0A0000}"/>
    <cellStyle name="Normal 13 3 2 4 3" xfId="11165" xr:uid="{00000000-0005-0000-0000-00006B0A0000}"/>
    <cellStyle name="Normal 13 3 2 4 4" xfId="7815" xr:uid="{00000000-0005-0000-0000-00006C0A0000}"/>
    <cellStyle name="Normal 13 3 2 5" xfId="4724" xr:uid="{00000000-0005-0000-0000-00006D0A0000}"/>
    <cellStyle name="Normal 13 3 2 5 2" xfId="6399" xr:uid="{00000000-0005-0000-0000-00006E0A0000}"/>
    <cellStyle name="Normal 13 3 2 5 2 2" xfId="9749" xr:uid="{00000000-0005-0000-0000-00006F0A0000}"/>
    <cellStyle name="Normal 13 3 2 5 3" xfId="11424" xr:uid="{00000000-0005-0000-0000-0000700A0000}"/>
    <cellStyle name="Normal 13 3 2 5 4" xfId="8074" xr:uid="{00000000-0005-0000-0000-0000710A0000}"/>
    <cellStyle name="Normal 13 3 2 6" xfId="5432" xr:uid="{00000000-0005-0000-0000-0000720A0000}"/>
    <cellStyle name="Normal 13 3 2 6 2" xfId="8782" xr:uid="{00000000-0005-0000-0000-0000730A0000}"/>
    <cellStyle name="Normal 13 3 2 7" xfId="10457" xr:uid="{00000000-0005-0000-0000-0000740A0000}"/>
    <cellStyle name="Normal 13 3 2 8" xfId="7107" xr:uid="{00000000-0005-0000-0000-0000750A0000}"/>
    <cellStyle name="Normal 13 3 3" xfId="3874" xr:uid="{00000000-0005-0000-0000-0000760A0000}"/>
    <cellStyle name="Normal 13 3 3 2" xfId="4841" xr:uid="{00000000-0005-0000-0000-0000770A0000}"/>
    <cellStyle name="Normal 13 3 3 2 2" xfId="6516" xr:uid="{00000000-0005-0000-0000-0000780A0000}"/>
    <cellStyle name="Normal 13 3 3 2 2 2" xfId="9866" xr:uid="{00000000-0005-0000-0000-0000790A0000}"/>
    <cellStyle name="Normal 13 3 3 2 3" xfId="11541" xr:uid="{00000000-0005-0000-0000-00007A0A0000}"/>
    <cellStyle name="Normal 13 3 3 2 4" xfId="8191" xr:uid="{00000000-0005-0000-0000-00007B0A0000}"/>
    <cellStyle name="Normal 13 3 3 3" xfId="5549" xr:uid="{00000000-0005-0000-0000-00007C0A0000}"/>
    <cellStyle name="Normal 13 3 3 3 2" xfId="8899" xr:uid="{00000000-0005-0000-0000-00007D0A0000}"/>
    <cellStyle name="Normal 13 3 3 4" xfId="10574" xr:uid="{00000000-0005-0000-0000-00007E0A0000}"/>
    <cellStyle name="Normal 13 3 3 5" xfId="7224" xr:uid="{00000000-0005-0000-0000-00007F0A0000}"/>
    <cellStyle name="Normal 13 3 4" xfId="4110" xr:uid="{00000000-0005-0000-0000-0000800A0000}"/>
    <cellStyle name="Normal 13 3 4 2" xfId="5077" xr:uid="{00000000-0005-0000-0000-0000810A0000}"/>
    <cellStyle name="Normal 13 3 4 2 2" xfId="6752" xr:uid="{00000000-0005-0000-0000-0000820A0000}"/>
    <cellStyle name="Normal 13 3 4 2 2 2" xfId="10102" xr:uid="{00000000-0005-0000-0000-0000830A0000}"/>
    <cellStyle name="Normal 13 3 4 2 3" xfId="11777" xr:uid="{00000000-0005-0000-0000-0000840A0000}"/>
    <cellStyle name="Normal 13 3 4 2 4" xfId="8427" xr:uid="{00000000-0005-0000-0000-0000850A0000}"/>
    <cellStyle name="Normal 13 3 4 3" xfId="5785" xr:uid="{00000000-0005-0000-0000-0000860A0000}"/>
    <cellStyle name="Normal 13 3 4 3 2" xfId="9135" xr:uid="{00000000-0005-0000-0000-0000870A0000}"/>
    <cellStyle name="Normal 13 3 4 4" xfId="10810" xr:uid="{00000000-0005-0000-0000-0000880A0000}"/>
    <cellStyle name="Normal 13 3 4 5" xfId="7460" xr:uid="{00000000-0005-0000-0000-0000890A0000}"/>
    <cellStyle name="Normal 13 3 5" xfId="4346" xr:uid="{00000000-0005-0000-0000-00008A0A0000}"/>
    <cellStyle name="Normal 13 3 5 2" xfId="6021" xr:uid="{00000000-0005-0000-0000-00008B0A0000}"/>
    <cellStyle name="Normal 13 3 5 2 2" xfId="9371" xr:uid="{00000000-0005-0000-0000-00008C0A0000}"/>
    <cellStyle name="Normal 13 3 5 3" xfId="11046" xr:uid="{00000000-0005-0000-0000-00008D0A0000}"/>
    <cellStyle name="Normal 13 3 5 4" xfId="7696" xr:uid="{00000000-0005-0000-0000-00008E0A0000}"/>
    <cellStyle name="Normal 13 3 6" xfId="4605" xr:uid="{00000000-0005-0000-0000-00008F0A0000}"/>
    <cellStyle name="Normal 13 3 6 2" xfId="6280" xr:uid="{00000000-0005-0000-0000-0000900A0000}"/>
    <cellStyle name="Normal 13 3 6 2 2" xfId="9630" xr:uid="{00000000-0005-0000-0000-0000910A0000}"/>
    <cellStyle name="Normal 13 3 6 3" xfId="11305" xr:uid="{00000000-0005-0000-0000-0000920A0000}"/>
    <cellStyle name="Normal 13 3 6 4" xfId="7955" xr:uid="{00000000-0005-0000-0000-0000930A0000}"/>
    <cellStyle name="Normal 13 3 7" xfId="5313" xr:uid="{00000000-0005-0000-0000-0000940A0000}"/>
    <cellStyle name="Normal 13 3 7 2" xfId="8663" xr:uid="{00000000-0005-0000-0000-0000950A0000}"/>
    <cellStyle name="Normal 13 3 8" xfId="10338" xr:uid="{00000000-0005-0000-0000-0000960A0000}"/>
    <cellStyle name="Normal 13 3 9" xfId="6988" xr:uid="{00000000-0005-0000-0000-0000970A0000}"/>
    <cellStyle name="Normal 13 4" xfId="3661" xr:uid="{00000000-0005-0000-0000-0000980A0000}"/>
    <cellStyle name="Normal 13 4 2" xfId="3779" xr:uid="{00000000-0005-0000-0000-0000990A0000}"/>
    <cellStyle name="Normal 13 4 2 2" xfId="4015" xr:uid="{00000000-0005-0000-0000-00009A0A0000}"/>
    <cellStyle name="Normal 13 4 2 2 2" xfId="4982" xr:uid="{00000000-0005-0000-0000-00009B0A0000}"/>
    <cellStyle name="Normal 13 4 2 2 2 2" xfId="6657" xr:uid="{00000000-0005-0000-0000-00009C0A0000}"/>
    <cellStyle name="Normal 13 4 2 2 2 2 2" xfId="10007" xr:uid="{00000000-0005-0000-0000-00009D0A0000}"/>
    <cellStyle name="Normal 13 4 2 2 2 3" xfId="11682" xr:uid="{00000000-0005-0000-0000-00009E0A0000}"/>
    <cellStyle name="Normal 13 4 2 2 2 4" xfId="8332" xr:uid="{00000000-0005-0000-0000-00009F0A0000}"/>
    <cellStyle name="Normal 13 4 2 2 3" xfId="5690" xr:uid="{00000000-0005-0000-0000-0000A00A0000}"/>
    <cellStyle name="Normal 13 4 2 2 3 2" xfId="9040" xr:uid="{00000000-0005-0000-0000-0000A10A0000}"/>
    <cellStyle name="Normal 13 4 2 2 4" xfId="10715" xr:uid="{00000000-0005-0000-0000-0000A20A0000}"/>
    <cellStyle name="Normal 13 4 2 2 5" xfId="7365" xr:uid="{00000000-0005-0000-0000-0000A30A0000}"/>
    <cellStyle name="Normal 13 4 2 3" xfId="4251" xr:uid="{00000000-0005-0000-0000-0000A40A0000}"/>
    <cellStyle name="Normal 13 4 2 3 2" xfId="5218" xr:uid="{00000000-0005-0000-0000-0000A50A0000}"/>
    <cellStyle name="Normal 13 4 2 3 2 2" xfId="6893" xr:uid="{00000000-0005-0000-0000-0000A60A0000}"/>
    <cellStyle name="Normal 13 4 2 3 2 2 2" xfId="10243" xr:uid="{00000000-0005-0000-0000-0000A70A0000}"/>
    <cellStyle name="Normal 13 4 2 3 2 3" xfId="11918" xr:uid="{00000000-0005-0000-0000-0000A80A0000}"/>
    <cellStyle name="Normal 13 4 2 3 2 4" xfId="8568" xr:uid="{00000000-0005-0000-0000-0000A90A0000}"/>
    <cellStyle name="Normal 13 4 2 3 3" xfId="5926" xr:uid="{00000000-0005-0000-0000-0000AA0A0000}"/>
    <cellStyle name="Normal 13 4 2 3 3 2" xfId="9276" xr:uid="{00000000-0005-0000-0000-0000AB0A0000}"/>
    <cellStyle name="Normal 13 4 2 3 4" xfId="10951" xr:uid="{00000000-0005-0000-0000-0000AC0A0000}"/>
    <cellStyle name="Normal 13 4 2 3 5" xfId="7601" xr:uid="{00000000-0005-0000-0000-0000AD0A0000}"/>
    <cellStyle name="Normal 13 4 2 4" xfId="4487" xr:uid="{00000000-0005-0000-0000-0000AE0A0000}"/>
    <cellStyle name="Normal 13 4 2 4 2" xfId="6162" xr:uid="{00000000-0005-0000-0000-0000AF0A0000}"/>
    <cellStyle name="Normal 13 4 2 4 2 2" xfId="9512" xr:uid="{00000000-0005-0000-0000-0000B00A0000}"/>
    <cellStyle name="Normal 13 4 2 4 3" xfId="11187" xr:uid="{00000000-0005-0000-0000-0000B10A0000}"/>
    <cellStyle name="Normal 13 4 2 4 4" xfId="7837" xr:uid="{00000000-0005-0000-0000-0000B20A0000}"/>
    <cellStyle name="Normal 13 4 2 5" xfId="4746" xr:uid="{00000000-0005-0000-0000-0000B30A0000}"/>
    <cellStyle name="Normal 13 4 2 5 2" xfId="6421" xr:uid="{00000000-0005-0000-0000-0000B40A0000}"/>
    <cellStyle name="Normal 13 4 2 5 2 2" xfId="9771" xr:uid="{00000000-0005-0000-0000-0000B50A0000}"/>
    <cellStyle name="Normal 13 4 2 5 3" xfId="11446" xr:uid="{00000000-0005-0000-0000-0000B60A0000}"/>
    <cellStyle name="Normal 13 4 2 5 4" xfId="8096" xr:uid="{00000000-0005-0000-0000-0000B70A0000}"/>
    <cellStyle name="Normal 13 4 2 6" xfId="5454" xr:uid="{00000000-0005-0000-0000-0000B80A0000}"/>
    <cellStyle name="Normal 13 4 2 6 2" xfId="8804" xr:uid="{00000000-0005-0000-0000-0000B90A0000}"/>
    <cellStyle name="Normal 13 4 2 7" xfId="10479" xr:uid="{00000000-0005-0000-0000-0000BA0A0000}"/>
    <cellStyle name="Normal 13 4 2 8" xfId="7129" xr:uid="{00000000-0005-0000-0000-0000BB0A0000}"/>
    <cellStyle name="Normal 13 4 3" xfId="3897" xr:uid="{00000000-0005-0000-0000-0000BC0A0000}"/>
    <cellStyle name="Normal 13 4 3 2" xfId="4864" xr:uid="{00000000-0005-0000-0000-0000BD0A0000}"/>
    <cellStyle name="Normal 13 4 3 2 2" xfId="6539" xr:uid="{00000000-0005-0000-0000-0000BE0A0000}"/>
    <cellStyle name="Normal 13 4 3 2 2 2" xfId="9889" xr:uid="{00000000-0005-0000-0000-0000BF0A0000}"/>
    <cellStyle name="Normal 13 4 3 2 3" xfId="11564" xr:uid="{00000000-0005-0000-0000-0000C00A0000}"/>
    <cellStyle name="Normal 13 4 3 2 4" xfId="8214" xr:uid="{00000000-0005-0000-0000-0000C10A0000}"/>
    <cellStyle name="Normal 13 4 3 3" xfId="5572" xr:uid="{00000000-0005-0000-0000-0000C20A0000}"/>
    <cellStyle name="Normal 13 4 3 3 2" xfId="8922" xr:uid="{00000000-0005-0000-0000-0000C30A0000}"/>
    <cellStyle name="Normal 13 4 3 4" xfId="10597" xr:uid="{00000000-0005-0000-0000-0000C40A0000}"/>
    <cellStyle name="Normal 13 4 3 5" xfId="7247" xr:uid="{00000000-0005-0000-0000-0000C50A0000}"/>
    <cellStyle name="Normal 13 4 4" xfId="4133" xr:uid="{00000000-0005-0000-0000-0000C60A0000}"/>
    <cellStyle name="Normal 13 4 4 2" xfId="5100" xr:uid="{00000000-0005-0000-0000-0000C70A0000}"/>
    <cellStyle name="Normal 13 4 4 2 2" xfId="6775" xr:uid="{00000000-0005-0000-0000-0000C80A0000}"/>
    <cellStyle name="Normal 13 4 4 2 2 2" xfId="10125" xr:uid="{00000000-0005-0000-0000-0000C90A0000}"/>
    <cellStyle name="Normal 13 4 4 2 3" xfId="11800" xr:uid="{00000000-0005-0000-0000-0000CA0A0000}"/>
    <cellStyle name="Normal 13 4 4 2 4" xfId="8450" xr:uid="{00000000-0005-0000-0000-0000CB0A0000}"/>
    <cellStyle name="Normal 13 4 4 3" xfId="5808" xr:uid="{00000000-0005-0000-0000-0000CC0A0000}"/>
    <cellStyle name="Normal 13 4 4 3 2" xfId="9158" xr:uid="{00000000-0005-0000-0000-0000CD0A0000}"/>
    <cellStyle name="Normal 13 4 4 4" xfId="10833" xr:uid="{00000000-0005-0000-0000-0000CE0A0000}"/>
    <cellStyle name="Normal 13 4 4 5" xfId="7483" xr:uid="{00000000-0005-0000-0000-0000CF0A0000}"/>
    <cellStyle name="Normal 13 4 5" xfId="4369" xr:uid="{00000000-0005-0000-0000-0000D00A0000}"/>
    <cellStyle name="Normal 13 4 5 2" xfId="6044" xr:uid="{00000000-0005-0000-0000-0000D10A0000}"/>
    <cellStyle name="Normal 13 4 5 2 2" xfId="9394" xr:uid="{00000000-0005-0000-0000-0000D20A0000}"/>
    <cellStyle name="Normal 13 4 5 3" xfId="11069" xr:uid="{00000000-0005-0000-0000-0000D30A0000}"/>
    <cellStyle name="Normal 13 4 5 4" xfId="7719" xr:uid="{00000000-0005-0000-0000-0000D40A0000}"/>
    <cellStyle name="Normal 13 4 6" xfId="4628" xr:uid="{00000000-0005-0000-0000-0000D50A0000}"/>
    <cellStyle name="Normal 13 4 6 2" xfId="6303" xr:uid="{00000000-0005-0000-0000-0000D60A0000}"/>
    <cellStyle name="Normal 13 4 6 2 2" xfId="9653" xr:uid="{00000000-0005-0000-0000-0000D70A0000}"/>
    <cellStyle name="Normal 13 4 6 3" xfId="11328" xr:uid="{00000000-0005-0000-0000-0000D80A0000}"/>
    <cellStyle name="Normal 13 4 6 4" xfId="7978" xr:uid="{00000000-0005-0000-0000-0000D90A0000}"/>
    <cellStyle name="Normal 13 4 7" xfId="5336" xr:uid="{00000000-0005-0000-0000-0000DA0A0000}"/>
    <cellStyle name="Normal 13 4 7 2" xfId="8686" xr:uid="{00000000-0005-0000-0000-0000DB0A0000}"/>
    <cellStyle name="Normal 13 4 8" xfId="10361" xr:uid="{00000000-0005-0000-0000-0000DC0A0000}"/>
    <cellStyle name="Normal 13 4 9" xfId="7011" xr:uid="{00000000-0005-0000-0000-0000DD0A0000}"/>
    <cellStyle name="Normal 13 5" xfId="3685" xr:uid="{00000000-0005-0000-0000-0000DE0A0000}"/>
    <cellStyle name="Normal 13 5 2" xfId="3803" xr:uid="{00000000-0005-0000-0000-0000DF0A0000}"/>
    <cellStyle name="Normal 13 5 2 2" xfId="4039" xr:uid="{00000000-0005-0000-0000-0000E00A0000}"/>
    <cellStyle name="Normal 13 5 2 2 2" xfId="5006" xr:uid="{00000000-0005-0000-0000-0000E10A0000}"/>
    <cellStyle name="Normal 13 5 2 2 2 2" xfId="6681" xr:uid="{00000000-0005-0000-0000-0000E20A0000}"/>
    <cellStyle name="Normal 13 5 2 2 2 2 2" xfId="10031" xr:uid="{00000000-0005-0000-0000-0000E30A0000}"/>
    <cellStyle name="Normal 13 5 2 2 2 3" xfId="11706" xr:uid="{00000000-0005-0000-0000-0000E40A0000}"/>
    <cellStyle name="Normal 13 5 2 2 2 4" xfId="8356" xr:uid="{00000000-0005-0000-0000-0000E50A0000}"/>
    <cellStyle name="Normal 13 5 2 2 3" xfId="5714" xr:uid="{00000000-0005-0000-0000-0000E60A0000}"/>
    <cellStyle name="Normal 13 5 2 2 3 2" xfId="9064" xr:uid="{00000000-0005-0000-0000-0000E70A0000}"/>
    <cellStyle name="Normal 13 5 2 2 4" xfId="10739" xr:uid="{00000000-0005-0000-0000-0000E80A0000}"/>
    <cellStyle name="Normal 13 5 2 2 5" xfId="7389" xr:uid="{00000000-0005-0000-0000-0000E90A0000}"/>
    <cellStyle name="Normal 13 5 2 3" xfId="4275" xr:uid="{00000000-0005-0000-0000-0000EA0A0000}"/>
    <cellStyle name="Normal 13 5 2 3 2" xfId="5242" xr:uid="{00000000-0005-0000-0000-0000EB0A0000}"/>
    <cellStyle name="Normal 13 5 2 3 2 2" xfId="6917" xr:uid="{00000000-0005-0000-0000-0000EC0A0000}"/>
    <cellStyle name="Normal 13 5 2 3 2 2 2" xfId="10267" xr:uid="{00000000-0005-0000-0000-0000ED0A0000}"/>
    <cellStyle name="Normal 13 5 2 3 2 3" xfId="11942" xr:uid="{00000000-0005-0000-0000-0000EE0A0000}"/>
    <cellStyle name="Normal 13 5 2 3 2 4" xfId="8592" xr:uid="{00000000-0005-0000-0000-0000EF0A0000}"/>
    <cellStyle name="Normal 13 5 2 3 3" xfId="5950" xr:uid="{00000000-0005-0000-0000-0000F00A0000}"/>
    <cellStyle name="Normal 13 5 2 3 3 2" xfId="9300" xr:uid="{00000000-0005-0000-0000-0000F10A0000}"/>
    <cellStyle name="Normal 13 5 2 3 4" xfId="10975" xr:uid="{00000000-0005-0000-0000-0000F20A0000}"/>
    <cellStyle name="Normal 13 5 2 3 5" xfId="7625" xr:uid="{00000000-0005-0000-0000-0000F30A0000}"/>
    <cellStyle name="Normal 13 5 2 4" xfId="4511" xr:uid="{00000000-0005-0000-0000-0000F40A0000}"/>
    <cellStyle name="Normal 13 5 2 4 2" xfId="6186" xr:uid="{00000000-0005-0000-0000-0000F50A0000}"/>
    <cellStyle name="Normal 13 5 2 4 2 2" xfId="9536" xr:uid="{00000000-0005-0000-0000-0000F60A0000}"/>
    <cellStyle name="Normal 13 5 2 4 3" xfId="11211" xr:uid="{00000000-0005-0000-0000-0000F70A0000}"/>
    <cellStyle name="Normal 13 5 2 4 4" xfId="7861" xr:uid="{00000000-0005-0000-0000-0000F80A0000}"/>
    <cellStyle name="Normal 13 5 2 5" xfId="4770" xr:uid="{00000000-0005-0000-0000-0000F90A0000}"/>
    <cellStyle name="Normal 13 5 2 5 2" xfId="6445" xr:uid="{00000000-0005-0000-0000-0000FA0A0000}"/>
    <cellStyle name="Normal 13 5 2 5 2 2" xfId="9795" xr:uid="{00000000-0005-0000-0000-0000FB0A0000}"/>
    <cellStyle name="Normal 13 5 2 5 3" xfId="11470" xr:uid="{00000000-0005-0000-0000-0000FC0A0000}"/>
    <cellStyle name="Normal 13 5 2 5 4" xfId="8120" xr:uid="{00000000-0005-0000-0000-0000FD0A0000}"/>
    <cellStyle name="Normal 13 5 2 6" xfId="5478" xr:uid="{00000000-0005-0000-0000-0000FE0A0000}"/>
    <cellStyle name="Normal 13 5 2 6 2" xfId="8828" xr:uid="{00000000-0005-0000-0000-0000FF0A0000}"/>
    <cellStyle name="Normal 13 5 2 7" xfId="10503" xr:uid="{00000000-0005-0000-0000-0000000B0000}"/>
    <cellStyle name="Normal 13 5 2 8" xfId="7153" xr:uid="{00000000-0005-0000-0000-0000010B0000}"/>
    <cellStyle name="Normal 13 5 3" xfId="3921" xr:uid="{00000000-0005-0000-0000-0000020B0000}"/>
    <cellStyle name="Normal 13 5 3 2" xfId="4888" xr:uid="{00000000-0005-0000-0000-0000030B0000}"/>
    <cellStyle name="Normal 13 5 3 2 2" xfId="6563" xr:uid="{00000000-0005-0000-0000-0000040B0000}"/>
    <cellStyle name="Normal 13 5 3 2 2 2" xfId="9913" xr:uid="{00000000-0005-0000-0000-0000050B0000}"/>
    <cellStyle name="Normal 13 5 3 2 3" xfId="11588" xr:uid="{00000000-0005-0000-0000-0000060B0000}"/>
    <cellStyle name="Normal 13 5 3 2 4" xfId="8238" xr:uid="{00000000-0005-0000-0000-0000070B0000}"/>
    <cellStyle name="Normal 13 5 3 3" xfId="5596" xr:uid="{00000000-0005-0000-0000-0000080B0000}"/>
    <cellStyle name="Normal 13 5 3 3 2" xfId="8946" xr:uid="{00000000-0005-0000-0000-0000090B0000}"/>
    <cellStyle name="Normal 13 5 3 4" xfId="10621" xr:uid="{00000000-0005-0000-0000-00000A0B0000}"/>
    <cellStyle name="Normal 13 5 3 5" xfId="7271" xr:uid="{00000000-0005-0000-0000-00000B0B0000}"/>
    <cellStyle name="Normal 13 5 4" xfId="4157" xr:uid="{00000000-0005-0000-0000-00000C0B0000}"/>
    <cellStyle name="Normal 13 5 4 2" xfId="5124" xr:uid="{00000000-0005-0000-0000-00000D0B0000}"/>
    <cellStyle name="Normal 13 5 4 2 2" xfId="6799" xr:uid="{00000000-0005-0000-0000-00000E0B0000}"/>
    <cellStyle name="Normal 13 5 4 2 2 2" xfId="10149" xr:uid="{00000000-0005-0000-0000-00000F0B0000}"/>
    <cellStyle name="Normal 13 5 4 2 3" xfId="11824" xr:uid="{00000000-0005-0000-0000-0000100B0000}"/>
    <cellStyle name="Normal 13 5 4 2 4" xfId="8474" xr:uid="{00000000-0005-0000-0000-0000110B0000}"/>
    <cellStyle name="Normal 13 5 4 3" xfId="5832" xr:uid="{00000000-0005-0000-0000-0000120B0000}"/>
    <cellStyle name="Normal 13 5 4 3 2" xfId="9182" xr:uid="{00000000-0005-0000-0000-0000130B0000}"/>
    <cellStyle name="Normal 13 5 4 4" xfId="10857" xr:uid="{00000000-0005-0000-0000-0000140B0000}"/>
    <cellStyle name="Normal 13 5 4 5" xfId="7507" xr:uid="{00000000-0005-0000-0000-0000150B0000}"/>
    <cellStyle name="Normal 13 5 5" xfId="4393" xr:uid="{00000000-0005-0000-0000-0000160B0000}"/>
    <cellStyle name="Normal 13 5 5 2" xfId="6068" xr:uid="{00000000-0005-0000-0000-0000170B0000}"/>
    <cellStyle name="Normal 13 5 5 2 2" xfId="9418" xr:uid="{00000000-0005-0000-0000-0000180B0000}"/>
    <cellStyle name="Normal 13 5 5 3" xfId="11093" xr:uid="{00000000-0005-0000-0000-0000190B0000}"/>
    <cellStyle name="Normal 13 5 5 4" xfId="7743" xr:uid="{00000000-0005-0000-0000-00001A0B0000}"/>
    <cellStyle name="Normal 13 5 6" xfId="4652" xr:uid="{00000000-0005-0000-0000-00001B0B0000}"/>
    <cellStyle name="Normal 13 5 6 2" xfId="6327" xr:uid="{00000000-0005-0000-0000-00001C0B0000}"/>
    <cellStyle name="Normal 13 5 6 2 2" xfId="9677" xr:uid="{00000000-0005-0000-0000-00001D0B0000}"/>
    <cellStyle name="Normal 13 5 6 3" xfId="11352" xr:uid="{00000000-0005-0000-0000-00001E0B0000}"/>
    <cellStyle name="Normal 13 5 6 4" xfId="8002" xr:uid="{00000000-0005-0000-0000-00001F0B0000}"/>
    <cellStyle name="Normal 13 5 7" xfId="5360" xr:uid="{00000000-0005-0000-0000-0000200B0000}"/>
    <cellStyle name="Normal 13 5 7 2" xfId="8710" xr:uid="{00000000-0005-0000-0000-0000210B0000}"/>
    <cellStyle name="Normal 13 5 8" xfId="10385" xr:uid="{00000000-0005-0000-0000-0000220B0000}"/>
    <cellStyle name="Normal 13 5 9" xfId="7035" xr:uid="{00000000-0005-0000-0000-0000230B0000}"/>
    <cellStyle name="Normal 13 6" xfId="3709" xr:uid="{00000000-0005-0000-0000-0000240B0000}"/>
    <cellStyle name="Normal 13 6 2" xfId="3827" xr:uid="{00000000-0005-0000-0000-0000250B0000}"/>
    <cellStyle name="Normal 13 6 2 2" xfId="4063" xr:uid="{00000000-0005-0000-0000-0000260B0000}"/>
    <cellStyle name="Normal 13 6 2 2 2" xfId="5030" xr:uid="{00000000-0005-0000-0000-0000270B0000}"/>
    <cellStyle name="Normal 13 6 2 2 2 2" xfId="6705" xr:uid="{00000000-0005-0000-0000-0000280B0000}"/>
    <cellStyle name="Normal 13 6 2 2 2 2 2" xfId="10055" xr:uid="{00000000-0005-0000-0000-0000290B0000}"/>
    <cellStyle name="Normal 13 6 2 2 2 3" xfId="11730" xr:uid="{00000000-0005-0000-0000-00002A0B0000}"/>
    <cellStyle name="Normal 13 6 2 2 2 4" xfId="8380" xr:uid="{00000000-0005-0000-0000-00002B0B0000}"/>
    <cellStyle name="Normal 13 6 2 2 3" xfId="5738" xr:uid="{00000000-0005-0000-0000-00002C0B0000}"/>
    <cellStyle name="Normal 13 6 2 2 3 2" xfId="9088" xr:uid="{00000000-0005-0000-0000-00002D0B0000}"/>
    <cellStyle name="Normal 13 6 2 2 4" xfId="10763" xr:uid="{00000000-0005-0000-0000-00002E0B0000}"/>
    <cellStyle name="Normal 13 6 2 2 5" xfId="7413" xr:uid="{00000000-0005-0000-0000-00002F0B0000}"/>
    <cellStyle name="Normal 13 6 2 3" xfId="4299" xr:uid="{00000000-0005-0000-0000-0000300B0000}"/>
    <cellStyle name="Normal 13 6 2 3 2" xfId="5266" xr:uid="{00000000-0005-0000-0000-0000310B0000}"/>
    <cellStyle name="Normal 13 6 2 3 2 2" xfId="6941" xr:uid="{00000000-0005-0000-0000-0000320B0000}"/>
    <cellStyle name="Normal 13 6 2 3 2 2 2" xfId="10291" xr:uid="{00000000-0005-0000-0000-0000330B0000}"/>
    <cellStyle name="Normal 13 6 2 3 2 3" xfId="11966" xr:uid="{00000000-0005-0000-0000-0000340B0000}"/>
    <cellStyle name="Normal 13 6 2 3 2 4" xfId="8616" xr:uid="{00000000-0005-0000-0000-0000350B0000}"/>
    <cellStyle name="Normal 13 6 2 3 3" xfId="5974" xr:uid="{00000000-0005-0000-0000-0000360B0000}"/>
    <cellStyle name="Normal 13 6 2 3 3 2" xfId="9324" xr:uid="{00000000-0005-0000-0000-0000370B0000}"/>
    <cellStyle name="Normal 13 6 2 3 4" xfId="10999" xr:uid="{00000000-0005-0000-0000-0000380B0000}"/>
    <cellStyle name="Normal 13 6 2 3 5" xfId="7649" xr:uid="{00000000-0005-0000-0000-0000390B0000}"/>
    <cellStyle name="Normal 13 6 2 4" xfId="4535" xr:uid="{00000000-0005-0000-0000-00003A0B0000}"/>
    <cellStyle name="Normal 13 6 2 4 2" xfId="6210" xr:uid="{00000000-0005-0000-0000-00003B0B0000}"/>
    <cellStyle name="Normal 13 6 2 4 2 2" xfId="9560" xr:uid="{00000000-0005-0000-0000-00003C0B0000}"/>
    <cellStyle name="Normal 13 6 2 4 3" xfId="11235" xr:uid="{00000000-0005-0000-0000-00003D0B0000}"/>
    <cellStyle name="Normal 13 6 2 4 4" xfId="7885" xr:uid="{00000000-0005-0000-0000-00003E0B0000}"/>
    <cellStyle name="Normal 13 6 2 5" xfId="4794" xr:uid="{00000000-0005-0000-0000-00003F0B0000}"/>
    <cellStyle name="Normal 13 6 2 5 2" xfId="6469" xr:uid="{00000000-0005-0000-0000-0000400B0000}"/>
    <cellStyle name="Normal 13 6 2 5 2 2" xfId="9819" xr:uid="{00000000-0005-0000-0000-0000410B0000}"/>
    <cellStyle name="Normal 13 6 2 5 3" xfId="11494" xr:uid="{00000000-0005-0000-0000-0000420B0000}"/>
    <cellStyle name="Normal 13 6 2 5 4" xfId="8144" xr:uid="{00000000-0005-0000-0000-0000430B0000}"/>
    <cellStyle name="Normal 13 6 2 6" xfId="5502" xr:uid="{00000000-0005-0000-0000-0000440B0000}"/>
    <cellStyle name="Normal 13 6 2 6 2" xfId="8852" xr:uid="{00000000-0005-0000-0000-0000450B0000}"/>
    <cellStyle name="Normal 13 6 2 7" xfId="10527" xr:uid="{00000000-0005-0000-0000-0000460B0000}"/>
    <cellStyle name="Normal 13 6 2 8" xfId="7177" xr:uid="{00000000-0005-0000-0000-0000470B0000}"/>
    <cellStyle name="Normal 13 6 3" xfId="3945" xr:uid="{00000000-0005-0000-0000-0000480B0000}"/>
    <cellStyle name="Normal 13 6 3 2" xfId="4912" xr:uid="{00000000-0005-0000-0000-0000490B0000}"/>
    <cellStyle name="Normal 13 6 3 2 2" xfId="6587" xr:uid="{00000000-0005-0000-0000-00004A0B0000}"/>
    <cellStyle name="Normal 13 6 3 2 2 2" xfId="9937" xr:uid="{00000000-0005-0000-0000-00004B0B0000}"/>
    <cellStyle name="Normal 13 6 3 2 3" xfId="11612" xr:uid="{00000000-0005-0000-0000-00004C0B0000}"/>
    <cellStyle name="Normal 13 6 3 2 4" xfId="8262" xr:uid="{00000000-0005-0000-0000-00004D0B0000}"/>
    <cellStyle name="Normal 13 6 3 3" xfId="5620" xr:uid="{00000000-0005-0000-0000-00004E0B0000}"/>
    <cellStyle name="Normal 13 6 3 3 2" xfId="8970" xr:uid="{00000000-0005-0000-0000-00004F0B0000}"/>
    <cellStyle name="Normal 13 6 3 4" xfId="10645" xr:uid="{00000000-0005-0000-0000-0000500B0000}"/>
    <cellStyle name="Normal 13 6 3 5" xfId="7295" xr:uid="{00000000-0005-0000-0000-0000510B0000}"/>
    <cellStyle name="Normal 13 6 4" xfId="4181" xr:uid="{00000000-0005-0000-0000-0000520B0000}"/>
    <cellStyle name="Normal 13 6 4 2" xfId="5148" xr:uid="{00000000-0005-0000-0000-0000530B0000}"/>
    <cellStyle name="Normal 13 6 4 2 2" xfId="6823" xr:uid="{00000000-0005-0000-0000-0000540B0000}"/>
    <cellStyle name="Normal 13 6 4 2 2 2" xfId="10173" xr:uid="{00000000-0005-0000-0000-0000550B0000}"/>
    <cellStyle name="Normal 13 6 4 2 3" xfId="11848" xr:uid="{00000000-0005-0000-0000-0000560B0000}"/>
    <cellStyle name="Normal 13 6 4 2 4" xfId="8498" xr:uid="{00000000-0005-0000-0000-0000570B0000}"/>
    <cellStyle name="Normal 13 6 4 3" xfId="5856" xr:uid="{00000000-0005-0000-0000-0000580B0000}"/>
    <cellStyle name="Normal 13 6 4 3 2" xfId="9206" xr:uid="{00000000-0005-0000-0000-0000590B0000}"/>
    <cellStyle name="Normal 13 6 4 4" xfId="10881" xr:uid="{00000000-0005-0000-0000-00005A0B0000}"/>
    <cellStyle name="Normal 13 6 4 5" xfId="7531" xr:uid="{00000000-0005-0000-0000-00005B0B0000}"/>
    <cellStyle name="Normal 13 6 5" xfId="4417" xr:uid="{00000000-0005-0000-0000-00005C0B0000}"/>
    <cellStyle name="Normal 13 6 5 2" xfId="6092" xr:uid="{00000000-0005-0000-0000-00005D0B0000}"/>
    <cellStyle name="Normal 13 6 5 2 2" xfId="9442" xr:uid="{00000000-0005-0000-0000-00005E0B0000}"/>
    <cellStyle name="Normal 13 6 5 3" xfId="11117" xr:uid="{00000000-0005-0000-0000-00005F0B0000}"/>
    <cellStyle name="Normal 13 6 5 4" xfId="7767" xr:uid="{00000000-0005-0000-0000-0000600B0000}"/>
    <cellStyle name="Normal 13 6 6" xfId="4676" xr:uid="{00000000-0005-0000-0000-0000610B0000}"/>
    <cellStyle name="Normal 13 6 6 2" xfId="6351" xr:uid="{00000000-0005-0000-0000-0000620B0000}"/>
    <cellStyle name="Normal 13 6 6 2 2" xfId="9701" xr:uid="{00000000-0005-0000-0000-0000630B0000}"/>
    <cellStyle name="Normal 13 6 6 3" xfId="11376" xr:uid="{00000000-0005-0000-0000-0000640B0000}"/>
    <cellStyle name="Normal 13 6 6 4" xfId="8026" xr:uid="{00000000-0005-0000-0000-0000650B0000}"/>
    <cellStyle name="Normal 13 6 7" xfId="5384" xr:uid="{00000000-0005-0000-0000-0000660B0000}"/>
    <cellStyle name="Normal 13 6 7 2" xfId="8734" xr:uid="{00000000-0005-0000-0000-0000670B0000}"/>
    <cellStyle name="Normal 13 6 8" xfId="10409" xr:uid="{00000000-0005-0000-0000-0000680B0000}"/>
    <cellStyle name="Normal 13 6 9" xfId="7059" xr:uid="{00000000-0005-0000-0000-0000690B0000}"/>
    <cellStyle name="Normal 13 7" xfId="3733" xr:uid="{00000000-0005-0000-0000-00006A0B0000}"/>
    <cellStyle name="Normal 13 7 2" xfId="3969" xr:uid="{00000000-0005-0000-0000-00006B0B0000}"/>
    <cellStyle name="Normal 13 7 2 2" xfId="4936" xr:uid="{00000000-0005-0000-0000-00006C0B0000}"/>
    <cellStyle name="Normal 13 7 2 2 2" xfId="6611" xr:uid="{00000000-0005-0000-0000-00006D0B0000}"/>
    <cellStyle name="Normal 13 7 2 2 2 2" xfId="9961" xr:uid="{00000000-0005-0000-0000-00006E0B0000}"/>
    <cellStyle name="Normal 13 7 2 2 3" xfId="11636" xr:uid="{00000000-0005-0000-0000-00006F0B0000}"/>
    <cellStyle name="Normal 13 7 2 2 4" xfId="8286" xr:uid="{00000000-0005-0000-0000-0000700B0000}"/>
    <cellStyle name="Normal 13 7 2 3" xfId="5644" xr:uid="{00000000-0005-0000-0000-0000710B0000}"/>
    <cellStyle name="Normal 13 7 2 3 2" xfId="8994" xr:uid="{00000000-0005-0000-0000-0000720B0000}"/>
    <cellStyle name="Normal 13 7 2 4" xfId="10669" xr:uid="{00000000-0005-0000-0000-0000730B0000}"/>
    <cellStyle name="Normal 13 7 2 5" xfId="7319" xr:uid="{00000000-0005-0000-0000-0000740B0000}"/>
    <cellStyle name="Normal 13 7 3" xfId="4205" xr:uid="{00000000-0005-0000-0000-0000750B0000}"/>
    <cellStyle name="Normal 13 7 3 2" xfId="5172" xr:uid="{00000000-0005-0000-0000-0000760B0000}"/>
    <cellStyle name="Normal 13 7 3 2 2" xfId="6847" xr:uid="{00000000-0005-0000-0000-0000770B0000}"/>
    <cellStyle name="Normal 13 7 3 2 2 2" xfId="10197" xr:uid="{00000000-0005-0000-0000-0000780B0000}"/>
    <cellStyle name="Normal 13 7 3 2 3" xfId="11872" xr:uid="{00000000-0005-0000-0000-0000790B0000}"/>
    <cellStyle name="Normal 13 7 3 2 4" xfId="8522" xr:uid="{00000000-0005-0000-0000-00007A0B0000}"/>
    <cellStyle name="Normal 13 7 3 3" xfId="5880" xr:uid="{00000000-0005-0000-0000-00007B0B0000}"/>
    <cellStyle name="Normal 13 7 3 3 2" xfId="9230" xr:uid="{00000000-0005-0000-0000-00007C0B0000}"/>
    <cellStyle name="Normal 13 7 3 4" xfId="10905" xr:uid="{00000000-0005-0000-0000-00007D0B0000}"/>
    <cellStyle name="Normal 13 7 3 5" xfId="7555" xr:uid="{00000000-0005-0000-0000-00007E0B0000}"/>
    <cellStyle name="Normal 13 7 4" xfId="4441" xr:uid="{00000000-0005-0000-0000-00007F0B0000}"/>
    <cellStyle name="Normal 13 7 4 2" xfId="6116" xr:uid="{00000000-0005-0000-0000-0000800B0000}"/>
    <cellStyle name="Normal 13 7 4 2 2" xfId="9466" xr:uid="{00000000-0005-0000-0000-0000810B0000}"/>
    <cellStyle name="Normal 13 7 4 3" xfId="11141" xr:uid="{00000000-0005-0000-0000-0000820B0000}"/>
    <cellStyle name="Normal 13 7 4 4" xfId="7791" xr:uid="{00000000-0005-0000-0000-0000830B0000}"/>
    <cellStyle name="Normal 13 7 5" xfId="4700" xr:uid="{00000000-0005-0000-0000-0000840B0000}"/>
    <cellStyle name="Normal 13 7 5 2" xfId="6375" xr:uid="{00000000-0005-0000-0000-0000850B0000}"/>
    <cellStyle name="Normal 13 7 5 2 2" xfId="9725" xr:uid="{00000000-0005-0000-0000-0000860B0000}"/>
    <cellStyle name="Normal 13 7 5 3" xfId="11400" xr:uid="{00000000-0005-0000-0000-0000870B0000}"/>
    <cellStyle name="Normal 13 7 5 4" xfId="8050" xr:uid="{00000000-0005-0000-0000-0000880B0000}"/>
    <cellStyle name="Normal 13 7 6" xfId="5408" xr:uid="{00000000-0005-0000-0000-0000890B0000}"/>
    <cellStyle name="Normal 13 7 6 2" xfId="8758" xr:uid="{00000000-0005-0000-0000-00008A0B0000}"/>
    <cellStyle name="Normal 13 7 7" xfId="10433" xr:uid="{00000000-0005-0000-0000-00008B0B0000}"/>
    <cellStyle name="Normal 13 7 8" xfId="7083" xr:uid="{00000000-0005-0000-0000-00008C0B0000}"/>
    <cellStyle name="Normal 13 8" xfId="3851" xr:uid="{00000000-0005-0000-0000-00008D0B0000}"/>
    <cellStyle name="Normal 13 8 2" xfId="4818" xr:uid="{00000000-0005-0000-0000-00008E0B0000}"/>
    <cellStyle name="Normal 13 8 2 2" xfId="6493" xr:uid="{00000000-0005-0000-0000-00008F0B0000}"/>
    <cellStyle name="Normal 13 8 2 2 2" xfId="9843" xr:uid="{00000000-0005-0000-0000-0000900B0000}"/>
    <cellStyle name="Normal 13 8 2 3" xfId="11518" xr:uid="{00000000-0005-0000-0000-0000910B0000}"/>
    <cellStyle name="Normal 13 8 2 4" xfId="8168" xr:uid="{00000000-0005-0000-0000-0000920B0000}"/>
    <cellStyle name="Normal 13 8 3" xfId="5526" xr:uid="{00000000-0005-0000-0000-0000930B0000}"/>
    <cellStyle name="Normal 13 8 3 2" xfId="8876" xr:uid="{00000000-0005-0000-0000-0000940B0000}"/>
    <cellStyle name="Normal 13 8 4" xfId="10551" xr:uid="{00000000-0005-0000-0000-0000950B0000}"/>
    <cellStyle name="Normal 13 8 5" xfId="7201" xr:uid="{00000000-0005-0000-0000-0000960B0000}"/>
    <cellStyle name="Normal 13 9" xfId="4087" xr:uid="{00000000-0005-0000-0000-0000970B0000}"/>
    <cellStyle name="Normal 13 9 2" xfId="5054" xr:uid="{00000000-0005-0000-0000-0000980B0000}"/>
    <cellStyle name="Normal 13 9 2 2" xfId="6729" xr:uid="{00000000-0005-0000-0000-0000990B0000}"/>
    <cellStyle name="Normal 13 9 2 2 2" xfId="10079" xr:uid="{00000000-0005-0000-0000-00009A0B0000}"/>
    <cellStyle name="Normal 13 9 2 3" xfId="11754" xr:uid="{00000000-0005-0000-0000-00009B0B0000}"/>
    <cellStyle name="Normal 13 9 2 4" xfId="8404" xr:uid="{00000000-0005-0000-0000-00009C0B0000}"/>
    <cellStyle name="Normal 13 9 3" xfId="5762" xr:uid="{00000000-0005-0000-0000-00009D0B0000}"/>
    <cellStyle name="Normal 13 9 3 2" xfId="9112" xr:uid="{00000000-0005-0000-0000-00009E0B0000}"/>
    <cellStyle name="Normal 13 9 4" xfId="10787" xr:uid="{00000000-0005-0000-0000-00009F0B0000}"/>
    <cellStyle name="Normal 13 9 5" xfId="7437" xr:uid="{00000000-0005-0000-0000-0000A00B0000}"/>
    <cellStyle name="Normal 14" xfId="2576" xr:uid="{00000000-0005-0000-0000-0000100A0000}"/>
    <cellStyle name="Normal 14 2" xfId="2577" xr:uid="{00000000-0005-0000-0000-0000110A0000}"/>
    <cellStyle name="Normal 14 2 2" xfId="2578" xr:uid="{00000000-0005-0000-0000-0000120A0000}"/>
    <cellStyle name="Normal 14 2 2 2" xfId="2579" xr:uid="{00000000-0005-0000-0000-0000130A0000}"/>
    <cellStyle name="Normal 14 2 3" xfId="2580" xr:uid="{00000000-0005-0000-0000-0000140A0000}"/>
    <cellStyle name="Normal 14 3" xfId="2581" xr:uid="{00000000-0005-0000-0000-0000150A0000}"/>
    <cellStyle name="Normal 15" xfId="2582" xr:uid="{00000000-0005-0000-0000-0000160A0000}"/>
    <cellStyle name="Normal 15 2" xfId="2583" xr:uid="{00000000-0005-0000-0000-0000170A0000}"/>
    <cellStyle name="Normal 15 2 2" xfId="2584" xr:uid="{00000000-0005-0000-0000-0000180A0000}"/>
    <cellStyle name="Normal 15 2 2 2" xfId="2585" xr:uid="{00000000-0005-0000-0000-0000190A0000}"/>
    <cellStyle name="Normal 15 3" xfId="2586" xr:uid="{00000000-0005-0000-0000-00001A0A0000}"/>
    <cellStyle name="Normal 16" xfId="2587" xr:uid="{00000000-0005-0000-0000-00001B0A0000}"/>
    <cellStyle name="Normal 16 10" xfId="4325" xr:uid="{00000000-0005-0000-0000-0000A60B0000}"/>
    <cellStyle name="Normal 16 10 2" xfId="4584" xr:uid="{00000000-0005-0000-0000-0000A70B0000}"/>
    <cellStyle name="Normal 16 10 2 2" xfId="6259" xr:uid="{00000000-0005-0000-0000-0000A80B0000}"/>
    <cellStyle name="Normal 16 10 2 2 2" xfId="9609" xr:uid="{00000000-0005-0000-0000-0000A90B0000}"/>
    <cellStyle name="Normal 16 10 2 3" xfId="11284" xr:uid="{00000000-0005-0000-0000-0000AA0B0000}"/>
    <cellStyle name="Normal 16 10 2 4" xfId="7934" xr:uid="{00000000-0005-0000-0000-0000AB0B0000}"/>
    <cellStyle name="Normal 16 10 3" xfId="6000" xr:uid="{00000000-0005-0000-0000-0000AC0B0000}"/>
    <cellStyle name="Normal 16 10 3 2" xfId="9350" xr:uid="{00000000-0005-0000-0000-0000AD0B0000}"/>
    <cellStyle name="Normal 16 10 4" xfId="11025" xr:uid="{00000000-0005-0000-0000-0000AE0B0000}"/>
    <cellStyle name="Normal 16 10 5" xfId="7675" xr:uid="{00000000-0005-0000-0000-0000AF0B0000}"/>
    <cellStyle name="Normal 16 11" xfId="4561" xr:uid="{00000000-0005-0000-0000-0000B00B0000}"/>
    <cellStyle name="Normal 16 11 2" xfId="6236" xr:uid="{00000000-0005-0000-0000-0000B10B0000}"/>
    <cellStyle name="Normal 16 11 2 2" xfId="9586" xr:uid="{00000000-0005-0000-0000-0000B20B0000}"/>
    <cellStyle name="Normal 16 11 3" xfId="11261" xr:uid="{00000000-0005-0000-0000-0000B30B0000}"/>
    <cellStyle name="Normal 16 11 4" xfId="7911" xr:uid="{00000000-0005-0000-0000-0000B40B0000}"/>
    <cellStyle name="Normal 16 12" xfId="5292" xr:uid="{00000000-0005-0000-0000-0000B50B0000}"/>
    <cellStyle name="Normal 16 12 2" xfId="8642" xr:uid="{00000000-0005-0000-0000-0000B60B0000}"/>
    <cellStyle name="Normal 16 13" xfId="10317" xr:uid="{00000000-0005-0000-0000-0000B70B0000}"/>
    <cellStyle name="Normal 16 14" xfId="6967" xr:uid="{00000000-0005-0000-0000-0000B80B0000}"/>
    <cellStyle name="Normal 16 15" xfId="3406" xr:uid="{00000000-0005-0000-0000-0000A50B0000}"/>
    <cellStyle name="Normal 16 2" xfId="2588" xr:uid="{00000000-0005-0000-0000-00001C0A0000}"/>
    <cellStyle name="Normal 16 3" xfId="2589" xr:uid="{00000000-0005-0000-0000-00001D0A0000}"/>
    <cellStyle name="Normal 16 3 10" xfId="3640" xr:uid="{00000000-0005-0000-0000-0000BA0B0000}"/>
    <cellStyle name="Normal 16 3 2" xfId="3759" xr:uid="{00000000-0005-0000-0000-0000BB0B0000}"/>
    <cellStyle name="Normal 16 3 2 2" xfId="3995" xr:uid="{00000000-0005-0000-0000-0000BC0B0000}"/>
    <cellStyle name="Normal 16 3 2 2 2" xfId="4962" xr:uid="{00000000-0005-0000-0000-0000BD0B0000}"/>
    <cellStyle name="Normal 16 3 2 2 2 2" xfId="6637" xr:uid="{00000000-0005-0000-0000-0000BE0B0000}"/>
    <cellStyle name="Normal 16 3 2 2 2 2 2" xfId="9987" xr:uid="{00000000-0005-0000-0000-0000BF0B0000}"/>
    <cellStyle name="Normal 16 3 2 2 2 3" xfId="11662" xr:uid="{00000000-0005-0000-0000-0000C00B0000}"/>
    <cellStyle name="Normal 16 3 2 2 2 4" xfId="8312" xr:uid="{00000000-0005-0000-0000-0000C10B0000}"/>
    <cellStyle name="Normal 16 3 2 2 3" xfId="5670" xr:uid="{00000000-0005-0000-0000-0000C20B0000}"/>
    <cellStyle name="Normal 16 3 2 2 3 2" xfId="9020" xr:uid="{00000000-0005-0000-0000-0000C30B0000}"/>
    <cellStyle name="Normal 16 3 2 2 4" xfId="10695" xr:uid="{00000000-0005-0000-0000-0000C40B0000}"/>
    <cellStyle name="Normal 16 3 2 2 5" xfId="7345" xr:uid="{00000000-0005-0000-0000-0000C50B0000}"/>
    <cellStyle name="Normal 16 3 2 3" xfId="4231" xr:uid="{00000000-0005-0000-0000-0000C60B0000}"/>
    <cellStyle name="Normal 16 3 2 3 2" xfId="5198" xr:uid="{00000000-0005-0000-0000-0000C70B0000}"/>
    <cellStyle name="Normal 16 3 2 3 2 2" xfId="6873" xr:uid="{00000000-0005-0000-0000-0000C80B0000}"/>
    <cellStyle name="Normal 16 3 2 3 2 2 2" xfId="10223" xr:uid="{00000000-0005-0000-0000-0000C90B0000}"/>
    <cellStyle name="Normal 16 3 2 3 2 3" xfId="11898" xr:uid="{00000000-0005-0000-0000-0000CA0B0000}"/>
    <cellStyle name="Normal 16 3 2 3 2 4" xfId="8548" xr:uid="{00000000-0005-0000-0000-0000CB0B0000}"/>
    <cellStyle name="Normal 16 3 2 3 3" xfId="5906" xr:uid="{00000000-0005-0000-0000-0000CC0B0000}"/>
    <cellStyle name="Normal 16 3 2 3 3 2" xfId="9256" xr:uid="{00000000-0005-0000-0000-0000CD0B0000}"/>
    <cellStyle name="Normal 16 3 2 3 4" xfId="10931" xr:uid="{00000000-0005-0000-0000-0000CE0B0000}"/>
    <cellStyle name="Normal 16 3 2 3 5" xfId="7581" xr:uid="{00000000-0005-0000-0000-0000CF0B0000}"/>
    <cellStyle name="Normal 16 3 2 4" xfId="4467" xr:uid="{00000000-0005-0000-0000-0000D00B0000}"/>
    <cellStyle name="Normal 16 3 2 4 2" xfId="6142" xr:uid="{00000000-0005-0000-0000-0000D10B0000}"/>
    <cellStyle name="Normal 16 3 2 4 2 2" xfId="9492" xr:uid="{00000000-0005-0000-0000-0000D20B0000}"/>
    <cellStyle name="Normal 16 3 2 4 3" xfId="11167" xr:uid="{00000000-0005-0000-0000-0000D30B0000}"/>
    <cellStyle name="Normal 16 3 2 4 4" xfId="7817" xr:uid="{00000000-0005-0000-0000-0000D40B0000}"/>
    <cellStyle name="Normal 16 3 2 5" xfId="4726" xr:uid="{00000000-0005-0000-0000-0000D50B0000}"/>
    <cellStyle name="Normal 16 3 2 5 2" xfId="6401" xr:uid="{00000000-0005-0000-0000-0000D60B0000}"/>
    <cellStyle name="Normal 16 3 2 5 2 2" xfId="9751" xr:uid="{00000000-0005-0000-0000-0000D70B0000}"/>
    <cellStyle name="Normal 16 3 2 5 3" xfId="11426" xr:uid="{00000000-0005-0000-0000-0000D80B0000}"/>
    <cellStyle name="Normal 16 3 2 5 4" xfId="8076" xr:uid="{00000000-0005-0000-0000-0000D90B0000}"/>
    <cellStyle name="Normal 16 3 2 6" xfId="5434" xr:uid="{00000000-0005-0000-0000-0000DA0B0000}"/>
    <cellStyle name="Normal 16 3 2 6 2" xfId="8784" xr:uid="{00000000-0005-0000-0000-0000DB0B0000}"/>
    <cellStyle name="Normal 16 3 2 7" xfId="10459" xr:uid="{00000000-0005-0000-0000-0000DC0B0000}"/>
    <cellStyle name="Normal 16 3 2 8" xfId="7109" xr:uid="{00000000-0005-0000-0000-0000DD0B0000}"/>
    <cellStyle name="Normal 16 3 3" xfId="3876" xr:uid="{00000000-0005-0000-0000-0000DE0B0000}"/>
    <cellStyle name="Normal 16 3 3 2" xfId="4843" xr:uid="{00000000-0005-0000-0000-0000DF0B0000}"/>
    <cellStyle name="Normal 16 3 3 2 2" xfId="6518" xr:uid="{00000000-0005-0000-0000-0000E00B0000}"/>
    <cellStyle name="Normal 16 3 3 2 2 2" xfId="9868" xr:uid="{00000000-0005-0000-0000-0000E10B0000}"/>
    <cellStyle name="Normal 16 3 3 2 3" xfId="11543" xr:uid="{00000000-0005-0000-0000-0000E20B0000}"/>
    <cellStyle name="Normal 16 3 3 2 4" xfId="8193" xr:uid="{00000000-0005-0000-0000-0000E30B0000}"/>
    <cellStyle name="Normal 16 3 3 3" xfId="5551" xr:uid="{00000000-0005-0000-0000-0000E40B0000}"/>
    <cellStyle name="Normal 16 3 3 3 2" xfId="8901" xr:uid="{00000000-0005-0000-0000-0000E50B0000}"/>
    <cellStyle name="Normal 16 3 3 4" xfId="10576" xr:uid="{00000000-0005-0000-0000-0000E60B0000}"/>
    <cellStyle name="Normal 16 3 3 5" xfId="7226" xr:uid="{00000000-0005-0000-0000-0000E70B0000}"/>
    <cellStyle name="Normal 16 3 4" xfId="4112" xr:uid="{00000000-0005-0000-0000-0000E80B0000}"/>
    <cellStyle name="Normal 16 3 4 2" xfId="5079" xr:uid="{00000000-0005-0000-0000-0000E90B0000}"/>
    <cellStyle name="Normal 16 3 4 2 2" xfId="6754" xr:uid="{00000000-0005-0000-0000-0000EA0B0000}"/>
    <cellStyle name="Normal 16 3 4 2 2 2" xfId="10104" xr:uid="{00000000-0005-0000-0000-0000EB0B0000}"/>
    <cellStyle name="Normal 16 3 4 2 3" xfId="11779" xr:uid="{00000000-0005-0000-0000-0000EC0B0000}"/>
    <cellStyle name="Normal 16 3 4 2 4" xfId="8429" xr:uid="{00000000-0005-0000-0000-0000ED0B0000}"/>
    <cellStyle name="Normal 16 3 4 3" xfId="5787" xr:uid="{00000000-0005-0000-0000-0000EE0B0000}"/>
    <cellStyle name="Normal 16 3 4 3 2" xfId="9137" xr:uid="{00000000-0005-0000-0000-0000EF0B0000}"/>
    <cellStyle name="Normal 16 3 4 4" xfId="10812" xr:uid="{00000000-0005-0000-0000-0000F00B0000}"/>
    <cellStyle name="Normal 16 3 4 5" xfId="7462" xr:uid="{00000000-0005-0000-0000-0000F10B0000}"/>
    <cellStyle name="Normal 16 3 5" xfId="4348" xr:uid="{00000000-0005-0000-0000-0000F20B0000}"/>
    <cellStyle name="Normal 16 3 5 2" xfId="6023" xr:uid="{00000000-0005-0000-0000-0000F30B0000}"/>
    <cellStyle name="Normal 16 3 5 2 2" xfId="9373" xr:uid="{00000000-0005-0000-0000-0000F40B0000}"/>
    <cellStyle name="Normal 16 3 5 3" xfId="11048" xr:uid="{00000000-0005-0000-0000-0000F50B0000}"/>
    <cellStyle name="Normal 16 3 5 4" xfId="7698" xr:uid="{00000000-0005-0000-0000-0000F60B0000}"/>
    <cellStyle name="Normal 16 3 6" xfId="4607" xr:uid="{00000000-0005-0000-0000-0000F70B0000}"/>
    <cellStyle name="Normal 16 3 6 2" xfId="6282" xr:uid="{00000000-0005-0000-0000-0000F80B0000}"/>
    <cellStyle name="Normal 16 3 6 2 2" xfId="9632" xr:uid="{00000000-0005-0000-0000-0000F90B0000}"/>
    <cellStyle name="Normal 16 3 6 3" xfId="11307" xr:uid="{00000000-0005-0000-0000-0000FA0B0000}"/>
    <cellStyle name="Normal 16 3 6 4" xfId="7957" xr:uid="{00000000-0005-0000-0000-0000FB0B0000}"/>
    <cellStyle name="Normal 16 3 7" xfId="5315" xr:uid="{00000000-0005-0000-0000-0000FC0B0000}"/>
    <cellStyle name="Normal 16 3 7 2" xfId="8665" xr:uid="{00000000-0005-0000-0000-0000FD0B0000}"/>
    <cellStyle name="Normal 16 3 8" xfId="10340" xr:uid="{00000000-0005-0000-0000-0000FE0B0000}"/>
    <cellStyle name="Normal 16 3 9" xfId="6990" xr:uid="{00000000-0005-0000-0000-0000FF0B0000}"/>
    <cellStyle name="Normal 16 4" xfId="3663" xr:uid="{00000000-0005-0000-0000-0000000C0000}"/>
    <cellStyle name="Normal 16 4 2" xfId="3781" xr:uid="{00000000-0005-0000-0000-0000010C0000}"/>
    <cellStyle name="Normal 16 4 2 2" xfId="4017" xr:uid="{00000000-0005-0000-0000-0000020C0000}"/>
    <cellStyle name="Normal 16 4 2 2 2" xfId="4984" xr:uid="{00000000-0005-0000-0000-0000030C0000}"/>
    <cellStyle name="Normal 16 4 2 2 2 2" xfId="6659" xr:uid="{00000000-0005-0000-0000-0000040C0000}"/>
    <cellStyle name="Normal 16 4 2 2 2 2 2" xfId="10009" xr:uid="{00000000-0005-0000-0000-0000050C0000}"/>
    <cellStyle name="Normal 16 4 2 2 2 3" xfId="11684" xr:uid="{00000000-0005-0000-0000-0000060C0000}"/>
    <cellStyle name="Normal 16 4 2 2 2 4" xfId="8334" xr:uid="{00000000-0005-0000-0000-0000070C0000}"/>
    <cellStyle name="Normal 16 4 2 2 3" xfId="5692" xr:uid="{00000000-0005-0000-0000-0000080C0000}"/>
    <cellStyle name="Normal 16 4 2 2 3 2" xfId="9042" xr:uid="{00000000-0005-0000-0000-0000090C0000}"/>
    <cellStyle name="Normal 16 4 2 2 4" xfId="10717" xr:uid="{00000000-0005-0000-0000-00000A0C0000}"/>
    <cellStyle name="Normal 16 4 2 2 5" xfId="7367" xr:uid="{00000000-0005-0000-0000-00000B0C0000}"/>
    <cellStyle name="Normal 16 4 2 3" xfId="4253" xr:uid="{00000000-0005-0000-0000-00000C0C0000}"/>
    <cellStyle name="Normal 16 4 2 3 2" xfId="5220" xr:uid="{00000000-0005-0000-0000-00000D0C0000}"/>
    <cellStyle name="Normal 16 4 2 3 2 2" xfId="6895" xr:uid="{00000000-0005-0000-0000-00000E0C0000}"/>
    <cellStyle name="Normal 16 4 2 3 2 2 2" xfId="10245" xr:uid="{00000000-0005-0000-0000-00000F0C0000}"/>
    <cellStyle name="Normal 16 4 2 3 2 3" xfId="11920" xr:uid="{00000000-0005-0000-0000-0000100C0000}"/>
    <cellStyle name="Normal 16 4 2 3 2 4" xfId="8570" xr:uid="{00000000-0005-0000-0000-0000110C0000}"/>
    <cellStyle name="Normal 16 4 2 3 3" xfId="5928" xr:uid="{00000000-0005-0000-0000-0000120C0000}"/>
    <cellStyle name="Normal 16 4 2 3 3 2" xfId="9278" xr:uid="{00000000-0005-0000-0000-0000130C0000}"/>
    <cellStyle name="Normal 16 4 2 3 4" xfId="10953" xr:uid="{00000000-0005-0000-0000-0000140C0000}"/>
    <cellStyle name="Normal 16 4 2 3 5" xfId="7603" xr:uid="{00000000-0005-0000-0000-0000150C0000}"/>
    <cellStyle name="Normal 16 4 2 4" xfId="4489" xr:uid="{00000000-0005-0000-0000-0000160C0000}"/>
    <cellStyle name="Normal 16 4 2 4 2" xfId="6164" xr:uid="{00000000-0005-0000-0000-0000170C0000}"/>
    <cellStyle name="Normal 16 4 2 4 2 2" xfId="9514" xr:uid="{00000000-0005-0000-0000-0000180C0000}"/>
    <cellStyle name="Normal 16 4 2 4 3" xfId="11189" xr:uid="{00000000-0005-0000-0000-0000190C0000}"/>
    <cellStyle name="Normal 16 4 2 4 4" xfId="7839" xr:uid="{00000000-0005-0000-0000-00001A0C0000}"/>
    <cellStyle name="Normal 16 4 2 5" xfId="4748" xr:uid="{00000000-0005-0000-0000-00001B0C0000}"/>
    <cellStyle name="Normal 16 4 2 5 2" xfId="6423" xr:uid="{00000000-0005-0000-0000-00001C0C0000}"/>
    <cellStyle name="Normal 16 4 2 5 2 2" xfId="9773" xr:uid="{00000000-0005-0000-0000-00001D0C0000}"/>
    <cellStyle name="Normal 16 4 2 5 3" xfId="11448" xr:uid="{00000000-0005-0000-0000-00001E0C0000}"/>
    <cellStyle name="Normal 16 4 2 5 4" xfId="8098" xr:uid="{00000000-0005-0000-0000-00001F0C0000}"/>
    <cellStyle name="Normal 16 4 2 6" xfId="5456" xr:uid="{00000000-0005-0000-0000-0000200C0000}"/>
    <cellStyle name="Normal 16 4 2 6 2" xfId="8806" xr:uid="{00000000-0005-0000-0000-0000210C0000}"/>
    <cellStyle name="Normal 16 4 2 7" xfId="10481" xr:uid="{00000000-0005-0000-0000-0000220C0000}"/>
    <cellStyle name="Normal 16 4 2 8" xfId="7131" xr:uid="{00000000-0005-0000-0000-0000230C0000}"/>
    <cellStyle name="Normal 16 4 3" xfId="3899" xr:uid="{00000000-0005-0000-0000-0000240C0000}"/>
    <cellStyle name="Normal 16 4 3 2" xfId="4866" xr:uid="{00000000-0005-0000-0000-0000250C0000}"/>
    <cellStyle name="Normal 16 4 3 2 2" xfId="6541" xr:uid="{00000000-0005-0000-0000-0000260C0000}"/>
    <cellStyle name="Normal 16 4 3 2 2 2" xfId="9891" xr:uid="{00000000-0005-0000-0000-0000270C0000}"/>
    <cellStyle name="Normal 16 4 3 2 3" xfId="11566" xr:uid="{00000000-0005-0000-0000-0000280C0000}"/>
    <cellStyle name="Normal 16 4 3 2 4" xfId="8216" xr:uid="{00000000-0005-0000-0000-0000290C0000}"/>
    <cellStyle name="Normal 16 4 3 3" xfId="5574" xr:uid="{00000000-0005-0000-0000-00002A0C0000}"/>
    <cellStyle name="Normal 16 4 3 3 2" xfId="8924" xr:uid="{00000000-0005-0000-0000-00002B0C0000}"/>
    <cellStyle name="Normal 16 4 3 4" xfId="10599" xr:uid="{00000000-0005-0000-0000-00002C0C0000}"/>
    <cellStyle name="Normal 16 4 3 5" xfId="7249" xr:uid="{00000000-0005-0000-0000-00002D0C0000}"/>
    <cellStyle name="Normal 16 4 4" xfId="4135" xr:uid="{00000000-0005-0000-0000-00002E0C0000}"/>
    <cellStyle name="Normal 16 4 4 2" xfId="5102" xr:uid="{00000000-0005-0000-0000-00002F0C0000}"/>
    <cellStyle name="Normal 16 4 4 2 2" xfId="6777" xr:uid="{00000000-0005-0000-0000-0000300C0000}"/>
    <cellStyle name="Normal 16 4 4 2 2 2" xfId="10127" xr:uid="{00000000-0005-0000-0000-0000310C0000}"/>
    <cellStyle name="Normal 16 4 4 2 3" xfId="11802" xr:uid="{00000000-0005-0000-0000-0000320C0000}"/>
    <cellStyle name="Normal 16 4 4 2 4" xfId="8452" xr:uid="{00000000-0005-0000-0000-0000330C0000}"/>
    <cellStyle name="Normal 16 4 4 3" xfId="5810" xr:uid="{00000000-0005-0000-0000-0000340C0000}"/>
    <cellStyle name="Normal 16 4 4 3 2" xfId="9160" xr:uid="{00000000-0005-0000-0000-0000350C0000}"/>
    <cellStyle name="Normal 16 4 4 4" xfId="10835" xr:uid="{00000000-0005-0000-0000-0000360C0000}"/>
    <cellStyle name="Normal 16 4 4 5" xfId="7485" xr:uid="{00000000-0005-0000-0000-0000370C0000}"/>
    <cellStyle name="Normal 16 4 5" xfId="4371" xr:uid="{00000000-0005-0000-0000-0000380C0000}"/>
    <cellStyle name="Normal 16 4 5 2" xfId="6046" xr:uid="{00000000-0005-0000-0000-0000390C0000}"/>
    <cellStyle name="Normal 16 4 5 2 2" xfId="9396" xr:uid="{00000000-0005-0000-0000-00003A0C0000}"/>
    <cellStyle name="Normal 16 4 5 3" xfId="11071" xr:uid="{00000000-0005-0000-0000-00003B0C0000}"/>
    <cellStyle name="Normal 16 4 5 4" xfId="7721" xr:uid="{00000000-0005-0000-0000-00003C0C0000}"/>
    <cellStyle name="Normal 16 4 6" xfId="4630" xr:uid="{00000000-0005-0000-0000-00003D0C0000}"/>
    <cellStyle name="Normal 16 4 6 2" xfId="6305" xr:uid="{00000000-0005-0000-0000-00003E0C0000}"/>
    <cellStyle name="Normal 16 4 6 2 2" xfId="9655" xr:uid="{00000000-0005-0000-0000-00003F0C0000}"/>
    <cellStyle name="Normal 16 4 6 3" xfId="11330" xr:uid="{00000000-0005-0000-0000-0000400C0000}"/>
    <cellStyle name="Normal 16 4 6 4" xfId="7980" xr:uid="{00000000-0005-0000-0000-0000410C0000}"/>
    <cellStyle name="Normal 16 4 7" xfId="5338" xr:uid="{00000000-0005-0000-0000-0000420C0000}"/>
    <cellStyle name="Normal 16 4 7 2" xfId="8688" xr:uid="{00000000-0005-0000-0000-0000430C0000}"/>
    <cellStyle name="Normal 16 4 8" xfId="10363" xr:uid="{00000000-0005-0000-0000-0000440C0000}"/>
    <cellStyle name="Normal 16 4 9" xfId="7013" xr:uid="{00000000-0005-0000-0000-0000450C0000}"/>
    <cellStyle name="Normal 16 5" xfId="3687" xr:uid="{00000000-0005-0000-0000-0000460C0000}"/>
    <cellStyle name="Normal 16 5 2" xfId="3805" xr:uid="{00000000-0005-0000-0000-0000470C0000}"/>
    <cellStyle name="Normal 16 5 2 2" xfId="4041" xr:uid="{00000000-0005-0000-0000-0000480C0000}"/>
    <cellStyle name="Normal 16 5 2 2 2" xfId="5008" xr:uid="{00000000-0005-0000-0000-0000490C0000}"/>
    <cellStyle name="Normal 16 5 2 2 2 2" xfId="6683" xr:uid="{00000000-0005-0000-0000-00004A0C0000}"/>
    <cellStyle name="Normal 16 5 2 2 2 2 2" xfId="10033" xr:uid="{00000000-0005-0000-0000-00004B0C0000}"/>
    <cellStyle name="Normal 16 5 2 2 2 3" xfId="11708" xr:uid="{00000000-0005-0000-0000-00004C0C0000}"/>
    <cellStyle name="Normal 16 5 2 2 2 4" xfId="8358" xr:uid="{00000000-0005-0000-0000-00004D0C0000}"/>
    <cellStyle name="Normal 16 5 2 2 3" xfId="5716" xr:uid="{00000000-0005-0000-0000-00004E0C0000}"/>
    <cellStyle name="Normal 16 5 2 2 3 2" xfId="9066" xr:uid="{00000000-0005-0000-0000-00004F0C0000}"/>
    <cellStyle name="Normal 16 5 2 2 4" xfId="10741" xr:uid="{00000000-0005-0000-0000-0000500C0000}"/>
    <cellStyle name="Normal 16 5 2 2 5" xfId="7391" xr:uid="{00000000-0005-0000-0000-0000510C0000}"/>
    <cellStyle name="Normal 16 5 2 3" xfId="4277" xr:uid="{00000000-0005-0000-0000-0000520C0000}"/>
    <cellStyle name="Normal 16 5 2 3 2" xfId="5244" xr:uid="{00000000-0005-0000-0000-0000530C0000}"/>
    <cellStyle name="Normal 16 5 2 3 2 2" xfId="6919" xr:uid="{00000000-0005-0000-0000-0000540C0000}"/>
    <cellStyle name="Normal 16 5 2 3 2 2 2" xfId="10269" xr:uid="{00000000-0005-0000-0000-0000550C0000}"/>
    <cellStyle name="Normal 16 5 2 3 2 3" xfId="11944" xr:uid="{00000000-0005-0000-0000-0000560C0000}"/>
    <cellStyle name="Normal 16 5 2 3 2 4" xfId="8594" xr:uid="{00000000-0005-0000-0000-0000570C0000}"/>
    <cellStyle name="Normal 16 5 2 3 3" xfId="5952" xr:uid="{00000000-0005-0000-0000-0000580C0000}"/>
    <cellStyle name="Normal 16 5 2 3 3 2" xfId="9302" xr:uid="{00000000-0005-0000-0000-0000590C0000}"/>
    <cellStyle name="Normal 16 5 2 3 4" xfId="10977" xr:uid="{00000000-0005-0000-0000-00005A0C0000}"/>
    <cellStyle name="Normal 16 5 2 3 5" xfId="7627" xr:uid="{00000000-0005-0000-0000-00005B0C0000}"/>
    <cellStyle name="Normal 16 5 2 4" xfId="4513" xr:uid="{00000000-0005-0000-0000-00005C0C0000}"/>
    <cellStyle name="Normal 16 5 2 4 2" xfId="6188" xr:uid="{00000000-0005-0000-0000-00005D0C0000}"/>
    <cellStyle name="Normal 16 5 2 4 2 2" xfId="9538" xr:uid="{00000000-0005-0000-0000-00005E0C0000}"/>
    <cellStyle name="Normal 16 5 2 4 3" xfId="11213" xr:uid="{00000000-0005-0000-0000-00005F0C0000}"/>
    <cellStyle name="Normal 16 5 2 4 4" xfId="7863" xr:uid="{00000000-0005-0000-0000-0000600C0000}"/>
    <cellStyle name="Normal 16 5 2 5" xfId="4772" xr:uid="{00000000-0005-0000-0000-0000610C0000}"/>
    <cellStyle name="Normal 16 5 2 5 2" xfId="6447" xr:uid="{00000000-0005-0000-0000-0000620C0000}"/>
    <cellStyle name="Normal 16 5 2 5 2 2" xfId="9797" xr:uid="{00000000-0005-0000-0000-0000630C0000}"/>
    <cellStyle name="Normal 16 5 2 5 3" xfId="11472" xr:uid="{00000000-0005-0000-0000-0000640C0000}"/>
    <cellStyle name="Normal 16 5 2 5 4" xfId="8122" xr:uid="{00000000-0005-0000-0000-0000650C0000}"/>
    <cellStyle name="Normal 16 5 2 6" xfId="5480" xr:uid="{00000000-0005-0000-0000-0000660C0000}"/>
    <cellStyle name="Normal 16 5 2 6 2" xfId="8830" xr:uid="{00000000-0005-0000-0000-0000670C0000}"/>
    <cellStyle name="Normal 16 5 2 7" xfId="10505" xr:uid="{00000000-0005-0000-0000-0000680C0000}"/>
    <cellStyle name="Normal 16 5 2 8" xfId="7155" xr:uid="{00000000-0005-0000-0000-0000690C0000}"/>
    <cellStyle name="Normal 16 5 3" xfId="3923" xr:uid="{00000000-0005-0000-0000-00006A0C0000}"/>
    <cellStyle name="Normal 16 5 3 2" xfId="4890" xr:uid="{00000000-0005-0000-0000-00006B0C0000}"/>
    <cellStyle name="Normal 16 5 3 2 2" xfId="6565" xr:uid="{00000000-0005-0000-0000-00006C0C0000}"/>
    <cellStyle name="Normal 16 5 3 2 2 2" xfId="9915" xr:uid="{00000000-0005-0000-0000-00006D0C0000}"/>
    <cellStyle name="Normal 16 5 3 2 3" xfId="11590" xr:uid="{00000000-0005-0000-0000-00006E0C0000}"/>
    <cellStyle name="Normal 16 5 3 2 4" xfId="8240" xr:uid="{00000000-0005-0000-0000-00006F0C0000}"/>
    <cellStyle name="Normal 16 5 3 3" xfId="5598" xr:uid="{00000000-0005-0000-0000-0000700C0000}"/>
    <cellStyle name="Normal 16 5 3 3 2" xfId="8948" xr:uid="{00000000-0005-0000-0000-0000710C0000}"/>
    <cellStyle name="Normal 16 5 3 4" xfId="10623" xr:uid="{00000000-0005-0000-0000-0000720C0000}"/>
    <cellStyle name="Normal 16 5 3 5" xfId="7273" xr:uid="{00000000-0005-0000-0000-0000730C0000}"/>
    <cellStyle name="Normal 16 5 4" xfId="4159" xr:uid="{00000000-0005-0000-0000-0000740C0000}"/>
    <cellStyle name="Normal 16 5 4 2" xfId="5126" xr:uid="{00000000-0005-0000-0000-0000750C0000}"/>
    <cellStyle name="Normal 16 5 4 2 2" xfId="6801" xr:uid="{00000000-0005-0000-0000-0000760C0000}"/>
    <cellStyle name="Normal 16 5 4 2 2 2" xfId="10151" xr:uid="{00000000-0005-0000-0000-0000770C0000}"/>
    <cellStyle name="Normal 16 5 4 2 3" xfId="11826" xr:uid="{00000000-0005-0000-0000-0000780C0000}"/>
    <cellStyle name="Normal 16 5 4 2 4" xfId="8476" xr:uid="{00000000-0005-0000-0000-0000790C0000}"/>
    <cellStyle name="Normal 16 5 4 3" xfId="5834" xr:uid="{00000000-0005-0000-0000-00007A0C0000}"/>
    <cellStyle name="Normal 16 5 4 3 2" xfId="9184" xr:uid="{00000000-0005-0000-0000-00007B0C0000}"/>
    <cellStyle name="Normal 16 5 4 4" xfId="10859" xr:uid="{00000000-0005-0000-0000-00007C0C0000}"/>
    <cellStyle name="Normal 16 5 4 5" xfId="7509" xr:uid="{00000000-0005-0000-0000-00007D0C0000}"/>
    <cellStyle name="Normal 16 5 5" xfId="4395" xr:uid="{00000000-0005-0000-0000-00007E0C0000}"/>
    <cellStyle name="Normal 16 5 5 2" xfId="6070" xr:uid="{00000000-0005-0000-0000-00007F0C0000}"/>
    <cellStyle name="Normal 16 5 5 2 2" xfId="9420" xr:uid="{00000000-0005-0000-0000-0000800C0000}"/>
    <cellStyle name="Normal 16 5 5 3" xfId="11095" xr:uid="{00000000-0005-0000-0000-0000810C0000}"/>
    <cellStyle name="Normal 16 5 5 4" xfId="7745" xr:uid="{00000000-0005-0000-0000-0000820C0000}"/>
    <cellStyle name="Normal 16 5 6" xfId="4654" xr:uid="{00000000-0005-0000-0000-0000830C0000}"/>
    <cellStyle name="Normal 16 5 6 2" xfId="6329" xr:uid="{00000000-0005-0000-0000-0000840C0000}"/>
    <cellStyle name="Normal 16 5 6 2 2" xfId="9679" xr:uid="{00000000-0005-0000-0000-0000850C0000}"/>
    <cellStyle name="Normal 16 5 6 3" xfId="11354" xr:uid="{00000000-0005-0000-0000-0000860C0000}"/>
    <cellStyle name="Normal 16 5 6 4" xfId="8004" xr:uid="{00000000-0005-0000-0000-0000870C0000}"/>
    <cellStyle name="Normal 16 5 7" xfId="5362" xr:uid="{00000000-0005-0000-0000-0000880C0000}"/>
    <cellStyle name="Normal 16 5 7 2" xfId="8712" xr:uid="{00000000-0005-0000-0000-0000890C0000}"/>
    <cellStyle name="Normal 16 5 8" xfId="10387" xr:uid="{00000000-0005-0000-0000-00008A0C0000}"/>
    <cellStyle name="Normal 16 5 9" xfId="7037" xr:uid="{00000000-0005-0000-0000-00008B0C0000}"/>
    <cellStyle name="Normal 16 6" xfId="3711" xr:uid="{00000000-0005-0000-0000-00008C0C0000}"/>
    <cellStyle name="Normal 16 6 2" xfId="3829" xr:uid="{00000000-0005-0000-0000-00008D0C0000}"/>
    <cellStyle name="Normal 16 6 2 2" xfId="4065" xr:uid="{00000000-0005-0000-0000-00008E0C0000}"/>
    <cellStyle name="Normal 16 6 2 2 2" xfId="5032" xr:uid="{00000000-0005-0000-0000-00008F0C0000}"/>
    <cellStyle name="Normal 16 6 2 2 2 2" xfId="6707" xr:uid="{00000000-0005-0000-0000-0000900C0000}"/>
    <cellStyle name="Normal 16 6 2 2 2 2 2" xfId="10057" xr:uid="{00000000-0005-0000-0000-0000910C0000}"/>
    <cellStyle name="Normal 16 6 2 2 2 3" xfId="11732" xr:uid="{00000000-0005-0000-0000-0000920C0000}"/>
    <cellStyle name="Normal 16 6 2 2 2 4" xfId="8382" xr:uid="{00000000-0005-0000-0000-0000930C0000}"/>
    <cellStyle name="Normal 16 6 2 2 3" xfId="5740" xr:uid="{00000000-0005-0000-0000-0000940C0000}"/>
    <cellStyle name="Normal 16 6 2 2 3 2" xfId="9090" xr:uid="{00000000-0005-0000-0000-0000950C0000}"/>
    <cellStyle name="Normal 16 6 2 2 4" xfId="10765" xr:uid="{00000000-0005-0000-0000-0000960C0000}"/>
    <cellStyle name="Normal 16 6 2 2 5" xfId="7415" xr:uid="{00000000-0005-0000-0000-0000970C0000}"/>
    <cellStyle name="Normal 16 6 2 3" xfId="4301" xr:uid="{00000000-0005-0000-0000-0000980C0000}"/>
    <cellStyle name="Normal 16 6 2 3 2" xfId="5268" xr:uid="{00000000-0005-0000-0000-0000990C0000}"/>
    <cellStyle name="Normal 16 6 2 3 2 2" xfId="6943" xr:uid="{00000000-0005-0000-0000-00009A0C0000}"/>
    <cellStyle name="Normal 16 6 2 3 2 2 2" xfId="10293" xr:uid="{00000000-0005-0000-0000-00009B0C0000}"/>
    <cellStyle name="Normal 16 6 2 3 2 3" xfId="11968" xr:uid="{00000000-0005-0000-0000-00009C0C0000}"/>
    <cellStyle name="Normal 16 6 2 3 2 4" xfId="8618" xr:uid="{00000000-0005-0000-0000-00009D0C0000}"/>
    <cellStyle name="Normal 16 6 2 3 3" xfId="5976" xr:uid="{00000000-0005-0000-0000-00009E0C0000}"/>
    <cellStyle name="Normal 16 6 2 3 3 2" xfId="9326" xr:uid="{00000000-0005-0000-0000-00009F0C0000}"/>
    <cellStyle name="Normal 16 6 2 3 4" xfId="11001" xr:uid="{00000000-0005-0000-0000-0000A00C0000}"/>
    <cellStyle name="Normal 16 6 2 3 5" xfId="7651" xr:uid="{00000000-0005-0000-0000-0000A10C0000}"/>
    <cellStyle name="Normal 16 6 2 4" xfId="4537" xr:uid="{00000000-0005-0000-0000-0000A20C0000}"/>
    <cellStyle name="Normal 16 6 2 4 2" xfId="6212" xr:uid="{00000000-0005-0000-0000-0000A30C0000}"/>
    <cellStyle name="Normal 16 6 2 4 2 2" xfId="9562" xr:uid="{00000000-0005-0000-0000-0000A40C0000}"/>
    <cellStyle name="Normal 16 6 2 4 3" xfId="11237" xr:uid="{00000000-0005-0000-0000-0000A50C0000}"/>
    <cellStyle name="Normal 16 6 2 4 4" xfId="7887" xr:uid="{00000000-0005-0000-0000-0000A60C0000}"/>
    <cellStyle name="Normal 16 6 2 5" xfId="4796" xr:uid="{00000000-0005-0000-0000-0000A70C0000}"/>
    <cellStyle name="Normal 16 6 2 5 2" xfId="6471" xr:uid="{00000000-0005-0000-0000-0000A80C0000}"/>
    <cellStyle name="Normal 16 6 2 5 2 2" xfId="9821" xr:uid="{00000000-0005-0000-0000-0000A90C0000}"/>
    <cellStyle name="Normal 16 6 2 5 3" xfId="11496" xr:uid="{00000000-0005-0000-0000-0000AA0C0000}"/>
    <cellStyle name="Normal 16 6 2 5 4" xfId="8146" xr:uid="{00000000-0005-0000-0000-0000AB0C0000}"/>
    <cellStyle name="Normal 16 6 2 6" xfId="5504" xr:uid="{00000000-0005-0000-0000-0000AC0C0000}"/>
    <cellStyle name="Normal 16 6 2 6 2" xfId="8854" xr:uid="{00000000-0005-0000-0000-0000AD0C0000}"/>
    <cellStyle name="Normal 16 6 2 7" xfId="10529" xr:uid="{00000000-0005-0000-0000-0000AE0C0000}"/>
    <cellStyle name="Normal 16 6 2 8" xfId="7179" xr:uid="{00000000-0005-0000-0000-0000AF0C0000}"/>
    <cellStyle name="Normal 16 6 3" xfId="3947" xr:uid="{00000000-0005-0000-0000-0000B00C0000}"/>
    <cellStyle name="Normal 16 6 3 2" xfId="4914" xr:uid="{00000000-0005-0000-0000-0000B10C0000}"/>
    <cellStyle name="Normal 16 6 3 2 2" xfId="6589" xr:uid="{00000000-0005-0000-0000-0000B20C0000}"/>
    <cellStyle name="Normal 16 6 3 2 2 2" xfId="9939" xr:uid="{00000000-0005-0000-0000-0000B30C0000}"/>
    <cellStyle name="Normal 16 6 3 2 3" xfId="11614" xr:uid="{00000000-0005-0000-0000-0000B40C0000}"/>
    <cellStyle name="Normal 16 6 3 2 4" xfId="8264" xr:uid="{00000000-0005-0000-0000-0000B50C0000}"/>
    <cellStyle name="Normal 16 6 3 3" xfId="5622" xr:uid="{00000000-0005-0000-0000-0000B60C0000}"/>
    <cellStyle name="Normal 16 6 3 3 2" xfId="8972" xr:uid="{00000000-0005-0000-0000-0000B70C0000}"/>
    <cellStyle name="Normal 16 6 3 4" xfId="10647" xr:uid="{00000000-0005-0000-0000-0000B80C0000}"/>
    <cellStyle name="Normal 16 6 3 5" xfId="7297" xr:uid="{00000000-0005-0000-0000-0000B90C0000}"/>
    <cellStyle name="Normal 16 6 4" xfId="4183" xr:uid="{00000000-0005-0000-0000-0000BA0C0000}"/>
    <cellStyle name="Normal 16 6 4 2" xfId="5150" xr:uid="{00000000-0005-0000-0000-0000BB0C0000}"/>
    <cellStyle name="Normal 16 6 4 2 2" xfId="6825" xr:uid="{00000000-0005-0000-0000-0000BC0C0000}"/>
    <cellStyle name="Normal 16 6 4 2 2 2" xfId="10175" xr:uid="{00000000-0005-0000-0000-0000BD0C0000}"/>
    <cellStyle name="Normal 16 6 4 2 3" xfId="11850" xr:uid="{00000000-0005-0000-0000-0000BE0C0000}"/>
    <cellStyle name="Normal 16 6 4 2 4" xfId="8500" xr:uid="{00000000-0005-0000-0000-0000BF0C0000}"/>
    <cellStyle name="Normal 16 6 4 3" xfId="5858" xr:uid="{00000000-0005-0000-0000-0000C00C0000}"/>
    <cellStyle name="Normal 16 6 4 3 2" xfId="9208" xr:uid="{00000000-0005-0000-0000-0000C10C0000}"/>
    <cellStyle name="Normal 16 6 4 4" xfId="10883" xr:uid="{00000000-0005-0000-0000-0000C20C0000}"/>
    <cellStyle name="Normal 16 6 4 5" xfId="7533" xr:uid="{00000000-0005-0000-0000-0000C30C0000}"/>
    <cellStyle name="Normal 16 6 5" xfId="4419" xr:uid="{00000000-0005-0000-0000-0000C40C0000}"/>
    <cellStyle name="Normal 16 6 5 2" xfId="6094" xr:uid="{00000000-0005-0000-0000-0000C50C0000}"/>
    <cellStyle name="Normal 16 6 5 2 2" xfId="9444" xr:uid="{00000000-0005-0000-0000-0000C60C0000}"/>
    <cellStyle name="Normal 16 6 5 3" xfId="11119" xr:uid="{00000000-0005-0000-0000-0000C70C0000}"/>
    <cellStyle name="Normal 16 6 5 4" xfId="7769" xr:uid="{00000000-0005-0000-0000-0000C80C0000}"/>
    <cellStyle name="Normal 16 6 6" xfId="4678" xr:uid="{00000000-0005-0000-0000-0000C90C0000}"/>
    <cellStyle name="Normal 16 6 6 2" xfId="6353" xr:uid="{00000000-0005-0000-0000-0000CA0C0000}"/>
    <cellStyle name="Normal 16 6 6 2 2" xfId="9703" xr:uid="{00000000-0005-0000-0000-0000CB0C0000}"/>
    <cellStyle name="Normal 16 6 6 3" xfId="11378" xr:uid="{00000000-0005-0000-0000-0000CC0C0000}"/>
    <cellStyle name="Normal 16 6 6 4" xfId="8028" xr:uid="{00000000-0005-0000-0000-0000CD0C0000}"/>
    <cellStyle name="Normal 16 6 7" xfId="5386" xr:uid="{00000000-0005-0000-0000-0000CE0C0000}"/>
    <cellStyle name="Normal 16 6 7 2" xfId="8736" xr:uid="{00000000-0005-0000-0000-0000CF0C0000}"/>
    <cellStyle name="Normal 16 6 8" xfId="10411" xr:uid="{00000000-0005-0000-0000-0000D00C0000}"/>
    <cellStyle name="Normal 16 6 9" xfId="7061" xr:uid="{00000000-0005-0000-0000-0000D10C0000}"/>
    <cellStyle name="Normal 16 7" xfId="3735" xr:uid="{00000000-0005-0000-0000-0000D20C0000}"/>
    <cellStyle name="Normal 16 7 2" xfId="3971" xr:uid="{00000000-0005-0000-0000-0000D30C0000}"/>
    <cellStyle name="Normal 16 7 2 2" xfId="4938" xr:uid="{00000000-0005-0000-0000-0000D40C0000}"/>
    <cellStyle name="Normal 16 7 2 2 2" xfId="6613" xr:uid="{00000000-0005-0000-0000-0000D50C0000}"/>
    <cellStyle name="Normal 16 7 2 2 2 2" xfId="9963" xr:uid="{00000000-0005-0000-0000-0000D60C0000}"/>
    <cellStyle name="Normal 16 7 2 2 3" xfId="11638" xr:uid="{00000000-0005-0000-0000-0000D70C0000}"/>
    <cellStyle name="Normal 16 7 2 2 4" xfId="8288" xr:uid="{00000000-0005-0000-0000-0000D80C0000}"/>
    <cellStyle name="Normal 16 7 2 3" xfId="5646" xr:uid="{00000000-0005-0000-0000-0000D90C0000}"/>
    <cellStyle name="Normal 16 7 2 3 2" xfId="8996" xr:uid="{00000000-0005-0000-0000-0000DA0C0000}"/>
    <cellStyle name="Normal 16 7 2 4" xfId="10671" xr:uid="{00000000-0005-0000-0000-0000DB0C0000}"/>
    <cellStyle name="Normal 16 7 2 5" xfId="7321" xr:uid="{00000000-0005-0000-0000-0000DC0C0000}"/>
    <cellStyle name="Normal 16 7 3" xfId="4207" xr:uid="{00000000-0005-0000-0000-0000DD0C0000}"/>
    <cellStyle name="Normal 16 7 3 2" xfId="5174" xr:uid="{00000000-0005-0000-0000-0000DE0C0000}"/>
    <cellStyle name="Normal 16 7 3 2 2" xfId="6849" xr:uid="{00000000-0005-0000-0000-0000DF0C0000}"/>
    <cellStyle name="Normal 16 7 3 2 2 2" xfId="10199" xr:uid="{00000000-0005-0000-0000-0000E00C0000}"/>
    <cellStyle name="Normal 16 7 3 2 3" xfId="11874" xr:uid="{00000000-0005-0000-0000-0000E10C0000}"/>
    <cellStyle name="Normal 16 7 3 2 4" xfId="8524" xr:uid="{00000000-0005-0000-0000-0000E20C0000}"/>
    <cellStyle name="Normal 16 7 3 3" xfId="5882" xr:uid="{00000000-0005-0000-0000-0000E30C0000}"/>
    <cellStyle name="Normal 16 7 3 3 2" xfId="9232" xr:uid="{00000000-0005-0000-0000-0000E40C0000}"/>
    <cellStyle name="Normal 16 7 3 4" xfId="10907" xr:uid="{00000000-0005-0000-0000-0000E50C0000}"/>
    <cellStyle name="Normal 16 7 3 5" xfId="7557" xr:uid="{00000000-0005-0000-0000-0000E60C0000}"/>
    <cellStyle name="Normal 16 7 4" xfId="4443" xr:uid="{00000000-0005-0000-0000-0000E70C0000}"/>
    <cellStyle name="Normal 16 7 4 2" xfId="6118" xr:uid="{00000000-0005-0000-0000-0000E80C0000}"/>
    <cellStyle name="Normal 16 7 4 2 2" xfId="9468" xr:uid="{00000000-0005-0000-0000-0000E90C0000}"/>
    <cellStyle name="Normal 16 7 4 3" xfId="11143" xr:uid="{00000000-0005-0000-0000-0000EA0C0000}"/>
    <cellStyle name="Normal 16 7 4 4" xfId="7793" xr:uid="{00000000-0005-0000-0000-0000EB0C0000}"/>
    <cellStyle name="Normal 16 7 5" xfId="4702" xr:uid="{00000000-0005-0000-0000-0000EC0C0000}"/>
    <cellStyle name="Normal 16 7 5 2" xfId="6377" xr:uid="{00000000-0005-0000-0000-0000ED0C0000}"/>
    <cellStyle name="Normal 16 7 5 2 2" xfId="9727" xr:uid="{00000000-0005-0000-0000-0000EE0C0000}"/>
    <cellStyle name="Normal 16 7 5 3" xfId="11402" xr:uid="{00000000-0005-0000-0000-0000EF0C0000}"/>
    <cellStyle name="Normal 16 7 5 4" xfId="8052" xr:uid="{00000000-0005-0000-0000-0000F00C0000}"/>
    <cellStyle name="Normal 16 7 6" xfId="5410" xr:uid="{00000000-0005-0000-0000-0000F10C0000}"/>
    <cellStyle name="Normal 16 7 6 2" xfId="8760" xr:uid="{00000000-0005-0000-0000-0000F20C0000}"/>
    <cellStyle name="Normal 16 7 7" xfId="10435" xr:uid="{00000000-0005-0000-0000-0000F30C0000}"/>
    <cellStyle name="Normal 16 7 8" xfId="7085" xr:uid="{00000000-0005-0000-0000-0000F40C0000}"/>
    <cellStyle name="Normal 16 8" xfId="3853" xr:uid="{00000000-0005-0000-0000-0000F50C0000}"/>
    <cellStyle name="Normal 16 8 2" xfId="4820" xr:uid="{00000000-0005-0000-0000-0000F60C0000}"/>
    <cellStyle name="Normal 16 8 2 2" xfId="6495" xr:uid="{00000000-0005-0000-0000-0000F70C0000}"/>
    <cellStyle name="Normal 16 8 2 2 2" xfId="9845" xr:uid="{00000000-0005-0000-0000-0000F80C0000}"/>
    <cellStyle name="Normal 16 8 2 3" xfId="11520" xr:uid="{00000000-0005-0000-0000-0000F90C0000}"/>
    <cellStyle name="Normal 16 8 2 4" xfId="8170" xr:uid="{00000000-0005-0000-0000-0000FA0C0000}"/>
    <cellStyle name="Normal 16 8 3" xfId="5528" xr:uid="{00000000-0005-0000-0000-0000FB0C0000}"/>
    <cellStyle name="Normal 16 8 3 2" xfId="8878" xr:uid="{00000000-0005-0000-0000-0000FC0C0000}"/>
    <cellStyle name="Normal 16 8 4" xfId="10553" xr:uid="{00000000-0005-0000-0000-0000FD0C0000}"/>
    <cellStyle name="Normal 16 8 5" xfId="7203" xr:uid="{00000000-0005-0000-0000-0000FE0C0000}"/>
    <cellStyle name="Normal 16 9" xfId="4089" xr:uid="{00000000-0005-0000-0000-0000FF0C0000}"/>
    <cellStyle name="Normal 16 9 2" xfId="5056" xr:uid="{00000000-0005-0000-0000-0000000D0000}"/>
    <cellStyle name="Normal 16 9 2 2" xfId="6731" xr:uid="{00000000-0005-0000-0000-0000010D0000}"/>
    <cellStyle name="Normal 16 9 2 2 2" xfId="10081" xr:uid="{00000000-0005-0000-0000-0000020D0000}"/>
    <cellStyle name="Normal 16 9 2 3" xfId="11756" xr:uid="{00000000-0005-0000-0000-0000030D0000}"/>
    <cellStyle name="Normal 16 9 2 4" xfId="8406" xr:uid="{00000000-0005-0000-0000-0000040D0000}"/>
    <cellStyle name="Normal 16 9 3" xfId="5764" xr:uid="{00000000-0005-0000-0000-0000050D0000}"/>
    <cellStyle name="Normal 16 9 3 2" xfId="9114" xr:uid="{00000000-0005-0000-0000-0000060D0000}"/>
    <cellStyle name="Normal 16 9 4" xfId="10789" xr:uid="{00000000-0005-0000-0000-0000070D0000}"/>
    <cellStyle name="Normal 16 9 5" xfId="7439" xr:uid="{00000000-0005-0000-0000-0000080D0000}"/>
    <cellStyle name="Normal 17" xfId="2590" xr:uid="{00000000-0005-0000-0000-00001E0A0000}"/>
    <cellStyle name="Normal 17 2" xfId="2591" xr:uid="{00000000-0005-0000-0000-00001F0A0000}"/>
    <cellStyle name="Normal 17 2 2" xfId="2592" xr:uid="{00000000-0005-0000-0000-0000200A0000}"/>
    <cellStyle name="Normal 17 3" xfId="2593" xr:uid="{00000000-0005-0000-0000-0000210A0000}"/>
    <cellStyle name="Normal 18" xfId="2594" xr:uid="{00000000-0005-0000-0000-0000220A0000}"/>
    <cellStyle name="Normal 18 2" xfId="2595" xr:uid="{00000000-0005-0000-0000-0000230A0000}"/>
    <cellStyle name="Normal 19" xfId="2596" xr:uid="{00000000-0005-0000-0000-0000240A0000}"/>
    <cellStyle name="Normal 19 2" xfId="2597" xr:uid="{00000000-0005-0000-0000-0000250A0000}"/>
    <cellStyle name="Normal 2" xfId="2598" xr:uid="{00000000-0005-0000-0000-0000260A0000}"/>
    <cellStyle name="Normal 2 10" xfId="2599" xr:uid="{00000000-0005-0000-0000-0000270A0000}"/>
    <cellStyle name="Normal 2 10 2" xfId="2600" xr:uid="{00000000-0005-0000-0000-0000280A0000}"/>
    <cellStyle name="Normal 2 10 2 2" xfId="2601" xr:uid="{00000000-0005-0000-0000-0000290A0000}"/>
    <cellStyle name="Normal 2 10 2 3" xfId="2602" xr:uid="{00000000-0005-0000-0000-00002A0A0000}"/>
    <cellStyle name="Normal 2 10 3" xfId="2603" xr:uid="{00000000-0005-0000-0000-00002B0A0000}"/>
    <cellStyle name="Normal 2 10 4" xfId="2604" xr:uid="{00000000-0005-0000-0000-00002C0A0000}"/>
    <cellStyle name="Normal 2 11" xfId="2605" xr:uid="{00000000-0005-0000-0000-00002D0A0000}"/>
    <cellStyle name="Normal 2 11 2" xfId="2606" xr:uid="{00000000-0005-0000-0000-00002E0A0000}"/>
    <cellStyle name="Normal 2 11 3" xfId="2607" xr:uid="{00000000-0005-0000-0000-00002F0A0000}"/>
    <cellStyle name="Normal 2 11 3 2" xfId="2608" xr:uid="{00000000-0005-0000-0000-0000300A0000}"/>
    <cellStyle name="Normal 2 11 3 2 2" xfId="2609" xr:uid="{00000000-0005-0000-0000-0000310A0000}"/>
    <cellStyle name="Normal 2 11 3 3" xfId="2610" xr:uid="{00000000-0005-0000-0000-0000320A0000}"/>
    <cellStyle name="Normal 2 12" xfId="2611" xr:uid="{00000000-0005-0000-0000-0000330A0000}"/>
    <cellStyle name="Normal 2 12 2" xfId="2612" xr:uid="{00000000-0005-0000-0000-0000340A0000}"/>
    <cellStyle name="Normal 2 12 2 2" xfId="2613" xr:uid="{00000000-0005-0000-0000-0000350A0000}"/>
    <cellStyle name="Normal 2 12 3" xfId="2614" xr:uid="{00000000-0005-0000-0000-0000360A0000}"/>
    <cellStyle name="Normal 2 13" xfId="2615" xr:uid="{00000000-0005-0000-0000-0000370A0000}"/>
    <cellStyle name="Normal 2 13 10" xfId="4562" xr:uid="{00000000-0005-0000-0000-0000100D0000}"/>
    <cellStyle name="Normal 2 13 10 2" xfId="6237" xr:uid="{00000000-0005-0000-0000-0000110D0000}"/>
    <cellStyle name="Normal 2 13 10 2 2" xfId="9587" xr:uid="{00000000-0005-0000-0000-0000120D0000}"/>
    <cellStyle name="Normal 2 13 10 3" xfId="11262" xr:uid="{00000000-0005-0000-0000-0000130D0000}"/>
    <cellStyle name="Normal 2 13 10 4" xfId="7912" xr:uid="{00000000-0005-0000-0000-0000140D0000}"/>
    <cellStyle name="Normal 2 13 11" xfId="5293" xr:uid="{00000000-0005-0000-0000-0000150D0000}"/>
    <cellStyle name="Normal 2 13 11 2" xfId="8643" xr:uid="{00000000-0005-0000-0000-0000160D0000}"/>
    <cellStyle name="Normal 2 13 12" xfId="10318" xr:uid="{00000000-0005-0000-0000-0000170D0000}"/>
    <cellStyle name="Normal 2 13 13" xfId="6968" xr:uid="{00000000-0005-0000-0000-0000180D0000}"/>
    <cellStyle name="Normal 2 13 14" xfId="3408" xr:uid="{00000000-0005-0000-0000-00000F0D0000}"/>
    <cellStyle name="Normal 2 13 2" xfId="2616" xr:uid="{00000000-0005-0000-0000-0000380A0000}"/>
    <cellStyle name="Normal 2 13 2 10" xfId="5316" xr:uid="{00000000-0005-0000-0000-00001A0D0000}"/>
    <cellStyle name="Normal 2 13 2 10 2" xfId="8666" xr:uid="{00000000-0005-0000-0000-00001B0D0000}"/>
    <cellStyle name="Normal 2 13 2 11" xfId="10341" xr:uid="{00000000-0005-0000-0000-00001C0D0000}"/>
    <cellStyle name="Normal 2 13 2 12" xfId="6991" xr:uid="{00000000-0005-0000-0000-00001D0D0000}"/>
    <cellStyle name="Normal 2 13 2 13" xfId="3641" xr:uid="{00000000-0005-0000-0000-0000190D0000}"/>
    <cellStyle name="Normal 2 13 2 2" xfId="3680" xr:uid="{00000000-0005-0000-0000-00001E0D0000}"/>
    <cellStyle name="Normal 2 13 2 2 2" xfId="3798" xr:uid="{00000000-0005-0000-0000-00001F0D0000}"/>
    <cellStyle name="Normal 2 13 2 2 2 2" xfId="4034" xr:uid="{00000000-0005-0000-0000-0000200D0000}"/>
    <cellStyle name="Normal 2 13 2 2 2 2 2" xfId="5001" xr:uid="{00000000-0005-0000-0000-0000210D0000}"/>
    <cellStyle name="Normal 2 13 2 2 2 2 2 2" xfId="6676" xr:uid="{00000000-0005-0000-0000-0000220D0000}"/>
    <cellStyle name="Normal 2 13 2 2 2 2 2 2 2" xfId="10026" xr:uid="{00000000-0005-0000-0000-0000230D0000}"/>
    <cellStyle name="Normal 2 13 2 2 2 2 2 3" xfId="11701" xr:uid="{00000000-0005-0000-0000-0000240D0000}"/>
    <cellStyle name="Normal 2 13 2 2 2 2 2 4" xfId="8351" xr:uid="{00000000-0005-0000-0000-0000250D0000}"/>
    <cellStyle name="Normal 2 13 2 2 2 2 3" xfId="5709" xr:uid="{00000000-0005-0000-0000-0000260D0000}"/>
    <cellStyle name="Normal 2 13 2 2 2 2 3 2" xfId="9059" xr:uid="{00000000-0005-0000-0000-0000270D0000}"/>
    <cellStyle name="Normal 2 13 2 2 2 2 4" xfId="10734" xr:uid="{00000000-0005-0000-0000-0000280D0000}"/>
    <cellStyle name="Normal 2 13 2 2 2 2 5" xfId="7384" xr:uid="{00000000-0005-0000-0000-0000290D0000}"/>
    <cellStyle name="Normal 2 13 2 2 2 3" xfId="4270" xr:uid="{00000000-0005-0000-0000-00002A0D0000}"/>
    <cellStyle name="Normal 2 13 2 2 2 3 2" xfId="5237" xr:uid="{00000000-0005-0000-0000-00002B0D0000}"/>
    <cellStyle name="Normal 2 13 2 2 2 3 2 2" xfId="6912" xr:uid="{00000000-0005-0000-0000-00002C0D0000}"/>
    <cellStyle name="Normal 2 13 2 2 2 3 2 2 2" xfId="10262" xr:uid="{00000000-0005-0000-0000-00002D0D0000}"/>
    <cellStyle name="Normal 2 13 2 2 2 3 2 3" xfId="11937" xr:uid="{00000000-0005-0000-0000-00002E0D0000}"/>
    <cellStyle name="Normal 2 13 2 2 2 3 2 4" xfId="8587" xr:uid="{00000000-0005-0000-0000-00002F0D0000}"/>
    <cellStyle name="Normal 2 13 2 2 2 3 3" xfId="5945" xr:uid="{00000000-0005-0000-0000-0000300D0000}"/>
    <cellStyle name="Normal 2 13 2 2 2 3 3 2" xfId="9295" xr:uid="{00000000-0005-0000-0000-0000310D0000}"/>
    <cellStyle name="Normal 2 13 2 2 2 3 4" xfId="10970" xr:uid="{00000000-0005-0000-0000-0000320D0000}"/>
    <cellStyle name="Normal 2 13 2 2 2 3 5" xfId="7620" xr:uid="{00000000-0005-0000-0000-0000330D0000}"/>
    <cellStyle name="Normal 2 13 2 2 2 4" xfId="4506" xr:uid="{00000000-0005-0000-0000-0000340D0000}"/>
    <cellStyle name="Normal 2 13 2 2 2 4 2" xfId="6181" xr:uid="{00000000-0005-0000-0000-0000350D0000}"/>
    <cellStyle name="Normal 2 13 2 2 2 4 2 2" xfId="9531" xr:uid="{00000000-0005-0000-0000-0000360D0000}"/>
    <cellStyle name="Normal 2 13 2 2 2 4 3" xfId="11206" xr:uid="{00000000-0005-0000-0000-0000370D0000}"/>
    <cellStyle name="Normal 2 13 2 2 2 4 4" xfId="7856" xr:uid="{00000000-0005-0000-0000-0000380D0000}"/>
    <cellStyle name="Normal 2 13 2 2 2 5" xfId="4765" xr:uid="{00000000-0005-0000-0000-0000390D0000}"/>
    <cellStyle name="Normal 2 13 2 2 2 5 2" xfId="6440" xr:uid="{00000000-0005-0000-0000-00003A0D0000}"/>
    <cellStyle name="Normal 2 13 2 2 2 5 2 2" xfId="9790" xr:uid="{00000000-0005-0000-0000-00003B0D0000}"/>
    <cellStyle name="Normal 2 13 2 2 2 5 3" xfId="11465" xr:uid="{00000000-0005-0000-0000-00003C0D0000}"/>
    <cellStyle name="Normal 2 13 2 2 2 5 4" xfId="8115" xr:uid="{00000000-0005-0000-0000-00003D0D0000}"/>
    <cellStyle name="Normal 2 13 2 2 2 6" xfId="5473" xr:uid="{00000000-0005-0000-0000-00003E0D0000}"/>
    <cellStyle name="Normal 2 13 2 2 2 6 2" xfId="8823" xr:uid="{00000000-0005-0000-0000-00003F0D0000}"/>
    <cellStyle name="Normal 2 13 2 2 2 7" xfId="10498" xr:uid="{00000000-0005-0000-0000-0000400D0000}"/>
    <cellStyle name="Normal 2 13 2 2 2 8" xfId="7148" xr:uid="{00000000-0005-0000-0000-0000410D0000}"/>
    <cellStyle name="Normal 2 13 2 2 3" xfId="3916" xr:uid="{00000000-0005-0000-0000-0000420D0000}"/>
    <cellStyle name="Normal 2 13 2 2 3 2" xfId="4883" xr:uid="{00000000-0005-0000-0000-0000430D0000}"/>
    <cellStyle name="Normal 2 13 2 2 3 2 2" xfId="6558" xr:uid="{00000000-0005-0000-0000-0000440D0000}"/>
    <cellStyle name="Normal 2 13 2 2 3 2 2 2" xfId="9908" xr:uid="{00000000-0005-0000-0000-0000450D0000}"/>
    <cellStyle name="Normal 2 13 2 2 3 2 3" xfId="11583" xr:uid="{00000000-0005-0000-0000-0000460D0000}"/>
    <cellStyle name="Normal 2 13 2 2 3 2 4" xfId="8233" xr:uid="{00000000-0005-0000-0000-0000470D0000}"/>
    <cellStyle name="Normal 2 13 2 2 3 3" xfId="5591" xr:uid="{00000000-0005-0000-0000-0000480D0000}"/>
    <cellStyle name="Normal 2 13 2 2 3 3 2" xfId="8941" xr:uid="{00000000-0005-0000-0000-0000490D0000}"/>
    <cellStyle name="Normal 2 13 2 2 3 4" xfId="10616" xr:uid="{00000000-0005-0000-0000-00004A0D0000}"/>
    <cellStyle name="Normal 2 13 2 2 3 5" xfId="7266" xr:uid="{00000000-0005-0000-0000-00004B0D0000}"/>
    <cellStyle name="Normal 2 13 2 2 4" xfId="4152" xr:uid="{00000000-0005-0000-0000-00004C0D0000}"/>
    <cellStyle name="Normal 2 13 2 2 4 2" xfId="5119" xr:uid="{00000000-0005-0000-0000-00004D0D0000}"/>
    <cellStyle name="Normal 2 13 2 2 4 2 2" xfId="6794" xr:uid="{00000000-0005-0000-0000-00004E0D0000}"/>
    <cellStyle name="Normal 2 13 2 2 4 2 2 2" xfId="10144" xr:uid="{00000000-0005-0000-0000-00004F0D0000}"/>
    <cellStyle name="Normal 2 13 2 2 4 2 3" xfId="11819" xr:uid="{00000000-0005-0000-0000-0000500D0000}"/>
    <cellStyle name="Normal 2 13 2 2 4 2 4" xfId="8469" xr:uid="{00000000-0005-0000-0000-0000510D0000}"/>
    <cellStyle name="Normal 2 13 2 2 4 3" xfId="5827" xr:uid="{00000000-0005-0000-0000-0000520D0000}"/>
    <cellStyle name="Normal 2 13 2 2 4 3 2" xfId="9177" xr:uid="{00000000-0005-0000-0000-0000530D0000}"/>
    <cellStyle name="Normal 2 13 2 2 4 4" xfId="10852" xr:uid="{00000000-0005-0000-0000-0000540D0000}"/>
    <cellStyle name="Normal 2 13 2 2 4 5" xfId="7502" xr:uid="{00000000-0005-0000-0000-0000550D0000}"/>
    <cellStyle name="Normal 2 13 2 2 5" xfId="4388" xr:uid="{00000000-0005-0000-0000-0000560D0000}"/>
    <cellStyle name="Normal 2 13 2 2 5 2" xfId="6063" xr:uid="{00000000-0005-0000-0000-0000570D0000}"/>
    <cellStyle name="Normal 2 13 2 2 5 2 2" xfId="9413" xr:uid="{00000000-0005-0000-0000-0000580D0000}"/>
    <cellStyle name="Normal 2 13 2 2 5 3" xfId="11088" xr:uid="{00000000-0005-0000-0000-0000590D0000}"/>
    <cellStyle name="Normal 2 13 2 2 5 4" xfId="7738" xr:uid="{00000000-0005-0000-0000-00005A0D0000}"/>
    <cellStyle name="Normal 2 13 2 2 6" xfId="4647" xr:uid="{00000000-0005-0000-0000-00005B0D0000}"/>
    <cellStyle name="Normal 2 13 2 2 6 2" xfId="6322" xr:uid="{00000000-0005-0000-0000-00005C0D0000}"/>
    <cellStyle name="Normal 2 13 2 2 6 2 2" xfId="9672" xr:uid="{00000000-0005-0000-0000-00005D0D0000}"/>
    <cellStyle name="Normal 2 13 2 2 6 3" xfId="11347" xr:uid="{00000000-0005-0000-0000-00005E0D0000}"/>
    <cellStyle name="Normal 2 13 2 2 6 4" xfId="7997" xr:uid="{00000000-0005-0000-0000-00005F0D0000}"/>
    <cellStyle name="Normal 2 13 2 2 7" xfId="5355" xr:uid="{00000000-0005-0000-0000-0000600D0000}"/>
    <cellStyle name="Normal 2 13 2 2 7 2" xfId="8705" xr:uid="{00000000-0005-0000-0000-0000610D0000}"/>
    <cellStyle name="Normal 2 13 2 2 8" xfId="10380" xr:uid="{00000000-0005-0000-0000-0000620D0000}"/>
    <cellStyle name="Normal 2 13 2 2 9" xfId="7030" xr:uid="{00000000-0005-0000-0000-0000630D0000}"/>
    <cellStyle name="Normal 2 13 2 3" xfId="3704" xr:uid="{00000000-0005-0000-0000-0000640D0000}"/>
    <cellStyle name="Normal 2 13 2 3 2" xfId="3822" xr:uid="{00000000-0005-0000-0000-0000650D0000}"/>
    <cellStyle name="Normal 2 13 2 3 2 2" xfId="4058" xr:uid="{00000000-0005-0000-0000-0000660D0000}"/>
    <cellStyle name="Normal 2 13 2 3 2 2 2" xfId="5025" xr:uid="{00000000-0005-0000-0000-0000670D0000}"/>
    <cellStyle name="Normal 2 13 2 3 2 2 2 2" xfId="6700" xr:uid="{00000000-0005-0000-0000-0000680D0000}"/>
    <cellStyle name="Normal 2 13 2 3 2 2 2 2 2" xfId="10050" xr:uid="{00000000-0005-0000-0000-0000690D0000}"/>
    <cellStyle name="Normal 2 13 2 3 2 2 2 3" xfId="11725" xr:uid="{00000000-0005-0000-0000-00006A0D0000}"/>
    <cellStyle name="Normal 2 13 2 3 2 2 2 4" xfId="8375" xr:uid="{00000000-0005-0000-0000-00006B0D0000}"/>
    <cellStyle name="Normal 2 13 2 3 2 2 3" xfId="5733" xr:uid="{00000000-0005-0000-0000-00006C0D0000}"/>
    <cellStyle name="Normal 2 13 2 3 2 2 3 2" xfId="9083" xr:uid="{00000000-0005-0000-0000-00006D0D0000}"/>
    <cellStyle name="Normal 2 13 2 3 2 2 4" xfId="10758" xr:uid="{00000000-0005-0000-0000-00006E0D0000}"/>
    <cellStyle name="Normal 2 13 2 3 2 2 5" xfId="7408" xr:uid="{00000000-0005-0000-0000-00006F0D0000}"/>
    <cellStyle name="Normal 2 13 2 3 2 3" xfId="4294" xr:uid="{00000000-0005-0000-0000-0000700D0000}"/>
    <cellStyle name="Normal 2 13 2 3 2 3 2" xfId="5261" xr:uid="{00000000-0005-0000-0000-0000710D0000}"/>
    <cellStyle name="Normal 2 13 2 3 2 3 2 2" xfId="6936" xr:uid="{00000000-0005-0000-0000-0000720D0000}"/>
    <cellStyle name="Normal 2 13 2 3 2 3 2 2 2" xfId="10286" xr:uid="{00000000-0005-0000-0000-0000730D0000}"/>
    <cellStyle name="Normal 2 13 2 3 2 3 2 3" xfId="11961" xr:uid="{00000000-0005-0000-0000-0000740D0000}"/>
    <cellStyle name="Normal 2 13 2 3 2 3 2 4" xfId="8611" xr:uid="{00000000-0005-0000-0000-0000750D0000}"/>
    <cellStyle name="Normal 2 13 2 3 2 3 3" xfId="5969" xr:uid="{00000000-0005-0000-0000-0000760D0000}"/>
    <cellStyle name="Normal 2 13 2 3 2 3 3 2" xfId="9319" xr:uid="{00000000-0005-0000-0000-0000770D0000}"/>
    <cellStyle name="Normal 2 13 2 3 2 3 4" xfId="10994" xr:uid="{00000000-0005-0000-0000-0000780D0000}"/>
    <cellStyle name="Normal 2 13 2 3 2 3 5" xfId="7644" xr:uid="{00000000-0005-0000-0000-0000790D0000}"/>
    <cellStyle name="Normal 2 13 2 3 2 4" xfId="4530" xr:uid="{00000000-0005-0000-0000-00007A0D0000}"/>
    <cellStyle name="Normal 2 13 2 3 2 4 2" xfId="6205" xr:uid="{00000000-0005-0000-0000-00007B0D0000}"/>
    <cellStyle name="Normal 2 13 2 3 2 4 2 2" xfId="9555" xr:uid="{00000000-0005-0000-0000-00007C0D0000}"/>
    <cellStyle name="Normal 2 13 2 3 2 4 3" xfId="11230" xr:uid="{00000000-0005-0000-0000-00007D0D0000}"/>
    <cellStyle name="Normal 2 13 2 3 2 4 4" xfId="7880" xr:uid="{00000000-0005-0000-0000-00007E0D0000}"/>
    <cellStyle name="Normal 2 13 2 3 2 5" xfId="4789" xr:uid="{00000000-0005-0000-0000-00007F0D0000}"/>
    <cellStyle name="Normal 2 13 2 3 2 5 2" xfId="6464" xr:uid="{00000000-0005-0000-0000-0000800D0000}"/>
    <cellStyle name="Normal 2 13 2 3 2 5 2 2" xfId="9814" xr:uid="{00000000-0005-0000-0000-0000810D0000}"/>
    <cellStyle name="Normal 2 13 2 3 2 5 3" xfId="11489" xr:uid="{00000000-0005-0000-0000-0000820D0000}"/>
    <cellStyle name="Normal 2 13 2 3 2 5 4" xfId="8139" xr:uid="{00000000-0005-0000-0000-0000830D0000}"/>
    <cellStyle name="Normal 2 13 2 3 2 6" xfId="5497" xr:uid="{00000000-0005-0000-0000-0000840D0000}"/>
    <cellStyle name="Normal 2 13 2 3 2 6 2" xfId="8847" xr:uid="{00000000-0005-0000-0000-0000850D0000}"/>
    <cellStyle name="Normal 2 13 2 3 2 7" xfId="10522" xr:uid="{00000000-0005-0000-0000-0000860D0000}"/>
    <cellStyle name="Normal 2 13 2 3 2 8" xfId="7172" xr:uid="{00000000-0005-0000-0000-0000870D0000}"/>
    <cellStyle name="Normal 2 13 2 3 3" xfId="3940" xr:uid="{00000000-0005-0000-0000-0000880D0000}"/>
    <cellStyle name="Normal 2 13 2 3 3 2" xfId="4907" xr:uid="{00000000-0005-0000-0000-0000890D0000}"/>
    <cellStyle name="Normal 2 13 2 3 3 2 2" xfId="6582" xr:uid="{00000000-0005-0000-0000-00008A0D0000}"/>
    <cellStyle name="Normal 2 13 2 3 3 2 2 2" xfId="9932" xr:uid="{00000000-0005-0000-0000-00008B0D0000}"/>
    <cellStyle name="Normal 2 13 2 3 3 2 3" xfId="11607" xr:uid="{00000000-0005-0000-0000-00008C0D0000}"/>
    <cellStyle name="Normal 2 13 2 3 3 2 4" xfId="8257" xr:uid="{00000000-0005-0000-0000-00008D0D0000}"/>
    <cellStyle name="Normal 2 13 2 3 3 3" xfId="5615" xr:uid="{00000000-0005-0000-0000-00008E0D0000}"/>
    <cellStyle name="Normal 2 13 2 3 3 3 2" xfId="8965" xr:uid="{00000000-0005-0000-0000-00008F0D0000}"/>
    <cellStyle name="Normal 2 13 2 3 3 4" xfId="10640" xr:uid="{00000000-0005-0000-0000-0000900D0000}"/>
    <cellStyle name="Normal 2 13 2 3 3 5" xfId="7290" xr:uid="{00000000-0005-0000-0000-0000910D0000}"/>
    <cellStyle name="Normal 2 13 2 3 4" xfId="4176" xr:uid="{00000000-0005-0000-0000-0000920D0000}"/>
    <cellStyle name="Normal 2 13 2 3 4 2" xfId="5143" xr:uid="{00000000-0005-0000-0000-0000930D0000}"/>
    <cellStyle name="Normal 2 13 2 3 4 2 2" xfId="6818" xr:uid="{00000000-0005-0000-0000-0000940D0000}"/>
    <cellStyle name="Normal 2 13 2 3 4 2 2 2" xfId="10168" xr:uid="{00000000-0005-0000-0000-0000950D0000}"/>
    <cellStyle name="Normal 2 13 2 3 4 2 3" xfId="11843" xr:uid="{00000000-0005-0000-0000-0000960D0000}"/>
    <cellStyle name="Normal 2 13 2 3 4 2 4" xfId="8493" xr:uid="{00000000-0005-0000-0000-0000970D0000}"/>
    <cellStyle name="Normal 2 13 2 3 4 3" xfId="5851" xr:uid="{00000000-0005-0000-0000-0000980D0000}"/>
    <cellStyle name="Normal 2 13 2 3 4 3 2" xfId="9201" xr:uid="{00000000-0005-0000-0000-0000990D0000}"/>
    <cellStyle name="Normal 2 13 2 3 4 4" xfId="10876" xr:uid="{00000000-0005-0000-0000-00009A0D0000}"/>
    <cellStyle name="Normal 2 13 2 3 4 5" xfId="7526" xr:uid="{00000000-0005-0000-0000-00009B0D0000}"/>
    <cellStyle name="Normal 2 13 2 3 5" xfId="4412" xr:uid="{00000000-0005-0000-0000-00009C0D0000}"/>
    <cellStyle name="Normal 2 13 2 3 5 2" xfId="6087" xr:uid="{00000000-0005-0000-0000-00009D0D0000}"/>
    <cellStyle name="Normal 2 13 2 3 5 2 2" xfId="9437" xr:uid="{00000000-0005-0000-0000-00009E0D0000}"/>
    <cellStyle name="Normal 2 13 2 3 5 3" xfId="11112" xr:uid="{00000000-0005-0000-0000-00009F0D0000}"/>
    <cellStyle name="Normal 2 13 2 3 5 4" xfId="7762" xr:uid="{00000000-0005-0000-0000-0000A00D0000}"/>
    <cellStyle name="Normal 2 13 2 3 6" xfId="4671" xr:uid="{00000000-0005-0000-0000-0000A10D0000}"/>
    <cellStyle name="Normal 2 13 2 3 6 2" xfId="6346" xr:uid="{00000000-0005-0000-0000-0000A20D0000}"/>
    <cellStyle name="Normal 2 13 2 3 6 2 2" xfId="9696" xr:uid="{00000000-0005-0000-0000-0000A30D0000}"/>
    <cellStyle name="Normal 2 13 2 3 6 3" xfId="11371" xr:uid="{00000000-0005-0000-0000-0000A40D0000}"/>
    <cellStyle name="Normal 2 13 2 3 6 4" xfId="8021" xr:uid="{00000000-0005-0000-0000-0000A50D0000}"/>
    <cellStyle name="Normal 2 13 2 3 7" xfId="5379" xr:uid="{00000000-0005-0000-0000-0000A60D0000}"/>
    <cellStyle name="Normal 2 13 2 3 7 2" xfId="8729" xr:uid="{00000000-0005-0000-0000-0000A70D0000}"/>
    <cellStyle name="Normal 2 13 2 3 8" xfId="10404" xr:uid="{00000000-0005-0000-0000-0000A80D0000}"/>
    <cellStyle name="Normal 2 13 2 3 9" xfId="7054" xr:uid="{00000000-0005-0000-0000-0000A90D0000}"/>
    <cellStyle name="Normal 2 13 2 4" xfId="3728" xr:uid="{00000000-0005-0000-0000-0000AA0D0000}"/>
    <cellStyle name="Normal 2 13 2 4 2" xfId="3846" xr:uid="{00000000-0005-0000-0000-0000AB0D0000}"/>
    <cellStyle name="Normal 2 13 2 4 2 2" xfId="4082" xr:uid="{00000000-0005-0000-0000-0000AC0D0000}"/>
    <cellStyle name="Normal 2 13 2 4 2 2 2" xfId="5049" xr:uid="{00000000-0005-0000-0000-0000AD0D0000}"/>
    <cellStyle name="Normal 2 13 2 4 2 2 2 2" xfId="6724" xr:uid="{00000000-0005-0000-0000-0000AE0D0000}"/>
    <cellStyle name="Normal 2 13 2 4 2 2 2 2 2" xfId="10074" xr:uid="{00000000-0005-0000-0000-0000AF0D0000}"/>
    <cellStyle name="Normal 2 13 2 4 2 2 2 3" xfId="11749" xr:uid="{00000000-0005-0000-0000-0000B00D0000}"/>
    <cellStyle name="Normal 2 13 2 4 2 2 2 4" xfId="8399" xr:uid="{00000000-0005-0000-0000-0000B10D0000}"/>
    <cellStyle name="Normal 2 13 2 4 2 2 3" xfId="5757" xr:uid="{00000000-0005-0000-0000-0000B20D0000}"/>
    <cellStyle name="Normal 2 13 2 4 2 2 3 2" xfId="9107" xr:uid="{00000000-0005-0000-0000-0000B30D0000}"/>
    <cellStyle name="Normal 2 13 2 4 2 2 4" xfId="10782" xr:uid="{00000000-0005-0000-0000-0000B40D0000}"/>
    <cellStyle name="Normal 2 13 2 4 2 2 5" xfId="7432" xr:uid="{00000000-0005-0000-0000-0000B50D0000}"/>
    <cellStyle name="Normal 2 13 2 4 2 3" xfId="4318" xr:uid="{00000000-0005-0000-0000-0000B60D0000}"/>
    <cellStyle name="Normal 2 13 2 4 2 3 2" xfId="5285" xr:uid="{00000000-0005-0000-0000-0000B70D0000}"/>
    <cellStyle name="Normal 2 13 2 4 2 3 2 2" xfId="6960" xr:uid="{00000000-0005-0000-0000-0000B80D0000}"/>
    <cellStyle name="Normal 2 13 2 4 2 3 2 2 2" xfId="10310" xr:uid="{00000000-0005-0000-0000-0000B90D0000}"/>
    <cellStyle name="Normal 2 13 2 4 2 3 2 3" xfId="11985" xr:uid="{00000000-0005-0000-0000-0000BA0D0000}"/>
    <cellStyle name="Normal 2 13 2 4 2 3 2 4" xfId="8635" xr:uid="{00000000-0005-0000-0000-0000BB0D0000}"/>
    <cellStyle name="Normal 2 13 2 4 2 3 3" xfId="5993" xr:uid="{00000000-0005-0000-0000-0000BC0D0000}"/>
    <cellStyle name="Normal 2 13 2 4 2 3 3 2" xfId="9343" xr:uid="{00000000-0005-0000-0000-0000BD0D0000}"/>
    <cellStyle name="Normal 2 13 2 4 2 3 4" xfId="11018" xr:uid="{00000000-0005-0000-0000-0000BE0D0000}"/>
    <cellStyle name="Normal 2 13 2 4 2 3 5" xfId="7668" xr:uid="{00000000-0005-0000-0000-0000BF0D0000}"/>
    <cellStyle name="Normal 2 13 2 4 2 4" xfId="4554" xr:uid="{00000000-0005-0000-0000-0000C00D0000}"/>
    <cellStyle name="Normal 2 13 2 4 2 4 2" xfId="6229" xr:uid="{00000000-0005-0000-0000-0000C10D0000}"/>
    <cellStyle name="Normal 2 13 2 4 2 4 2 2" xfId="9579" xr:uid="{00000000-0005-0000-0000-0000C20D0000}"/>
    <cellStyle name="Normal 2 13 2 4 2 4 3" xfId="11254" xr:uid="{00000000-0005-0000-0000-0000C30D0000}"/>
    <cellStyle name="Normal 2 13 2 4 2 4 4" xfId="7904" xr:uid="{00000000-0005-0000-0000-0000C40D0000}"/>
    <cellStyle name="Normal 2 13 2 4 2 5" xfId="4813" xr:uid="{00000000-0005-0000-0000-0000C50D0000}"/>
    <cellStyle name="Normal 2 13 2 4 2 5 2" xfId="6488" xr:uid="{00000000-0005-0000-0000-0000C60D0000}"/>
    <cellStyle name="Normal 2 13 2 4 2 5 2 2" xfId="9838" xr:uid="{00000000-0005-0000-0000-0000C70D0000}"/>
    <cellStyle name="Normal 2 13 2 4 2 5 3" xfId="11513" xr:uid="{00000000-0005-0000-0000-0000C80D0000}"/>
    <cellStyle name="Normal 2 13 2 4 2 5 4" xfId="8163" xr:uid="{00000000-0005-0000-0000-0000C90D0000}"/>
    <cellStyle name="Normal 2 13 2 4 2 6" xfId="5521" xr:uid="{00000000-0005-0000-0000-0000CA0D0000}"/>
    <cellStyle name="Normal 2 13 2 4 2 6 2" xfId="8871" xr:uid="{00000000-0005-0000-0000-0000CB0D0000}"/>
    <cellStyle name="Normal 2 13 2 4 2 7" xfId="10546" xr:uid="{00000000-0005-0000-0000-0000CC0D0000}"/>
    <cellStyle name="Normal 2 13 2 4 2 8" xfId="7196" xr:uid="{00000000-0005-0000-0000-0000CD0D0000}"/>
    <cellStyle name="Normal 2 13 2 4 3" xfId="3964" xr:uid="{00000000-0005-0000-0000-0000CE0D0000}"/>
    <cellStyle name="Normal 2 13 2 4 3 2" xfId="4931" xr:uid="{00000000-0005-0000-0000-0000CF0D0000}"/>
    <cellStyle name="Normal 2 13 2 4 3 2 2" xfId="6606" xr:uid="{00000000-0005-0000-0000-0000D00D0000}"/>
    <cellStyle name="Normal 2 13 2 4 3 2 2 2" xfId="9956" xr:uid="{00000000-0005-0000-0000-0000D10D0000}"/>
    <cellStyle name="Normal 2 13 2 4 3 2 3" xfId="11631" xr:uid="{00000000-0005-0000-0000-0000D20D0000}"/>
    <cellStyle name="Normal 2 13 2 4 3 2 4" xfId="8281" xr:uid="{00000000-0005-0000-0000-0000D30D0000}"/>
    <cellStyle name="Normal 2 13 2 4 3 3" xfId="5639" xr:uid="{00000000-0005-0000-0000-0000D40D0000}"/>
    <cellStyle name="Normal 2 13 2 4 3 3 2" xfId="8989" xr:uid="{00000000-0005-0000-0000-0000D50D0000}"/>
    <cellStyle name="Normal 2 13 2 4 3 4" xfId="10664" xr:uid="{00000000-0005-0000-0000-0000D60D0000}"/>
    <cellStyle name="Normal 2 13 2 4 3 5" xfId="7314" xr:uid="{00000000-0005-0000-0000-0000D70D0000}"/>
    <cellStyle name="Normal 2 13 2 4 4" xfId="4200" xr:uid="{00000000-0005-0000-0000-0000D80D0000}"/>
    <cellStyle name="Normal 2 13 2 4 4 2" xfId="5167" xr:uid="{00000000-0005-0000-0000-0000D90D0000}"/>
    <cellStyle name="Normal 2 13 2 4 4 2 2" xfId="6842" xr:uid="{00000000-0005-0000-0000-0000DA0D0000}"/>
    <cellStyle name="Normal 2 13 2 4 4 2 2 2" xfId="10192" xr:uid="{00000000-0005-0000-0000-0000DB0D0000}"/>
    <cellStyle name="Normal 2 13 2 4 4 2 3" xfId="11867" xr:uid="{00000000-0005-0000-0000-0000DC0D0000}"/>
    <cellStyle name="Normal 2 13 2 4 4 2 4" xfId="8517" xr:uid="{00000000-0005-0000-0000-0000DD0D0000}"/>
    <cellStyle name="Normal 2 13 2 4 4 3" xfId="5875" xr:uid="{00000000-0005-0000-0000-0000DE0D0000}"/>
    <cellStyle name="Normal 2 13 2 4 4 3 2" xfId="9225" xr:uid="{00000000-0005-0000-0000-0000DF0D0000}"/>
    <cellStyle name="Normal 2 13 2 4 4 4" xfId="10900" xr:uid="{00000000-0005-0000-0000-0000E00D0000}"/>
    <cellStyle name="Normal 2 13 2 4 4 5" xfId="7550" xr:uid="{00000000-0005-0000-0000-0000E10D0000}"/>
    <cellStyle name="Normal 2 13 2 4 5" xfId="4436" xr:uid="{00000000-0005-0000-0000-0000E20D0000}"/>
    <cellStyle name="Normal 2 13 2 4 5 2" xfId="6111" xr:uid="{00000000-0005-0000-0000-0000E30D0000}"/>
    <cellStyle name="Normal 2 13 2 4 5 2 2" xfId="9461" xr:uid="{00000000-0005-0000-0000-0000E40D0000}"/>
    <cellStyle name="Normal 2 13 2 4 5 3" xfId="11136" xr:uid="{00000000-0005-0000-0000-0000E50D0000}"/>
    <cellStyle name="Normal 2 13 2 4 5 4" xfId="7786" xr:uid="{00000000-0005-0000-0000-0000E60D0000}"/>
    <cellStyle name="Normal 2 13 2 4 6" xfId="4695" xr:uid="{00000000-0005-0000-0000-0000E70D0000}"/>
    <cellStyle name="Normal 2 13 2 4 6 2" xfId="6370" xr:uid="{00000000-0005-0000-0000-0000E80D0000}"/>
    <cellStyle name="Normal 2 13 2 4 6 2 2" xfId="9720" xr:uid="{00000000-0005-0000-0000-0000E90D0000}"/>
    <cellStyle name="Normal 2 13 2 4 6 3" xfId="11395" xr:uid="{00000000-0005-0000-0000-0000EA0D0000}"/>
    <cellStyle name="Normal 2 13 2 4 6 4" xfId="8045" xr:uid="{00000000-0005-0000-0000-0000EB0D0000}"/>
    <cellStyle name="Normal 2 13 2 4 7" xfId="5403" xr:uid="{00000000-0005-0000-0000-0000EC0D0000}"/>
    <cellStyle name="Normal 2 13 2 4 7 2" xfId="8753" xr:uid="{00000000-0005-0000-0000-0000ED0D0000}"/>
    <cellStyle name="Normal 2 13 2 4 8" xfId="10428" xr:uid="{00000000-0005-0000-0000-0000EE0D0000}"/>
    <cellStyle name="Normal 2 13 2 4 9" xfId="7078" xr:uid="{00000000-0005-0000-0000-0000EF0D0000}"/>
    <cellStyle name="Normal 2 13 2 5" xfId="3752" xr:uid="{00000000-0005-0000-0000-0000F00D0000}"/>
    <cellStyle name="Normal 2 13 2 5 2" xfId="3988" xr:uid="{00000000-0005-0000-0000-0000F10D0000}"/>
    <cellStyle name="Normal 2 13 2 5 2 2" xfId="4955" xr:uid="{00000000-0005-0000-0000-0000F20D0000}"/>
    <cellStyle name="Normal 2 13 2 5 2 2 2" xfId="6630" xr:uid="{00000000-0005-0000-0000-0000F30D0000}"/>
    <cellStyle name="Normal 2 13 2 5 2 2 2 2" xfId="9980" xr:uid="{00000000-0005-0000-0000-0000F40D0000}"/>
    <cellStyle name="Normal 2 13 2 5 2 2 3" xfId="11655" xr:uid="{00000000-0005-0000-0000-0000F50D0000}"/>
    <cellStyle name="Normal 2 13 2 5 2 2 4" xfId="8305" xr:uid="{00000000-0005-0000-0000-0000F60D0000}"/>
    <cellStyle name="Normal 2 13 2 5 2 3" xfId="5663" xr:uid="{00000000-0005-0000-0000-0000F70D0000}"/>
    <cellStyle name="Normal 2 13 2 5 2 3 2" xfId="9013" xr:uid="{00000000-0005-0000-0000-0000F80D0000}"/>
    <cellStyle name="Normal 2 13 2 5 2 4" xfId="10688" xr:uid="{00000000-0005-0000-0000-0000F90D0000}"/>
    <cellStyle name="Normal 2 13 2 5 2 5" xfId="7338" xr:uid="{00000000-0005-0000-0000-0000FA0D0000}"/>
    <cellStyle name="Normal 2 13 2 5 3" xfId="4224" xr:uid="{00000000-0005-0000-0000-0000FB0D0000}"/>
    <cellStyle name="Normal 2 13 2 5 3 2" xfId="5191" xr:uid="{00000000-0005-0000-0000-0000FC0D0000}"/>
    <cellStyle name="Normal 2 13 2 5 3 2 2" xfId="6866" xr:uid="{00000000-0005-0000-0000-0000FD0D0000}"/>
    <cellStyle name="Normal 2 13 2 5 3 2 2 2" xfId="10216" xr:uid="{00000000-0005-0000-0000-0000FE0D0000}"/>
    <cellStyle name="Normal 2 13 2 5 3 2 3" xfId="11891" xr:uid="{00000000-0005-0000-0000-0000FF0D0000}"/>
    <cellStyle name="Normal 2 13 2 5 3 2 4" xfId="8541" xr:uid="{00000000-0005-0000-0000-0000000E0000}"/>
    <cellStyle name="Normal 2 13 2 5 3 3" xfId="5899" xr:uid="{00000000-0005-0000-0000-0000010E0000}"/>
    <cellStyle name="Normal 2 13 2 5 3 3 2" xfId="9249" xr:uid="{00000000-0005-0000-0000-0000020E0000}"/>
    <cellStyle name="Normal 2 13 2 5 3 4" xfId="10924" xr:uid="{00000000-0005-0000-0000-0000030E0000}"/>
    <cellStyle name="Normal 2 13 2 5 3 5" xfId="7574" xr:uid="{00000000-0005-0000-0000-0000040E0000}"/>
    <cellStyle name="Normal 2 13 2 5 4" xfId="4460" xr:uid="{00000000-0005-0000-0000-0000050E0000}"/>
    <cellStyle name="Normal 2 13 2 5 4 2" xfId="6135" xr:uid="{00000000-0005-0000-0000-0000060E0000}"/>
    <cellStyle name="Normal 2 13 2 5 4 2 2" xfId="9485" xr:uid="{00000000-0005-0000-0000-0000070E0000}"/>
    <cellStyle name="Normal 2 13 2 5 4 3" xfId="11160" xr:uid="{00000000-0005-0000-0000-0000080E0000}"/>
    <cellStyle name="Normal 2 13 2 5 4 4" xfId="7810" xr:uid="{00000000-0005-0000-0000-0000090E0000}"/>
    <cellStyle name="Normal 2 13 2 5 5" xfId="4719" xr:uid="{00000000-0005-0000-0000-00000A0E0000}"/>
    <cellStyle name="Normal 2 13 2 5 5 2" xfId="6394" xr:uid="{00000000-0005-0000-0000-00000B0E0000}"/>
    <cellStyle name="Normal 2 13 2 5 5 2 2" xfId="9744" xr:uid="{00000000-0005-0000-0000-00000C0E0000}"/>
    <cellStyle name="Normal 2 13 2 5 5 3" xfId="11419" xr:uid="{00000000-0005-0000-0000-00000D0E0000}"/>
    <cellStyle name="Normal 2 13 2 5 5 4" xfId="8069" xr:uid="{00000000-0005-0000-0000-00000E0E0000}"/>
    <cellStyle name="Normal 2 13 2 5 6" xfId="5427" xr:uid="{00000000-0005-0000-0000-00000F0E0000}"/>
    <cellStyle name="Normal 2 13 2 5 6 2" xfId="8777" xr:uid="{00000000-0005-0000-0000-0000100E0000}"/>
    <cellStyle name="Normal 2 13 2 5 7" xfId="10452" xr:uid="{00000000-0005-0000-0000-0000110E0000}"/>
    <cellStyle name="Normal 2 13 2 5 8" xfId="7102" xr:uid="{00000000-0005-0000-0000-0000120E0000}"/>
    <cellStyle name="Normal 2 13 2 6" xfId="3877" xr:uid="{00000000-0005-0000-0000-0000130E0000}"/>
    <cellStyle name="Normal 2 13 2 6 2" xfId="4844" xr:uid="{00000000-0005-0000-0000-0000140E0000}"/>
    <cellStyle name="Normal 2 13 2 6 2 2" xfId="6519" xr:uid="{00000000-0005-0000-0000-0000150E0000}"/>
    <cellStyle name="Normal 2 13 2 6 2 2 2" xfId="9869" xr:uid="{00000000-0005-0000-0000-0000160E0000}"/>
    <cellStyle name="Normal 2 13 2 6 2 3" xfId="11544" xr:uid="{00000000-0005-0000-0000-0000170E0000}"/>
    <cellStyle name="Normal 2 13 2 6 2 4" xfId="8194" xr:uid="{00000000-0005-0000-0000-0000180E0000}"/>
    <cellStyle name="Normal 2 13 2 6 3" xfId="5552" xr:uid="{00000000-0005-0000-0000-0000190E0000}"/>
    <cellStyle name="Normal 2 13 2 6 3 2" xfId="8902" xr:uid="{00000000-0005-0000-0000-00001A0E0000}"/>
    <cellStyle name="Normal 2 13 2 6 4" xfId="10577" xr:uid="{00000000-0005-0000-0000-00001B0E0000}"/>
    <cellStyle name="Normal 2 13 2 6 5" xfId="7227" xr:uid="{00000000-0005-0000-0000-00001C0E0000}"/>
    <cellStyle name="Normal 2 13 2 7" xfId="4113" xr:uid="{00000000-0005-0000-0000-00001D0E0000}"/>
    <cellStyle name="Normal 2 13 2 7 2" xfId="5080" xr:uid="{00000000-0005-0000-0000-00001E0E0000}"/>
    <cellStyle name="Normal 2 13 2 7 2 2" xfId="6755" xr:uid="{00000000-0005-0000-0000-00001F0E0000}"/>
    <cellStyle name="Normal 2 13 2 7 2 2 2" xfId="10105" xr:uid="{00000000-0005-0000-0000-0000200E0000}"/>
    <cellStyle name="Normal 2 13 2 7 2 3" xfId="11780" xr:uid="{00000000-0005-0000-0000-0000210E0000}"/>
    <cellStyle name="Normal 2 13 2 7 2 4" xfId="8430" xr:uid="{00000000-0005-0000-0000-0000220E0000}"/>
    <cellStyle name="Normal 2 13 2 7 3" xfId="5788" xr:uid="{00000000-0005-0000-0000-0000230E0000}"/>
    <cellStyle name="Normal 2 13 2 7 3 2" xfId="9138" xr:uid="{00000000-0005-0000-0000-0000240E0000}"/>
    <cellStyle name="Normal 2 13 2 7 4" xfId="10813" xr:uid="{00000000-0005-0000-0000-0000250E0000}"/>
    <cellStyle name="Normal 2 13 2 7 5" xfId="7463" xr:uid="{00000000-0005-0000-0000-0000260E0000}"/>
    <cellStyle name="Normal 2 13 2 8" xfId="4349" xr:uid="{00000000-0005-0000-0000-0000270E0000}"/>
    <cellStyle name="Normal 2 13 2 8 2" xfId="6024" xr:uid="{00000000-0005-0000-0000-0000280E0000}"/>
    <cellStyle name="Normal 2 13 2 8 2 2" xfId="9374" xr:uid="{00000000-0005-0000-0000-0000290E0000}"/>
    <cellStyle name="Normal 2 13 2 8 3" xfId="11049" xr:uid="{00000000-0005-0000-0000-00002A0E0000}"/>
    <cellStyle name="Normal 2 13 2 8 4" xfId="7699" xr:uid="{00000000-0005-0000-0000-00002B0E0000}"/>
    <cellStyle name="Normal 2 13 2 9" xfId="4608" xr:uid="{00000000-0005-0000-0000-00002C0E0000}"/>
    <cellStyle name="Normal 2 13 2 9 2" xfId="6283" xr:uid="{00000000-0005-0000-0000-00002D0E0000}"/>
    <cellStyle name="Normal 2 13 2 9 2 2" xfId="9633" xr:uid="{00000000-0005-0000-0000-00002E0E0000}"/>
    <cellStyle name="Normal 2 13 2 9 3" xfId="11308" xr:uid="{00000000-0005-0000-0000-00002F0E0000}"/>
    <cellStyle name="Normal 2 13 2 9 4" xfId="7958" xr:uid="{00000000-0005-0000-0000-0000300E0000}"/>
    <cellStyle name="Normal 2 13 3" xfId="2617" xr:uid="{00000000-0005-0000-0000-0000390A0000}"/>
    <cellStyle name="Normal 2 13 3 10" xfId="3664" xr:uid="{00000000-0005-0000-0000-0000310E0000}"/>
    <cellStyle name="Normal 2 13 3 2" xfId="3782" xr:uid="{00000000-0005-0000-0000-0000320E0000}"/>
    <cellStyle name="Normal 2 13 3 2 2" xfId="4018" xr:uid="{00000000-0005-0000-0000-0000330E0000}"/>
    <cellStyle name="Normal 2 13 3 2 2 2" xfId="4985" xr:uid="{00000000-0005-0000-0000-0000340E0000}"/>
    <cellStyle name="Normal 2 13 3 2 2 2 2" xfId="6660" xr:uid="{00000000-0005-0000-0000-0000350E0000}"/>
    <cellStyle name="Normal 2 13 3 2 2 2 2 2" xfId="10010" xr:uid="{00000000-0005-0000-0000-0000360E0000}"/>
    <cellStyle name="Normal 2 13 3 2 2 2 3" xfId="11685" xr:uid="{00000000-0005-0000-0000-0000370E0000}"/>
    <cellStyle name="Normal 2 13 3 2 2 2 4" xfId="8335" xr:uid="{00000000-0005-0000-0000-0000380E0000}"/>
    <cellStyle name="Normal 2 13 3 2 2 3" xfId="5693" xr:uid="{00000000-0005-0000-0000-0000390E0000}"/>
    <cellStyle name="Normal 2 13 3 2 2 3 2" xfId="9043" xr:uid="{00000000-0005-0000-0000-00003A0E0000}"/>
    <cellStyle name="Normal 2 13 3 2 2 4" xfId="10718" xr:uid="{00000000-0005-0000-0000-00003B0E0000}"/>
    <cellStyle name="Normal 2 13 3 2 2 5" xfId="7368" xr:uid="{00000000-0005-0000-0000-00003C0E0000}"/>
    <cellStyle name="Normal 2 13 3 2 3" xfId="4254" xr:uid="{00000000-0005-0000-0000-00003D0E0000}"/>
    <cellStyle name="Normal 2 13 3 2 3 2" xfId="5221" xr:uid="{00000000-0005-0000-0000-00003E0E0000}"/>
    <cellStyle name="Normal 2 13 3 2 3 2 2" xfId="6896" xr:uid="{00000000-0005-0000-0000-00003F0E0000}"/>
    <cellStyle name="Normal 2 13 3 2 3 2 2 2" xfId="10246" xr:uid="{00000000-0005-0000-0000-0000400E0000}"/>
    <cellStyle name="Normal 2 13 3 2 3 2 3" xfId="11921" xr:uid="{00000000-0005-0000-0000-0000410E0000}"/>
    <cellStyle name="Normal 2 13 3 2 3 2 4" xfId="8571" xr:uid="{00000000-0005-0000-0000-0000420E0000}"/>
    <cellStyle name="Normal 2 13 3 2 3 3" xfId="5929" xr:uid="{00000000-0005-0000-0000-0000430E0000}"/>
    <cellStyle name="Normal 2 13 3 2 3 3 2" xfId="9279" xr:uid="{00000000-0005-0000-0000-0000440E0000}"/>
    <cellStyle name="Normal 2 13 3 2 3 4" xfId="10954" xr:uid="{00000000-0005-0000-0000-0000450E0000}"/>
    <cellStyle name="Normal 2 13 3 2 3 5" xfId="7604" xr:uid="{00000000-0005-0000-0000-0000460E0000}"/>
    <cellStyle name="Normal 2 13 3 2 4" xfId="4490" xr:uid="{00000000-0005-0000-0000-0000470E0000}"/>
    <cellStyle name="Normal 2 13 3 2 4 2" xfId="6165" xr:uid="{00000000-0005-0000-0000-0000480E0000}"/>
    <cellStyle name="Normal 2 13 3 2 4 2 2" xfId="9515" xr:uid="{00000000-0005-0000-0000-0000490E0000}"/>
    <cellStyle name="Normal 2 13 3 2 4 3" xfId="11190" xr:uid="{00000000-0005-0000-0000-00004A0E0000}"/>
    <cellStyle name="Normal 2 13 3 2 4 4" xfId="7840" xr:uid="{00000000-0005-0000-0000-00004B0E0000}"/>
    <cellStyle name="Normal 2 13 3 2 5" xfId="4749" xr:uid="{00000000-0005-0000-0000-00004C0E0000}"/>
    <cellStyle name="Normal 2 13 3 2 5 2" xfId="6424" xr:uid="{00000000-0005-0000-0000-00004D0E0000}"/>
    <cellStyle name="Normal 2 13 3 2 5 2 2" xfId="9774" xr:uid="{00000000-0005-0000-0000-00004E0E0000}"/>
    <cellStyle name="Normal 2 13 3 2 5 3" xfId="11449" xr:uid="{00000000-0005-0000-0000-00004F0E0000}"/>
    <cellStyle name="Normal 2 13 3 2 5 4" xfId="8099" xr:uid="{00000000-0005-0000-0000-0000500E0000}"/>
    <cellStyle name="Normal 2 13 3 2 6" xfId="5457" xr:uid="{00000000-0005-0000-0000-0000510E0000}"/>
    <cellStyle name="Normal 2 13 3 2 6 2" xfId="8807" xr:uid="{00000000-0005-0000-0000-0000520E0000}"/>
    <cellStyle name="Normal 2 13 3 2 7" xfId="10482" xr:uid="{00000000-0005-0000-0000-0000530E0000}"/>
    <cellStyle name="Normal 2 13 3 2 8" xfId="7132" xr:uid="{00000000-0005-0000-0000-0000540E0000}"/>
    <cellStyle name="Normal 2 13 3 3" xfId="3900" xr:uid="{00000000-0005-0000-0000-0000550E0000}"/>
    <cellStyle name="Normal 2 13 3 3 2" xfId="4867" xr:uid="{00000000-0005-0000-0000-0000560E0000}"/>
    <cellStyle name="Normal 2 13 3 3 2 2" xfId="6542" xr:uid="{00000000-0005-0000-0000-0000570E0000}"/>
    <cellStyle name="Normal 2 13 3 3 2 2 2" xfId="9892" xr:uid="{00000000-0005-0000-0000-0000580E0000}"/>
    <cellStyle name="Normal 2 13 3 3 2 3" xfId="11567" xr:uid="{00000000-0005-0000-0000-0000590E0000}"/>
    <cellStyle name="Normal 2 13 3 3 2 4" xfId="8217" xr:uid="{00000000-0005-0000-0000-00005A0E0000}"/>
    <cellStyle name="Normal 2 13 3 3 3" xfId="5575" xr:uid="{00000000-0005-0000-0000-00005B0E0000}"/>
    <cellStyle name="Normal 2 13 3 3 3 2" xfId="8925" xr:uid="{00000000-0005-0000-0000-00005C0E0000}"/>
    <cellStyle name="Normal 2 13 3 3 4" xfId="10600" xr:uid="{00000000-0005-0000-0000-00005D0E0000}"/>
    <cellStyle name="Normal 2 13 3 3 5" xfId="7250" xr:uid="{00000000-0005-0000-0000-00005E0E0000}"/>
    <cellStyle name="Normal 2 13 3 4" xfId="4136" xr:uid="{00000000-0005-0000-0000-00005F0E0000}"/>
    <cellStyle name="Normal 2 13 3 4 2" xfId="5103" xr:uid="{00000000-0005-0000-0000-0000600E0000}"/>
    <cellStyle name="Normal 2 13 3 4 2 2" xfId="6778" xr:uid="{00000000-0005-0000-0000-0000610E0000}"/>
    <cellStyle name="Normal 2 13 3 4 2 2 2" xfId="10128" xr:uid="{00000000-0005-0000-0000-0000620E0000}"/>
    <cellStyle name="Normal 2 13 3 4 2 3" xfId="11803" xr:uid="{00000000-0005-0000-0000-0000630E0000}"/>
    <cellStyle name="Normal 2 13 3 4 2 4" xfId="8453" xr:uid="{00000000-0005-0000-0000-0000640E0000}"/>
    <cellStyle name="Normal 2 13 3 4 3" xfId="5811" xr:uid="{00000000-0005-0000-0000-0000650E0000}"/>
    <cellStyle name="Normal 2 13 3 4 3 2" xfId="9161" xr:uid="{00000000-0005-0000-0000-0000660E0000}"/>
    <cellStyle name="Normal 2 13 3 4 4" xfId="10836" xr:uid="{00000000-0005-0000-0000-0000670E0000}"/>
    <cellStyle name="Normal 2 13 3 4 5" xfId="7486" xr:uid="{00000000-0005-0000-0000-0000680E0000}"/>
    <cellStyle name="Normal 2 13 3 5" xfId="4372" xr:uid="{00000000-0005-0000-0000-0000690E0000}"/>
    <cellStyle name="Normal 2 13 3 5 2" xfId="6047" xr:uid="{00000000-0005-0000-0000-00006A0E0000}"/>
    <cellStyle name="Normal 2 13 3 5 2 2" xfId="9397" xr:uid="{00000000-0005-0000-0000-00006B0E0000}"/>
    <cellStyle name="Normal 2 13 3 5 3" xfId="11072" xr:uid="{00000000-0005-0000-0000-00006C0E0000}"/>
    <cellStyle name="Normal 2 13 3 5 4" xfId="7722" xr:uid="{00000000-0005-0000-0000-00006D0E0000}"/>
    <cellStyle name="Normal 2 13 3 6" xfId="4631" xr:uid="{00000000-0005-0000-0000-00006E0E0000}"/>
    <cellStyle name="Normal 2 13 3 6 2" xfId="6306" xr:uid="{00000000-0005-0000-0000-00006F0E0000}"/>
    <cellStyle name="Normal 2 13 3 6 2 2" xfId="9656" xr:uid="{00000000-0005-0000-0000-0000700E0000}"/>
    <cellStyle name="Normal 2 13 3 6 3" xfId="11331" xr:uid="{00000000-0005-0000-0000-0000710E0000}"/>
    <cellStyle name="Normal 2 13 3 6 4" xfId="7981" xr:uid="{00000000-0005-0000-0000-0000720E0000}"/>
    <cellStyle name="Normal 2 13 3 7" xfId="5339" xr:uid="{00000000-0005-0000-0000-0000730E0000}"/>
    <cellStyle name="Normal 2 13 3 7 2" xfId="8689" xr:uid="{00000000-0005-0000-0000-0000740E0000}"/>
    <cellStyle name="Normal 2 13 3 8" xfId="10364" xr:uid="{00000000-0005-0000-0000-0000750E0000}"/>
    <cellStyle name="Normal 2 13 3 9" xfId="7014" xr:uid="{00000000-0005-0000-0000-0000760E0000}"/>
    <cellStyle name="Normal 2 13 4" xfId="3688" xr:uid="{00000000-0005-0000-0000-0000770E0000}"/>
    <cellStyle name="Normal 2 13 4 2" xfId="3806" xr:uid="{00000000-0005-0000-0000-0000780E0000}"/>
    <cellStyle name="Normal 2 13 4 2 2" xfId="4042" xr:uid="{00000000-0005-0000-0000-0000790E0000}"/>
    <cellStyle name="Normal 2 13 4 2 2 2" xfId="5009" xr:uid="{00000000-0005-0000-0000-00007A0E0000}"/>
    <cellStyle name="Normal 2 13 4 2 2 2 2" xfId="6684" xr:uid="{00000000-0005-0000-0000-00007B0E0000}"/>
    <cellStyle name="Normal 2 13 4 2 2 2 2 2" xfId="10034" xr:uid="{00000000-0005-0000-0000-00007C0E0000}"/>
    <cellStyle name="Normal 2 13 4 2 2 2 3" xfId="11709" xr:uid="{00000000-0005-0000-0000-00007D0E0000}"/>
    <cellStyle name="Normal 2 13 4 2 2 2 4" xfId="8359" xr:uid="{00000000-0005-0000-0000-00007E0E0000}"/>
    <cellStyle name="Normal 2 13 4 2 2 3" xfId="5717" xr:uid="{00000000-0005-0000-0000-00007F0E0000}"/>
    <cellStyle name="Normal 2 13 4 2 2 3 2" xfId="9067" xr:uid="{00000000-0005-0000-0000-0000800E0000}"/>
    <cellStyle name="Normal 2 13 4 2 2 4" xfId="10742" xr:uid="{00000000-0005-0000-0000-0000810E0000}"/>
    <cellStyle name="Normal 2 13 4 2 2 5" xfId="7392" xr:uid="{00000000-0005-0000-0000-0000820E0000}"/>
    <cellStyle name="Normal 2 13 4 2 3" xfId="4278" xr:uid="{00000000-0005-0000-0000-0000830E0000}"/>
    <cellStyle name="Normal 2 13 4 2 3 2" xfId="5245" xr:uid="{00000000-0005-0000-0000-0000840E0000}"/>
    <cellStyle name="Normal 2 13 4 2 3 2 2" xfId="6920" xr:uid="{00000000-0005-0000-0000-0000850E0000}"/>
    <cellStyle name="Normal 2 13 4 2 3 2 2 2" xfId="10270" xr:uid="{00000000-0005-0000-0000-0000860E0000}"/>
    <cellStyle name="Normal 2 13 4 2 3 2 3" xfId="11945" xr:uid="{00000000-0005-0000-0000-0000870E0000}"/>
    <cellStyle name="Normal 2 13 4 2 3 2 4" xfId="8595" xr:uid="{00000000-0005-0000-0000-0000880E0000}"/>
    <cellStyle name="Normal 2 13 4 2 3 3" xfId="5953" xr:uid="{00000000-0005-0000-0000-0000890E0000}"/>
    <cellStyle name="Normal 2 13 4 2 3 3 2" xfId="9303" xr:uid="{00000000-0005-0000-0000-00008A0E0000}"/>
    <cellStyle name="Normal 2 13 4 2 3 4" xfId="10978" xr:uid="{00000000-0005-0000-0000-00008B0E0000}"/>
    <cellStyle name="Normal 2 13 4 2 3 5" xfId="7628" xr:uid="{00000000-0005-0000-0000-00008C0E0000}"/>
    <cellStyle name="Normal 2 13 4 2 4" xfId="4514" xr:uid="{00000000-0005-0000-0000-00008D0E0000}"/>
    <cellStyle name="Normal 2 13 4 2 4 2" xfId="6189" xr:uid="{00000000-0005-0000-0000-00008E0E0000}"/>
    <cellStyle name="Normal 2 13 4 2 4 2 2" xfId="9539" xr:uid="{00000000-0005-0000-0000-00008F0E0000}"/>
    <cellStyle name="Normal 2 13 4 2 4 3" xfId="11214" xr:uid="{00000000-0005-0000-0000-0000900E0000}"/>
    <cellStyle name="Normal 2 13 4 2 4 4" xfId="7864" xr:uid="{00000000-0005-0000-0000-0000910E0000}"/>
    <cellStyle name="Normal 2 13 4 2 5" xfId="4773" xr:uid="{00000000-0005-0000-0000-0000920E0000}"/>
    <cellStyle name="Normal 2 13 4 2 5 2" xfId="6448" xr:uid="{00000000-0005-0000-0000-0000930E0000}"/>
    <cellStyle name="Normal 2 13 4 2 5 2 2" xfId="9798" xr:uid="{00000000-0005-0000-0000-0000940E0000}"/>
    <cellStyle name="Normal 2 13 4 2 5 3" xfId="11473" xr:uid="{00000000-0005-0000-0000-0000950E0000}"/>
    <cellStyle name="Normal 2 13 4 2 5 4" xfId="8123" xr:uid="{00000000-0005-0000-0000-0000960E0000}"/>
    <cellStyle name="Normal 2 13 4 2 6" xfId="5481" xr:uid="{00000000-0005-0000-0000-0000970E0000}"/>
    <cellStyle name="Normal 2 13 4 2 6 2" xfId="8831" xr:uid="{00000000-0005-0000-0000-0000980E0000}"/>
    <cellStyle name="Normal 2 13 4 2 7" xfId="10506" xr:uid="{00000000-0005-0000-0000-0000990E0000}"/>
    <cellStyle name="Normal 2 13 4 2 8" xfId="7156" xr:uid="{00000000-0005-0000-0000-00009A0E0000}"/>
    <cellStyle name="Normal 2 13 4 3" xfId="3924" xr:uid="{00000000-0005-0000-0000-00009B0E0000}"/>
    <cellStyle name="Normal 2 13 4 3 2" xfId="4891" xr:uid="{00000000-0005-0000-0000-00009C0E0000}"/>
    <cellStyle name="Normal 2 13 4 3 2 2" xfId="6566" xr:uid="{00000000-0005-0000-0000-00009D0E0000}"/>
    <cellStyle name="Normal 2 13 4 3 2 2 2" xfId="9916" xr:uid="{00000000-0005-0000-0000-00009E0E0000}"/>
    <cellStyle name="Normal 2 13 4 3 2 3" xfId="11591" xr:uid="{00000000-0005-0000-0000-00009F0E0000}"/>
    <cellStyle name="Normal 2 13 4 3 2 4" xfId="8241" xr:uid="{00000000-0005-0000-0000-0000A00E0000}"/>
    <cellStyle name="Normal 2 13 4 3 3" xfId="5599" xr:uid="{00000000-0005-0000-0000-0000A10E0000}"/>
    <cellStyle name="Normal 2 13 4 3 3 2" xfId="8949" xr:uid="{00000000-0005-0000-0000-0000A20E0000}"/>
    <cellStyle name="Normal 2 13 4 3 4" xfId="10624" xr:uid="{00000000-0005-0000-0000-0000A30E0000}"/>
    <cellStyle name="Normal 2 13 4 3 5" xfId="7274" xr:uid="{00000000-0005-0000-0000-0000A40E0000}"/>
    <cellStyle name="Normal 2 13 4 4" xfId="4160" xr:uid="{00000000-0005-0000-0000-0000A50E0000}"/>
    <cellStyle name="Normal 2 13 4 4 2" xfId="5127" xr:uid="{00000000-0005-0000-0000-0000A60E0000}"/>
    <cellStyle name="Normal 2 13 4 4 2 2" xfId="6802" xr:uid="{00000000-0005-0000-0000-0000A70E0000}"/>
    <cellStyle name="Normal 2 13 4 4 2 2 2" xfId="10152" xr:uid="{00000000-0005-0000-0000-0000A80E0000}"/>
    <cellStyle name="Normal 2 13 4 4 2 3" xfId="11827" xr:uid="{00000000-0005-0000-0000-0000A90E0000}"/>
    <cellStyle name="Normal 2 13 4 4 2 4" xfId="8477" xr:uid="{00000000-0005-0000-0000-0000AA0E0000}"/>
    <cellStyle name="Normal 2 13 4 4 3" xfId="5835" xr:uid="{00000000-0005-0000-0000-0000AB0E0000}"/>
    <cellStyle name="Normal 2 13 4 4 3 2" xfId="9185" xr:uid="{00000000-0005-0000-0000-0000AC0E0000}"/>
    <cellStyle name="Normal 2 13 4 4 4" xfId="10860" xr:uid="{00000000-0005-0000-0000-0000AD0E0000}"/>
    <cellStyle name="Normal 2 13 4 4 5" xfId="7510" xr:uid="{00000000-0005-0000-0000-0000AE0E0000}"/>
    <cellStyle name="Normal 2 13 4 5" xfId="4396" xr:uid="{00000000-0005-0000-0000-0000AF0E0000}"/>
    <cellStyle name="Normal 2 13 4 5 2" xfId="6071" xr:uid="{00000000-0005-0000-0000-0000B00E0000}"/>
    <cellStyle name="Normal 2 13 4 5 2 2" xfId="9421" xr:uid="{00000000-0005-0000-0000-0000B10E0000}"/>
    <cellStyle name="Normal 2 13 4 5 3" xfId="11096" xr:uid="{00000000-0005-0000-0000-0000B20E0000}"/>
    <cellStyle name="Normal 2 13 4 5 4" xfId="7746" xr:uid="{00000000-0005-0000-0000-0000B30E0000}"/>
    <cellStyle name="Normal 2 13 4 6" xfId="4655" xr:uid="{00000000-0005-0000-0000-0000B40E0000}"/>
    <cellStyle name="Normal 2 13 4 6 2" xfId="6330" xr:uid="{00000000-0005-0000-0000-0000B50E0000}"/>
    <cellStyle name="Normal 2 13 4 6 2 2" xfId="9680" xr:uid="{00000000-0005-0000-0000-0000B60E0000}"/>
    <cellStyle name="Normal 2 13 4 6 3" xfId="11355" xr:uid="{00000000-0005-0000-0000-0000B70E0000}"/>
    <cellStyle name="Normal 2 13 4 6 4" xfId="8005" xr:uid="{00000000-0005-0000-0000-0000B80E0000}"/>
    <cellStyle name="Normal 2 13 4 7" xfId="5363" xr:uid="{00000000-0005-0000-0000-0000B90E0000}"/>
    <cellStyle name="Normal 2 13 4 7 2" xfId="8713" xr:uid="{00000000-0005-0000-0000-0000BA0E0000}"/>
    <cellStyle name="Normal 2 13 4 8" xfId="10388" xr:uid="{00000000-0005-0000-0000-0000BB0E0000}"/>
    <cellStyle name="Normal 2 13 4 9" xfId="7038" xr:uid="{00000000-0005-0000-0000-0000BC0E0000}"/>
    <cellStyle name="Normal 2 13 5" xfId="3712" xr:uid="{00000000-0005-0000-0000-0000BD0E0000}"/>
    <cellStyle name="Normal 2 13 5 2" xfId="3830" xr:uid="{00000000-0005-0000-0000-0000BE0E0000}"/>
    <cellStyle name="Normal 2 13 5 2 2" xfId="4066" xr:uid="{00000000-0005-0000-0000-0000BF0E0000}"/>
    <cellStyle name="Normal 2 13 5 2 2 2" xfId="5033" xr:uid="{00000000-0005-0000-0000-0000C00E0000}"/>
    <cellStyle name="Normal 2 13 5 2 2 2 2" xfId="6708" xr:uid="{00000000-0005-0000-0000-0000C10E0000}"/>
    <cellStyle name="Normal 2 13 5 2 2 2 2 2" xfId="10058" xr:uid="{00000000-0005-0000-0000-0000C20E0000}"/>
    <cellStyle name="Normal 2 13 5 2 2 2 3" xfId="11733" xr:uid="{00000000-0005-0000-0000-0000C30E0000}"/>
    <cellStyle name="Normal 2 13 5 2 2 2 4" xfId="8383" xr:uid="{00000000-0005-0000-0000-0000C40E0000}"/>
    <cellStyle name="Normal 2 13 5 2 2 3" xfId="5741" xr:uid="{00000000-0005-0000-0000-0000C50E0000}"/>
    <cellStyle name="Normal 2 13 5 2 2 3 2" xfId="9091" xr:uid="{00000000-0005-0000-0000-0000C60E0000}"/>
    <cellStyle name="Normal 2 13 5 2 2 4" xfId="10766" xr:uid="{00000000-0005-0000-0000-0000C70E0000}"/>
    <cellStyle name="Normal 2 13 5 2 2 5" xfId="7416" xr:uid="{00000000-0005-0000-0000-0000C80E0000}"/>
    <cellStyle name="Normal 2 13 5 2 3" xfId="4302" xr:uid="{00000000-0005-0000-0000-0000C90E0000}"/>
    <cellStyle name="Normal 2 13 5 2 3 2" xfId="5269" xr:uid="{00000000-0005-0000-0000-0000CA0E0000}"/>
    <cellStyle name="Normal 2 13 5 2 3 2 2" xfId="6944" xr:uid="{00000000-0005-0000-0000-0000CB0E0000}"/>
    <cellStyle name="Normal 2 13 5 2 3 2 2 2" xfId="10294" xr:uid="{00000000-0005-0000-0000-0000CC0E0000}"/>
    <cellStyle name="Normal 2 13 5 2 3 2 3" xfId="11969" xr:uid="{00000000-0005-0000-0000-0000CD0E0000}"/>
    <cellStyle name="Normal 2 13 5 2 3 2 4" xfId="8619" xr:uid="{00000000-0005-0000-0000-0000CE0E0000}"/>
    <cellStyle name="Normal 2 13 5 2 3 3" xfId="5977" xr:uid="{00000000-0005-0000-0000-0000CF0E0000}"/>
    <cellStyle name="Normal 2 13 5 2 3 3 2" xfId="9327" xr:uid="{00000000-0005-0000-0000-0000D00E0000}"/>
    <cellStyle name="Normal 2 13 5 2 3 4" xfId="11002" xr:uid="{00000000-0005-0000-0000-0000D10E0000}"/>
    <cellStyle name="Normal 2 13 5 2 3 5" xfId="7652" xr:uid="{00000000-0005-0000-0000-0000D20E0000}"/>
    <cellStyle name="Normal 2 13 5 2 4" xfId="4538" xr:uid="{00000000-0005-0000-0000-0000D30E0000}"/>
    <cellStyle name="Normal 2 13 5 2 4 2" xfId="6213" xr:uid="{00000000-0005-0000-0000-0000D40E0000}"/>
    <cellStyle name="Normal 2 13 5 2 4 2 2" xfId="9563" xr:uid="{00000000-0005-0000-0000-0000D50E0000}"/>
    <cellStyle name="Normal 2 13 5 2 4 3" xfId="11238" xr:uid="{00000000-0005-0000-0000-0000D60E0000}"/>
    <cellStyle name="Normal 2 13 5 2 4 4" xfId="7888" xr:uid="{00000000-0005-0000-0000-0000D70E0000}"/>
    <cellStyle name="Normal 2 13 5 2 5" xfId="4797" xr:uid="{00000000-0005-0000-0000-0000D80E0000}"/>
    <cellStyle name="Normal 2 13 5 2 5 2" xfId="6472" xr:uid="{00000000-0005-0000-0000-0000D90E0000}"/>
    <cellStyle name="Normal 2 13 5 2 5 2 2" xfId="9822" xr:uid="{00000000-0005-0000-0000-0000DA0E0000}"/>
    <cellStyle name="Normal 2 13 5 2 5 3" xfId="11497" xr:uid="{00000000-0005-0000-0000-0000DB0E0000}"/>
    <cellStyle name="Normal 2 13 5 2 5 4" xfId="8147" xr:uid="{00000000-0005-0000-0000-0000DC0E0000}"/>
    <cellStyle name="Normal 2 13 5 2 6" xfId="5505" xr:uid="{00000000-0005-0000-0000-0000DD0E0000}"/>
    <cellStyle name="Normal 2 13 5 2 6 2" xfId="8855" xr:uid="{00000000-0005-0000-0000-0000DE0E0000}"/>
    <cellStyle name="Normal 2 13 5 2 7" xfId="10530" xr:uid="{00000000-0005-0000-0000-0000DF0E0000}"/>
    <cellStyle name="Normal 2 13 5 2 8" xfId="7180" xr:uid="{00000000-0005-0000-0000-0000E00E0000}"/>
    <cellStyle name="Normal 2 13 5 3" xfId="3948" xr:uid="{00000000-0005-0000-0000-0000E10E0000}"/>
    <cellStyle name="Normal 2 13 5 3 2" xfId="4915" xr:uid="{00000000-0005-0000-0000-0000E20E0000}"/>
    <cellStyle name="Normal 2 13 5 3 2 2" xfId="6590" xr:uid="{00000000-0005-0000-0000-0000E30E0000}"/>
    <cellStyle name="Normal 2 13 5 3 2 2 2" xfId="9940" xr:uid="{00000000-0005-0000-0000-0000E40E0000}"/>
    <cellStyle name="Normal 2 13 5 3 2 3" xfId="11615" xr:uid="{00000000-0005-0000-0000-0000E50E0000}"/>
    <cellStyle name="Normal 2 13 5 3 2 4" xfId="8265" xr:uid="{00000000-0005-0000-0000-0000E60E0000}"/>
    <cellStyle name="Normal 2 13 5 3 3" xfId="5623" xr:uid="{00000000-0005-0000-0000-0000E70E0000}"/>
    <cellStyle name="Normal 2 13 5 3 3 2" xfId="8973" xr:uid="{00000000-0005-0000-0000-0000E80E0000}"/>
    <cellStyle name="Normal 2 13 5 3 4" xfId="10648" xr:uid="{00000000-0005-0000-0000-0000E90E0000}"/>
    <cellStyle name="Normal 2 13 5 3 5" xfId="7298" xr:uid="{00000000-0005-0000-0000-0000EA0E0000}"/>
    <cellStyle name="Normal 2 13 5 4" xfId="4184" xr:uid="{00000000-0005-0000-0000-0000EB0E0000}"/>
    <cellStyle name="Normal 2 13 5 4 2" xfId="5151" xr:uid="{00000000-0005-0000-0000-0000EC0E0000}"/>
    <cellStyle name="Normal 2 13 5 4 2 2" xfId="6826" xr:uid="{00000000-0005-0000-0000-0000ED0E0000}"/>
    <cellStyle name="Normal 2 13 5 4 2 2 2" xfId="10176" xr:uid="{00000000-0005-0000-0000-0000EE0E0000}"/>
    <cellStyle name="Normal 2 13 5 4 2 3" xfId="11851" xr:uid="{00000000-0005-0000-0000-0000EF0E0000}"/>
    <cellStyle name="Normal 2 13 5 4 2 4" xfId="8501" xr:uid="{00000000-0005-0000-0000-0000F00E0000}"/>
    <cellStyle name="Normal 2 13 5 4 3" xfId="5859" xr:uid="{00000000-0005-0000-0000-0000F10E0000}"/>
    <cellStyle name="Normal 2 13 5 4 3 2" xfId="9209" xr:uid="{00000000-0005-0000-0000-0000F20E0000}"/>
    <cellStyle name="Normal 2 13 5 4 4" xfId="10884" xr:uid="{00000000-0005-0000-0000-0000F30E0000}"/>
    <cellStyle name="Normal 2 13 5 4 5" xfId="7534" xr:uid="{00000000-0005-0000-0000-0000F40E0000}"/>
    <cellStyle name="Normal 2 13 5 5" xfId="4420" xr:uid="{00000000-0005-0000-0000-0000F50E0000}"/>
    <cellStyle name="Normal 2 13 5 5 2" xfId="6095" xr:uid="{00000000-0005-0000-0000-0000F60E0000}"/>
    <cellStyle name="Normal 2 13 5 5 2 2" xfId="9445" xr:uid="{00000000-0005-0000-0000-0000F70E0000}"/>
    <cellStyle name="Normal 2 13 5 5 3" xfId="11120" xr:uid="{00000000-0005-0000-0000-0000F80E0000}"/>
    <cellStyle name="Normal 2 13 5 5 4" xfId="7770" xr:uid="{00000000-0005-0000-0000-0000F90E0000}"/>
    <cellStyle name="Normal 2 13 5 6" xfId="4679" xr:uid="{00000000-0005-0000-0000-0000FA0E0000}"/>
    <cellStyle name="Normal 2 13 5 6 2" xfId="6354" xr:uid="{00000000-0005-0000-0000-0000FB0E0000}"/>
    <cellStyle name="Normal 2 13 5 6 2 2" xfId="9704" xr:uid="{00000000-0005-0000-0000-0000FC0E0000}"/>
    <cellStyle name="Normal 2 13 5 6 3" xfId="11379" xr:uid="{00000000-0005-0000-0000-0000FD0E0000}"/>
    <cellStyle name="Normal 2 13 5 6 4" xfId="8029" xr:uid="{00000000-0005-0000-0000-0000FE0E0000}"/>
    <cellStyle name="Normal 2 13 5 7" xfId="5387" xr:uid="{00000000-0005-0000-0000-0000FF0E0000}"/>
    <cellStyle name="Normal 2 13 5 7 2" xfId="8737" xr:uid="{00000000-0005-0000-0000-0000000F0000}"/>
    <cellStyle name="Normal 2 13 5 8" xfId="10412" xr:uid="{00000000-0005-0000-0000-0000010F0000}"/>
    <cellStyle name="Normal 2 13 5 9" xfId="7062" xr:uid="{00000000-0005-0000-0000-0000020F0000}"/>
    <cellStyle name="Normal 2 13 6" xfId="3736" xr:uid="{00000000-0005-0000-0000-0000030F0000}"/>
    <cellStyle name="Normal 2 13 6 2" xfId="3972" xr:uid="{00000000-0005-0000-0000-0000040F0000}"/>
    <cellStyle name="Normal 2 13 6 2 2" xfId="4939" xr:uid="{00000000-0005-0000-0000-0000050F0000}"/>
    <cellStyle name="Normal 2 13 6 2 2 2" xfId="6614" xr:uid="{00000000-0005-0000-0000-0000060F0000}"/>
    <cellStyle name="Normal 2 13 6 2 2 2 2" xfId="9964" xr:uid="{00000000-0005-0000-0000-0000070F0000}"/>
    <cellStyle name="Normal 2 13 6 2 2 3" xfId="11639" xr:uid="{00000000-0005-0000-0000-0000080F0000}"/>
    <cellStyle name="Normal 2 13 6 2 2 4" xfId="8289" xr:uid="{00000000-0005-0000-0000-0000090F0000}"/>
    <cellStyle name="Normal 2 13 6 2 3" xfId="5647" xr:uid="{00000000-0005-0000-0000-00000A0F0000}"/>
    <cellStyle name="Normal 2 13 6 2 3 2" xfId="8997" xr:uid="{00000000-0005-0000-0000-00000B0F0000}"/>
    <cellStyle name="Normal 2 13 6 2 4" xfId="10672" xr:uid="{00000000-0005-0000-0000-00000C0F0000}"/>
    <cellStyle name="Normal 2 13 6 2 5" xfId="7322" xr:uid="{00000000-0005-0000-0000-00000D0F0000}"/>
    <cellStyle name="Normal 2 13 6 3" xfId="4208" xr:uid="{00000000-0005-0000-0000-00000E0F0000}"/>
    <cellStyle name="Normal 2 13 6 3 2" xfId="5175" xr:uid="{00000000-0005-0000-0000-00000F0F0000}"/>
    <cellStyle name="Normal 2 13 6 3 2 2" xfId="6850" xr:uid="{00000000-0005-0000-0000-0000100F0000}"/>
    <cellStyle name="Normal 2 13 6 3 2 2 2" xfId="10200" xr:uid="{00000000-0005-0000-0000-0000110F0000}"/>
    <cellStyle name="Normal 2 13 6 3 2 3" xfId="11875" xr:uid="{00000000-0005-0000-0000-0000120F0000}"/>
    <cellStyle name="Normal 2 13 6 3 2 4" xfId="8525" xr:uid="{00000000-0005-0000-0000-0000130F0000}"/>
    <cellStyle name="Normal 2 13 6 3 3" xfId="5883" xr:uid="{00000000-0005-0000-0000-0000140F0000}"/>
    <cellStyle name="Normal 2 13 6 3 3 2" xfId="9233" xr:uid="{00000000-0005-0000-0000-0000150F0000}"/>
    <cellStyle name="Normal 2 13 6 3 4" xfId="10908" xr:uid="{00000000-0005-0000-0000-0000160F0000}"/>
    <cellStyle name="Normal 2 13 6 3 5" xfId="7558" xr:uid="{00000000-0005-0000-0000-0000170F0000}"/>
    <cellStyle name="Normal 2 13 6 4" xfId="4444" xr:uid="{00000000-0005-0000-0000-0000180F0000}"/>
    <cellStyle name="Normal 2 13 6 4 2" xfId="6119" xr:uid="{00000000-0005-0000-0000-0000190F0000}"/>
    <cellStyle name="Normal 2 13 6 4 2 2" xfId="9469" xr:uid="{00000000-0005-0000-0000-00001A0F0000}"/>
    <cellStyle name="Normal 2 13 6 4 3" xfId="11144" xr:uid="{00000000-0005-0000-0000-00001B0F0000}"/>
    <cellStyle name="Normal 2 13 6 4 4" xfId="7794" xr:uid="{00000000-0005-0000-0000-00001C0F0000}"/>
    <cellStyle name="Normal 2 13 6 5" xfId="4703" xr:uid="{00000000-0005-0000-0000-00001D0F0000}"/>
    <cellStyle name="Normal 2 13 6 5 2" xfId="6378" xr:uid="{00000000-0005-0000-0000-00001E0F0000}"/>
    <cellStyle name="Normal 2 13 6 5 2 2" xfId="9728" xr:uid="{00000000-0005-0000-0000-00001F0F0000}"/>
    <cellStyle name="Normal 2 13 6 5 3" xfId="11403" xr:uid="{00000000-0005-0000-0000-0000200F0000}"/>
    <cellStyle name="Normal 2 13 6 5 4" xfId="8053" xr:uid="{00000000-0005-0000-0000-0000210F0000}"/>
    <cellStyle name="Normal 2 13 6 6" xfId="5411" xr:uid="{00000000-0005-0000-0000-0000220F0000}"/>
    <cellStyle name="Normal 2 13 6 6 2" xfId="8761" xr:uid="{00000000-0005-0000-0000-0000230F0000}"/>
    <cellStyle name="Normal 2 13 6 7" xfId="10436" xr:uid="{00000000-0005-0000-0000-0000240F0000}"/>
    <cellStyle name="Normal 2 13 6 8" xfId="7086" xr:uid="{00000000-0005-0000-0000-0000250F0000}"/>
    <cellStyle name="Normal 2 13 7" xfId="3854" xr:uid="{00000000-0005-0000-0000-0000260F0000}"/>
    <cellStyle name="Normal 2 13 7 2" xfId="4821" xr:uid="{00000000-0005-0000-0000-0000270F0000}"/>
    <cellStyle name="Normal 2 13 7 2 2" xfId="6496" xr:uid="{00000000-0005-0000-0000-0000280F0000}"/>
    <cellStyle name="Normal 2 13 7 2 2 2" xfId="9846" xr:uid="{00000000-0005-0000-0000-0000290F0000}"/>
    <cellStyle name="Normal 2 13 7 2 3" xfId="11521" xr:uid="{00000000-0005-0000-0000-00002A0F0000}"/>
    <cellStyle name="Normal 2 13 7 2 4" xfId="8171" xr:uid="{00000000-0005-0000-0000-00002B0F0000}"/>
    <cellStyle name="Normal 2 13 7 3" xfId="5529" xr:uid="{00000000-0005-0000-0000-00002C0F0000}"/>
    <cellStyle name="Normal 2 13 7 3 2" xfId="8879" xr:uid="{00000000-0005-0000-0000-00002D0F0000}"/>
    <cellStyle name="Normal 2 13 7 4" xfId="10554" xr:uid="{00000000-0005-0000-0000-00002E0F0000}"/>
    <cellStyle name="Normal 2 13 7 5" xfId="7204" xr:uid="{00000000-0005-0000-0000-00002F0F0000}"/>
    <cellStyle name="Normal 2 13 8" xfId="2618" xr:uid="{00000000-0005-0000-0000-00003A0A0000}"/>
    <cellStyle name="Normal 2 13 8 2" xfId="5057" xr:uid="{00000000-0005-0000-0000-0000310F0000}"/>
    <cellStyle name="Normal 2 13 8 2 2" xfId="6732" xr:uid="{00000000-0005-0000-0000-0000320F0000}"/>
    <cellStyle name="Normal 2 13 8 2 2 2" xfId="10082" xr:uid="{00000000-0005-0000-0000-0000330F0000}"/>
    <cellStyle name="Normal 2 13 8 2 3" xfId="11757" xr:uid="{00000000-0005-0000-0000-0000340F0000}"/>
    <cellStyle name="Normal 2 13 8 2 4" xfId="8407" xr:uid="{00000000-0005-0000-0000-0000350F0000}"/>
    <cellStyle name="Normal 2 13 8 3" xfId="5765" xr:uid="{00000000-0005-0000-0000-0000360F0000}"/>
    <cellStyle name="Normal 2 13 8 3 2" xfId="9115" xr:uid="{00000000-0005-0000-0000-0000370F0000}"/>
    <cellStyle name="Normal 2 13 8 4" xfId="10790" xr:uid="{00000000-0005-0000-0000-0000380F0000}"/>
    <cellStyle name="Normal 2 13 8 5" xfId="7440" xr:uid="{00000000-0005-0000-0000-0000390F0000}"/>
    <cellStyle name="Normal 2 13 8 6" xfId="4090" xr:uid="{00000000-0005-0000-0000-0000300F0000}"/>
    <cellStyle name="Normal 2 13 9" xfId="4326" xr:uid="{00000000-0005-0000-0000-00003A0F0000}"/>
    <cellStyle name="Normal 2 13 9 2" xfId="4585" xr:uid="{00000000-0005-0000-0000-00003B0F0000}"/>
    <cellStyle name="Normal 2 13 9 2 2" xfId="6260" xr:uid="{00000000-0005-0000-0000-00003C0F0000}"/>
    <cellStyle name="Normal 2 13 9 2 2 2" xfId="9610" xr:uid="{00000000-0005-0000-0000-00003D0F0000}"/>
    <cellStyle name="Normal 2 13 9 2 3" xfId="11285" xr:uid="{00000000-0005-0000-0000-00003E0F0000}"/>
    <cellStyle name="Normal 2 13 9 2 4" xfId="7935" xr:uid="{00000000-0005-0000-0000-00003F0F0000}"/>
    <cellStyle name="Normal 2 13 9 3" xfId="6001" xr:uid="{00000000-0005-0000-0000-0000400F0000}"/>
    <cellStyle name="Normal 2 13 9 3 2" xfId="9351" xr:uid="{00000000-0005-0000-0000-0000410F0000}"/>
    <cellStyle name="Normal 2 13 9 4" xfId="11026" xr:uid="{00000000-0005-0000-0000-0000420F0000}"/>
    <cellStyle name="Normal 2 13 9 5" xfId="7676" xr:uid="{00000000-0005-0000-0000-0000430F0000}"/>
    <cellStyle name="Normal 2 14" xfId="2619" xr:uid="{00000000-0005-0000-0000-00003B0A0000}"/>
    <cellStyle name="Normal 2 15" xfId="2620" xr:uid="{00000000-0005-0000-0000-00003C0A0000}"/>
    <cellStyle name="Normal 2 15 10" xfId="4556" xr:uid="{00000000-0005-0000-0000-0000460F0000}"/>
    <cellStyle name="Normal 2 15 10 2" xfId="6231" xr:uid="{00000000-0005-0000-0000-0000470F0000}"/>
    <cellStyle name="Normal 2 15 10 2 2" xfId="9581" xr:uid="{00000000-0005-0000-0000-0000480F0000}"/>
    <cellStyle name="Normal 2 15 10 3" xfId="11256" xr:uid="{00000000-0005-0000-0000-0000490F0000}"/>
    <cellStyle name="Normal 2 15 10 4" xfId="7906" xr:uid="{00000000-0005-0000-0000-00004A0F0000}"/>
    <cellStyle name="Normal 2 15 11" xfId="5287" xr:uid="{00000000-0005-0000-0000-00004B0F0000}"/>
    <cellStyle name="Normal 2 15 11 2" xfId="8637" xr:uid="{00000000-0005-0000-0000-00004C0F0000}"/>
    <cellStyle name="Normal 2 15 12" xfId="10312" xr:uid="{00000000-0005-0000-0000-00004D0F0000}"/>
    <cellStyle name="Normal 2 15 13" xfId="6962" xr:uid="{00000000-0005-0000-0000-00004E0F0000}"/>
    <cellStyle name="Normal 2 15 14" xfId="3400" xr:uid="{00000000-0005-0000-0000-0000450F0000}"/>
    <cellStyle name="Normal 2 15 2" xfId="3635" xr:uid="{00000000-0005-0000-0000-00004F0F0000}"/>
    <cellStyle name="Normal 2 15 2 2" xfId="3754" xr:uid="{00000000-0005-0000-0000-0000500F0000}"/>
    <cellStyle name="Normal 2 15 2 2 2" xfId="3990" xr:uid="{00000000-0005-0000-0000-0000510F0000}"/>
    <cellStyle name="Normal 2 15 2 2 2 2" xfId="4957" xr:uid="{00000000-0005-0000-0000-0000520F0000}"/>
    <cellStyle name="Normal 2 15 2 2 2 2 2" xfId="6632" xr:uid="{00000000-0005-0000-0000-0000530F0000}"/>
    <cellStyle name="Normal 2 15 2 2 2 2 2 2" xfId="9982" xr:uid="{00000000-0005-0000-0000-0000540F0000}"/>
    <cellStyle name="Normal 2 15 2 2 2 2 3" xfId="11657" xr:uid="{00000000-0005-0000-0000-0000550F0000}"/>
    <cellStyle name="Normal 2 15 2 2 2 2 4" xfId="8307" xr:uid="{00000000-0005-0000-0000-0000560F0000}"/>
    <cellStyle name="Normal 2 15 2 2 2 3" xfId="5665" xr:uid="{00000000-0005-0000-0000-0000570F0000}"/>
    <cellStyle name="Normal 2 15 2 2 2 3 2" xfId="9015" xr:uid="{00000000-0005-0000-0000-0000580F0000}"/>
    <cellStyle name="Normal 2 15 2 2 2 4" xfId="10690" xr:uid="{00000000-0005-0000-0000-0000590F0000}"/>
    <cellStyle name="Normal 2 15 2 2 2 5" xfId="7340" xr:uid="{00000000-0005-0000-0000-00005A0F0000}"/>
    <cellStyle name="Normal 2 15 2 2 3" xfId="4226" xr:uid="{00000000-0005-0000-0000-00005B0F0000}"/>
    <cellStyle name="Normal 2 15 2 2 3 2" xfId="5193" xr:uid="{00000000-0005-0000-0000-00005C0F0000}"/>
    <cellStyle name="Normal 2 15 2 2 3 2 2" xfId="6868" xr:uid="{00000000-0005-0000-0000-00005D0F0000}"/>
    <cellStyle name="Normal 2 15 2 2 3 2 2 2" xfId="10218" xr:uid="{00000000-0005-0000-0000-00005E0F0000}"/>
    <cellStyle name="Normal 2 15 2 2 3 2 3" xfId="11893" xr:uid="{00000000-0005-0000-0000-00005F0F0000}"/>
    <cellStyle name="Normal 2 15 2 2 3 2 4" xfId="8543" xr:uid="{00000000-0005-0000-0000-0000600F0000}"/>
    <cellStyle name="Normal 2 15 2 2 3 3" xfId="5901" xr:uid="{00000000-0005-0000-0000-0000610F0000}"/>
    <cellStyle name="Normal 2 15 2 2 3 3 2" xfId="9251" xr:uid="{00000000-0005-0000-0000-0000620F0000}"/>
    <cellStyle name="Normal 2 15 2 2 3 4" xfId="10926" xr:uid="{00000000-0005-0000-0000-0000630F0000}"/>
    <cellStyle name="Normal 2 15 2 2 3 5" xfId="7576" xr:uid="{00000000-0005-0000-0000-0000640F0000}"/>
    <cellStyle name="Normal 2 15 2 2 4" xfId="4462" xr:uid="{00000000-0005-0000-0000-0000650F0000}"/>
    <cellStyle name="Normal 2 15 2 2 4 2" xfId="6137" xr:uid="{00000000-0005-0000-0000-0000660F0000}"/>
    <cellStyle name="Normal 2 15 2 2 4 2 2" xfId="9487" xr:uid="{00000000-0005-0000-0000-0000670F0000}"/>
    <cellStyle name="Normal 2 15 2 2 4 3" xfId="11162" xr:uid="{00000000-0005-0000-0000-0000680F0000}"/>
    <cellStyle name="Normal 2 15 2 2 4 4" xfId="7812" xr:uid="{00000000-0005-0000-0000-0000690F0000}"/>
    <cellStyle name="Normal 2 15 2 2 5" xfId="4721" xr:uid="{00000000-0005-0000-0000-00006A0F0000}"/>
    <cellStyle name="Normal 2 15 2 2 5 2" xfId="6396" xr:uid="{00000000-0005-0000-0000-00006B0F0000}"/>
    <cellStyle name="Normal 2 15 2 2 5 2 2" xfId="9746" xr:uid="{00000000-0005-0000-0000-00006C0F0000}"/>
    <cellStyle name="Normal 2 15 2 2 5 3" xfId="11421" xr:uid="{00000000-0005-0000-0000-00006D0F0000}"/>
    <cellStyle name="Normal 2 15 2 2 5 4" xfId="8071" xr:uid="{00000000-0005-0000-0000-00006E0F0000}"/>
    <cellStyle name="Normal 2 15 2 2 6" xfId="5429" xr:uid="{00000000-0005-0000-0000-00006F0F0000}"/>
    <cellStyle name="Normal 2 15 2 2 6 2" xfId="8779" xr:uid="{00000000-0005-0000-0000-0000700F0000}"/>
    <cellStyle name="Normal 2 15 2 2 7" xfId="10454" xr:uid="{00000000-0005-0000-0000-0000710F0000}"/>
    <cellStyle name="Normal 2 15 2 2 8" xfId="7104" xr:uid="{00000000-0005-0000-0000-0000720F0000}"/>
    <cellStyle name="Normal 2 15 2 3" xfId="3871" xr:uid="{00000000-0005-0000-0000-0000730F0000}"/>
    <cellStyle name="Normal 2 15 2 3 2" xfId="4838" xr:uid="{00000000-0005-0000-0000-0000740F0000}"/>
    <cellStyle name="Normal 2 15 2 3 2 2" xfId="6513" xr:uid="{00000000-0005-0000-0000-0000750F0000}"/>
    <cellStyle name="Normal 2 15 2 3 2 2 2" xfId="9863" xr:uid="{00000000-0005-0000-0000-0000760F0000}"/>
    <cellStyle name="Normal 2 15 2 3 2 3" xfId="11538" xr:uid="{00000000-0005-0000-0000-0000770F0000}"/>
    <cellStyle name="Normal 2 15 2 3 2 4" xfId="8188" xr:uid="{00000000-0005-0000-0000-0000780F0000}"/>
    <cellStyle name="Normal 2 15 2 3 3" xfId="5546" xr:uid="{00000000-0005-0000-0000-0000790F0000}"/>
    <cellStyle name="Normal 2 15 2 3 3 2" xfId="8896" xr:uid="{00000000-0005-0000-0000-00007A0F0000}"/>
    <cellStyle name="Normal 2 15 2 3 4" xfId="10571" xr:uid="{00000000-0005-0000-0000-00007B0F0000}"/>
    <cellStyle name="Normal 2 15 2 3 5" xfId="7221" xr:uid="{00000000-0005-0000-0000-00007C0F0000}"/>
    <cellStyle name="Normal 2 15 2 4" xfId="4107" xr:uid="{00000000-0005-0000-0000-00007D0F0000}"/>
    <cellStyle name="Normal 2 15 2 4 2" xfId="5074" xr:uid="{00000000-0005-0000-0000-00007E0F0000}"/>
    <cellStyle name="Normal 2 15 2 4 2 2" xfId="6749" xr:uid="{00000000-0005-0000-0000-00007F0F0000}"/>
    <cellStyle name="Normal 2 15 2 4 2 2 2" xfId="10099" xr:uid="{00000000-0005-0000-0000-0000800F0000}"/>
    <cellStyle name="Normal 2 15 2 4 2 3" xfId="11774" xr:uid="{00000000-0005-0000-0000-0000810F0000}"/>
    <cellStyle name="Normal 2 15 2 4 2 4" xfId="8424" xr:uid="{00000000-0005-0000-0000-0000820F0000}"/>
    <cellStyle name="Normal 2 15 2 4 3" xfId="5782" xr:uid="{00000000-0005-0000-0000-0000830F0000}"/>
    <cellStyle name="Normal 2 15 2 4 3 2" xfId="9132" xr:uid="{00000000-0005-0000-0000-0000840F0000}"/>
    <cellStyle name="Normal 2 15 2 4 4" xfId="10807" xr:uid="{00000000-0005-0000-0000-0000850F0000}"/>
    <cellStyle name="Normal 2 15 2 4 5" xfId="7457" xr:uid="{00000000-0005-0000-0000-0000860F0000}"/>
    <cellStyle name="Normal 2 15 2 5" xfId="4343" xr:uid="{00000000-0005-0000-0000-0000870F0000}"/>
    <cellStyle name="Normal 2 15 2 5 2" xfId="6018" xr:uid="{00000000-0005-0000-0000-0000880F0000}"/>
    <cellStyle name="Normal 2 15 2 5 2 2" xfId="9368" xr:uid="{00000000-0005-0000-0000-0000890F0000}"/>
    <cellStyle name="Normal 2 15 2 5 3" xfId="11043" xr:uid="{00000000-0005-0000-0000-00008A0F0000}"/>
    <cellStyle name="Normal 2 15 2 5 4" xfId="7693" xr:uid="{00000000-0005-0000-0000-00008B0F0000}"/>
    <cellStyle name="Normal 2 15 2 6" xfId="4602" xr:uid="{00000000-0005-0000-0000-00008C0F0000}"/>
    <cellStyle name="Normal 2 15 2 6 2" xfId="6277" xr:uid="{00000000-0005-0000-0000-00008D0F0000}"/>
    <cellStyle name="Normal 2 15 2 6 2 2" xfId="9627" xr:uid="{00000000-0005-0000-0000-00008E0F0000}"/>
    <cellStyle name="Normal 2 15 2 6 3" xfId="11302" xr:uid="{00000000-0005-0000-0000-00008F0F0000}"/>
    <cellStyle name="Normal 2 15 2 6 4" xfId="7952" xr:uid="{00000000-0005-0000-0000-0000900F0000}"/>
    <cellStyle name="Normal 2 15 2 7" xfId="5310" xr:uid="{00000000-0005-0000-0000-0000910F0000}"/>
    <cellStyle name="Normal 2 15 2 7 2" xfId="8660" xr:uid="{00000000-0005-0000-0000-0000920F0000}"/>
    <cellStyle name="Normal 2 15 2 8" xfId="10335" xr:uid="{00000000-0005-0000-0000-0000930F0000}"/>
    <cellStyle name="Normal 2 15 2 9" xfId="6985" xr:uid="{00000000-0005-0000-0000-0000940F0000}"/>
    <cellStyle name="Normal 2 15 3" xfId="3658" xr:uid="{00000000-0005-0000-0000-0000950F0000}"/>
    <cellStyle name="Normal 2 15 3 2" xfId="3776" xr:uid="{00000000-0005-0000-0000-0000960F0000}"/>
    <cellStyle name="Normal 2 15 3 2 2" xfId="4012" xr:uid="{00000000-0005-0000-0000-0000970F0000}"/>
    <cellStyle name="Normal 2 15 3 2 2 2" xfId="4979" xr:uid="{00000000-0005-0000-0000-0000980F0000}"/>
    <cellStyle name="Normal 2 15 3 2 2 2 2" xfId="6654" xr:uid="{00000000-0005-0000-0000-0000990F0000}"/>
    <cellStyle name="Normal 2 15 3 2 2 2 2 2" xfId="10004" xr:uid="{00000000-0005-0000-0000-00009A0F0000}"/>
    <cellStyle name="Normal 2 15 3 2 2 2 3" xfId="11679" xr:uid="{00000000-0005-0000-0000-00009B0F0000}"/>
    <cellStyle name="Normal 2 15 3 2 2 2 4" xfId="8329" xr:uid="{00000000-0005-0000-0000-00009C0F0000}"/>
    <cellStyle name="Normal 2 15 3 2 2 3" xfId="5687" xr:uid="{00000000-0005-0000-0000-00009D0F0000}"/>
    <cellStyle name="Normal 2 15 3 2 2 3 2" xfId="9037" xr:uid="{00000000-0005-0000-0000-00009E0F0000}"/>
    <cellStyle name="Normal 2 15 3 2 2 4" xfId="10712" xr:uid="{00000000-0005-0000-0000-00009F0F0000}"/>
    <cellStyle name="Normal 2 15 3 2 2 5" xfId="7362" xr:uid="{00000000-0005-0000-0000-0000A00F0000}"/>
    <cellStyle name="Normal 2 15 3 2 3" xfId="4248" xr:uid="{00000000-0005-0000-0000-0000A10F0000}"/>
    <cellStyle name="Normal 2 15 3 2 3 2" xfId="5215" xr:uid="{00000000-0005-0000-0000-0000A20F0000}"/>
    <cellStyle name="Normal 2 15 3 2 3 2 2" xfId="6890" xr:uid="{00000000-0005-0000-0000-0000A30F0000}"/>
    <cellStyle name="Normal 2 15 3 2 3 2 2 2" xfId="10240" xr:uid="{00000000-0005-0000-0000-0000A40F0000}"/>
    <cellStyle name="Normal 2 15 3 2 3 2 3" xfId="11915" xr:uid="{00000000-0005-0000-0000-0000A50F0000}"/>
    <cellStyle name="Normal 2 15 3 2 3 2 4" xfId="8565" xr:uid="{00000000-0005-0000-0000-0000A60F0000}"/>
    <cellStyle name="Normal 2 15 3 2 3 3" xfId="5923" xr:uid="{00000000-0005-0000-0000-0000A70F0000}"/>
    <cellStyle name="Normal 2 15 3 2 3 3 2" xfId="9273" xr:uid="{00000000-0005-0000-0000-0000A80F0000}"/>
    <cellStyle name="Normal 2 15 3 2 3 4" xfId="10948" xr:uid="{00000000-0005-0000-0000-0000A90F0000}"/>
    <cellStyle name="Normal 2 15 3 2 3 5" xfId="7598" xr:uid="{00000000-0005-0000-0000-0000AA0F0000}"/>
    <cellStyle name="Normal 2 15 3 2 4" xfId="4484" xr:uid="{00000000-0005-0000-0000-0000AB0F0000}"/>
    <cellStyle name="Normal 2 15 3 2 4 2" xfId="6159" xr:uid="{00000000-0005-0000-0000-0000AC0F0000}"/>
    <cellStyle name="Normal 2 15 3 2 4 2 2" xfId="9509" xr:uid="{00000000-0005-0000-0000-0000AD0F0000}"/>
    <cellStyle name="Normal 2 15 3 2 4 3" xfId="11184" xr:uid="{00000000-0005-0000-0000-0000AE0F0000}"/>
    <cellStyle name="Normal 2 15 3 2 4 4" xfId="7834" xr:uid="{00000000-0005-0000-0000-0000AF0F0000}"/>
    <cellStyle name="Normal 2 15 3 2 5" xfId="4743" xr:uid="{00000000-0005-0000-0000-0000B00F0000}"/>
    <cellStyle name="Normal 2 15 3 2 5 2" xfId="6418" xr:uid="{00000000-0005-0000-0000-0000B10F0000}"/>
    <cellStyle name="Normal 2 15 3 2 5 2 2" xfId="9768" xr:uid="{00000000-0005-0000-0000-0000B20F0000}"/>
    <cellStyle name="Normal 2 15 3 2 5 3" xfId="11443" xr:uid="{00000000-0005-0000-0000-0000B30F0000}"/>
    <cellStyle name="Normal 2 15 3 2 5 4" xfId="8093" xr:uid="{00000000-0005-0000-0000-0000B40F0000}"/>
    <cellStyle name="Normal 2 15 3 2 6" xfId="5451" xr:uid="{00000000-0005-0000-0000-0000B50F0000}"/>
    <cellStyle name="Normal 2 15 3 2 6 2" xfId="8801" xr:uid="{00000000-0005-0000-0000-0000B60F0000}"/>
    <cellStyle name="Normal 2 15 3 2 7" xfId="10476" xr:uid="{00000000-0005-0000-0000-0000B70F0000}"/>
    <cellStyle name="Normal 2 15 3 2 8" xfId="7126" xr:uid="{00000000-0005-0000-0000-0000B80F0000}"/>
    <cellStyle name="Normal 2 15 3 3" xfId="3894" xr:uid="{00000000-0005-0000-0000-0000B90F0000}"/>
    <cellStyle name="Normal 2 15 3 3 2" xfId="4861" xr:uid="{00000000-0005-0000-0000-0000BA0F0000}"/>
    <cellStyle name="Normal 2 15 3 3 2 2" xfId="6536" xr:uid="{00000000-0005-0000-0000-0000BB0F0000}"/>
    <cellStyle name="Normal 2 15 3 3 2 2 2" xfId="9886" xr:uid="{00000000-0005-0000-0000-0000BC0F0000}"/>
    <cellStyle name="Normal 2 15 3 3 2 3" xfId="11561" xr:uid="{00000000-0005-0000-0000-0000BD0F0000}"/>
    <cellStyle name="Normal 2 15 3 3 2 4" xfId="8211" xr:uid="{00000000-0005-0000-0000-0000BE0F0000}"/>
    <cellStyle name="Normal 2 15 3 3 3" xfId="5569" xr:uid="{00000000-0005-0000-0000-0000BF0F0000}"/>
    <cellStyle name="Normal 2 15 3 3 3 2" xfId="8919" xr:uid="{00000000-0005-0000-0000-0000C00F0000}"/>
    <cellStyle name="Normal 2 15 3 3 4" xfId="10594" xr:uid="{00000000-0005-0000-0000-0000C10F0000}"/>
    <cellStyle name="Normal 2 15 3 3 5" xfId="7244" xr:uid="{00000000-0005-0000-0000-0000C20F0000}"/>
    <cellStyle name="Normal 2 15 3 4" xfId="4130" xr:uid="{00000000-0005-0000-0000-0000C30F0000}"/>
    <cellStyle name="Normal 2 15 3 4 2" xfId="5097" xr:uid="{00000000-0005-0000-0000-0000C40F0000}"/>
    <cellStyle name="Normal 2 15 3 4 2 2" xfId="6772" xr:uid="{00000000-0005-0000-0000-0000C50F0000}"/>
    <cellStyle name="Normal 2 15 3 4 2 2 2" xfId="10122" xr:uid="{00000000-0005-0000-0000-0000C60F0000}"/>
    <cellStyle name="Normal 2 15 3 4 2 3" xfId="11797" xr:uid="{00000000-0005-0000-0000-0000C70F0000}"/>
    <cellStyle name="Normal 2 15 3 4 2 4" xfId="8447" xr:uid="{00000000-0005-0000-0000-0000C80F0000}"/>
    <cellStyle name="Normal 2 15 3 4 3" xfId="5805" xr:uid="{00000000-0005-0000-0000-0000C90F0000}"/>
    <cellStyle name="Normal 2 15 3 4 3 2" xfId="9155" xr:uid="{00000000-0005-0000-0000-0000CA0F0000}"/>
    <cellStyle name="Normal 2 15 3 4 4" xfId="10830" xr:uid="{00000000-0005-0000-0000-0000CB0F0000}"/>
    <cellStyle name="Normal 2 15 3 4 5" xfId="7480" xr:uid="{00000000-0005-0000-0000-0000CC0F0000}"/>
    <cellStyle name="Normal 2 15 3 5" xfId="4366" xr:uid="{00000000-0005-0000-0000-0000CD0F0000}"/>
    <cellStyle name="Normal 2 15 3 5 2" xfId="6041" xr:uid="{00000000-0005-0000-0000-0000CE0F0000}"/>
    <cellStyle name="Normal 2 15 3 5 2 2" xfId="9391" xr:uid="{00000000-0005-0000-0000-0000CF0F0000}"/>
    <cellStyle name="Normal 2 15 3 5 3" xfId="11066" xr:uid="{00000000-0005-0000-0000-0000D00F0000}"/>
    <cellStyle name="Normal 2 15 3 5 4" xfId="7716" xr:uid="{00000000-0005-0000-0000-0000D10F0000}"/>
    <cellStyle name="Normal 2 15 3 6" xfId="4625" xr:uid="{00000000-0005-0000-0000-0000D20F0000}"/>
    <cellStyle name="Normal 2 15 3 6 2" xfId="6300" xr:uid="{00000000-0005-0000-0000-0000D30F0000}"/>
    <cellStyle name="Normal 2 15 3 6 2 2" xfId="9650" xr:uid="{00000000-0005-0000-0000-0000D40F0000}"/>
    <cellStyle name="Normal 2 15 3 6 3" xfId="11325" xr:uid="{00000000-0005-0000-0000-0000D50F0000}"/>
    <cellStyle name="Normal 2 15 3 6 4" xfId="7975" xr:uid="{00000000-0005-0000-0000-0000D60F0000}"/>
    <cellStyle name="Normal 2 15 3 7" xfId="5333" xr:uid="{00000000-0005-0000-0000-0000D70F0000}"/>
    <cellStyle name="Normal 2 15 3 7 2" xfId="8683" xr:uid="{00000000-0005-0000-0000-0000D80F0000}"/>
    <cellStyle name="Normal 2 15 3 8" xfId="10358" xr:uid="{00000000-0005-0000-0000-0000D90F0000}"/>
    <cellStyle name="Normal 2 15 3 9" xfId="7008" xr:uid="{00000000-0005-0000-0000-0000DA0F0000}"/>
    <cellStyle name="Normal 2 15 4" xfId="3682" xr:uid="{00000000-0005-0000-0000-0000DB0F0000}"/>
    <cellStyle name="Normal 2 15 4 2" xfId="3800" xr:uid="{00000000-0005-0000-0000-0000DC0F0000}"/>
    <cellStyle name="Normal 2 15 4 2 2" xfId="4036" xr:uid="{00000000-0005-0000-0000-0000DD0F0000}"/>
    <cellStyle name="Normal 2 15 4 2 2 2" xfId="5003" xr:uid="{00000000-0005-0000-0000-0000DE0F0000}"/>
    <cellStyle name="Normal 2 15 4 2 2 2 2" xfId="6678" xr:uid="{00000000-0005-0000-0000-0000DF0F0000}"/>
    <cellStyle name="Normal 2 15 4 2 2 2 2 2" xfId="10028" xr:uid="{00000000-0005-0000-0000-0000E00F0000}"/>
    <cellStyle name="Normal 2 15 4 2 2 2 3" xfId="11703" xr:uid="{00000000-0005-0000-0000-0000E10F0000}"/>
    <cellStyle name="Normal 2 15 4 2 2 2 4" xfId="8353" xr:uid="{00000000-0005-0000-0000-0000E20F0000}"/>
    <cellStyle name="Normal 2 15 4 2 2 3" xfId="5711" xr:uid="{00000000-0005-0000-0000-0000E30F0000}"/>
    <cellStyle name="Normal 2 15 4 2 2 3 2" xfId="9061" xr:uid="{00000000-0005-0000-0000-0000E40F0000}"/>
    <cellStyle name="Normal 2 15 4 2 2 4" xfId="10736" xr:uid="{00000000-0005-0000-0000-0000E50F0000}"/>
    <cellStyle name="Normal 2 15 4 2 2 5" xfId="7386" xr:uid="{00000000-0005-0000-0000-0000E60F0000}"/>
    <cellStyle name="Normal 2 15 4 2 3" xfId="4272" xr:uid="{00000000-0005-0000-0000-0000E70F0000}"/>
    <cellStyle name="Normal 2 15 4 2 3 2" xfId="5239" xr:uid="{00000000-0005-0000-0000-0000E80F0000}"/>
    <cellStyle name="Normal 2 15 4 2 3 2 2" xfId="6914" xr:uid="{00000000-0005-0000-0000-0000E90F0000}"/>
    <cellStyle name="Normal 2 15 4 2 3 2 2 2" xfId="10264" xr:uid="{00000000-0005-0000-0000-0000EA0F0000}"/>
    <cellStyle name="Normal 2 15 4 2 3 2 3" xfId="11939" xr:uid="{00000000-0005-0000-0000-0000EB0F0000}"/>
    <cellStyle name="Normal 2 15 4 2 3 2 4" xfId="8589" xr:uid="{00000000-0005-0000-0000-0000EC0F0000}"/>
    <cellStyle name="Normal 2 15 4 2 3 3" xfId="5947" xr:uid="{00000000-0005-0000-0000-0000ED0F0000}"/>
    <cellStyle name="Normal 2 15 4 2 3 3 2" xfId="9297" xr:uid="{00000000-0005-0000-0000-0000EE0F0000}"/>
    <cellStyle name="Normal 2 15 4 2 3 4" xfId="10972" xr:uid="{00000000-0005-0000-0000-0000EF0F0000}"/>
    <cellStyle name="Normal 2 15 4 2 3 5" xfId="7622" xr:uid="{00000000-0005-0000-0000-0000F00F0000}"/>
    <cellStyle name="Normal 2 15 4 2 4" xfId="4508" xr:uid="{00000000-0005-0000-0000-0000F10F0000}"/>
    <cellStyle name="Normal 2 15 4 2 4 2" xfId="6183" xr:uid="{00000000-0005-0000-0000-0000F20F0000}"/>
    <cellStyle name="Normal 2 15 4 2 4 2 2" xfId="9533" xr:uid="{00000000-0005-0000-0000-0000F30F0000}"/>
    <cellStyle name="Normal 2 15 4 2 4 3" xfId="11208" xr:uid="{00000000-0005-0000-0000-0000F40F0000}"/>
    <cellStyle name="Normal 2 15 4 2 4 4" xfId="7858" xr:uid="{00000000-0005-0000-0000-0000F50F0000}"/>
    <cellStyle name="Normal 2 15 4 2 5" xfId="4767" xr:uid="{00000000-0005-0000-0000-0000F60F0000}"/>
    <cellStyle name="Normal 2 15 4 2 5 2" xfId="6442" xr:uid="{00000000-0005-0000-0000-0000F70F0000}"/>
    <cellStyle name="Normal 2 15 4 2 5 2 2" xfId="9792" xr:uid="{00000000-0005-0000-0000-0000F80F0000}"/>
    <cellStyle name="Normal 2 15 4 2 5 3" xfId="11467" xr:uid="{00000000-0005-0000-0000-0000F90F0000}"/>
    <cellStyle name="Normal 2 15 4 2 5 4" xfId="8117" xr:uid="{00000000-0005-0000-0000-0000FA0F0000}"/>
    <cellStyle name="Normal 2 15 4 2 6" xfId="5475" xr:uid="{00000000-0005-0000-0000-0000FB0F0000}"/>
    <cellStyle name="Normal 2 15 4 2 6 2" xfId="8825" xr:uid="{00000000-0005-0000-0000-0000FC0F0000}"/>
    <cellStyle name="Normal 2 15 4 2 7" xfId="10500" xr:uid="{00000000-0005-0000-0000-0000FD0F0000}"/>
    <cellStyle name="Normal 2 15 4 2 8" xfId="7150" xr:uid="{00000000-0005-0000-0000-0000FE0F0000}"/>
    <cellStyle name="Normal 2 15 4 3" xfId="3918" xr:uid="{00000000-0005-0000-0000-0000FF0F0000}"/>
    <cellStyle name="Normal 2 15 4 3 2" xfId="4885" xr:uid="{00000000-0005-0000-0000-000000100000}"/>
    <cellStyle name="Normal 2 15 4 3 2 2" xfId="6560" xr:uid="{00000000-0005-0000-0000-000001100000}"/>
    <cellStyle name="Normal 2 15 4 3 2 2 2" xfId="9910" xr:uid="{00000000-0005-0000-0000-000002100000}"/>
    <cellStyle name="Normal 2 15 4 3 2 3" xfId="11585" xr:uid="{00000000-0005-0000-0000-000003100000}"/>
    <cellStyle name="Normal 2 15 4 3 2 4" xfId="8235" xr:uid="{00000000-0005-0000-0000-000004100000}"/>
    <cellStyle name="Normal 2 15 4 3 3" xfId="5593" xr:uid="{00000000-0005-0000-0000-000005100000}"/>
    <cellStyle name="Normal 2 15 4 3 3 2" xfId="8943" xr:uid="{00000000-0005-0000-0000-000006100000}"/>
    <cellStyle name="Normal 2 15 4 3 4" xfId="10618" xr:uid="{00000000-0005-0000-0000-000007100000}"/>
    <cellStyle name="Normal 2 15 4 3 5" xfId="7268" xr:uid="{00000000-0005-0000-0000-000008100000}"/>
    <cellStyle name="Normal 2 15 4 4" xfId="4154" xr:uid="{00000000-0005-0000-0000-000009100000}"/>
    <cellStyle name="Normal 2 15 4 4 2" xfId="5121" xr:uid="{00000000-0005-0000-0000-00000A100000}"/>
    <cellStyle name="Normal 2 15 4 4 2 2" xfId="6796" xr:uid="{00000000-0005-0000-0000-00000B100000}"/>
    <cellStyle name="Normal 2 15 4 4 2 2 2" xfId="10146" xr:uid="{00000000-0005-0000-0000-00000C100000}"/>
    <cellStyle name="Normal 2 15 4 4 2 3" xfId="11821" xr:uid="{00000000-0005-0000-0000-00000D100000}"/>
    <cellStyle name="Normal 2 15 4 4 2 4" xfId="8471" xr:uid="{00000000-0005-0000-0000-00000E100000}"/>
    <cellStyle name="Normal 2 15 4 4 3" xfId="5829" xr:uid="{00000000-0005-0000-0000-00000F100000}"/>
    <cellStyle name="Normal 2 15 4 4 3 2" xfId="9179" xr:uid="{00000000-0005-0000-0000-000010100000}"/>
    <cellStyle name="Normal 2 15 4 4 4" xfId="10854" xr:uid="{00000000-0005-0000-0000-000011100000}"/>
    <cellStyle name="Normal 2 15 4 4 5" xfId="7504" xr:uid="{00000000-0005-0000-0000-000012100000}"/>
    <cellStyle name="Normal 2 15 4 5" xfId="4390" xr:uid="{00000000-0005-0000-0000-000013100000}"/>
    <cellStyle name="Normal 2 15 4 5 2" xfId="6065" xr:uid="{00000000-0005-0000-0000-000014100000}"/>
    <cellStyle name="Normal 2 15 4 5 2 2" xfId="9415" xr:uid="{00000000-0005-0000-0000-000015100000}"/>
    <cellStyle name="Normal 2 15 4 5 3" xfId="11090" xr:uid="{00000000-0005-0000-0000-000016100000}"/>
    <cellStyle name="Normal 2 15 4 5 4" xfId="7740" xr:uid="{00000000-0005-0000-0000-000017100000}"/>
    <cellStyle name="Normal 2 15 4 6" xfId="4649" xr:uid="{00000000-0005-0000-0000-000018100000}"/>
    <cellStyle name="Normal 2 15 4 6 2" xfId="6324" xr:uid="{00000000-0005-0000-0000-000019100000}"/>
    <cellStyle name="Normal 2 15 4 6 2 2" xfId="9674" xr:uid="{00000000-0005-0000-0000-00001A100000}"/>
    <cellStyle name="Normal 2 15 4 6 3" xfId="11349" xr:uid="{00000000-0005-0000-0000-00001B100000}"/>
    <cellStyle name="Normal 2 15 4 6 4" xfId="7999" xr:uid="{00000000-0005-0000-0000-00001C100000}"/>
    <cellStyle name="Normal 2 15 4 7" xfId="5357" xr:uid="{00000000-0005-0000-0000-00001D100000}"/>
    <cellStyle name="Normal 2 15 4 7 2" xfId="8707" xr:uid="{00000000-0005-0000-0000-00001E100000}"/>
    <cellStyle name="Normal 2 15 4 8" xfId="10382" xr:uid="{00000000-0005-0000-0000-00001F100000}"/>
    <cellStyle name="Normal 2 15 4 9" xfId="7032" xr:uid="{00000000-0005-0000-0000-000020100000}"/>
    <cellStyle name="Normal 2 15 5" xfId="3706" xr:uid="{00000000-0005-0000-0000-000021100000}"/>
    <cellStyle name="Normal 2 15 5 2" xfId="3824" xr:uid="{00000000-0005-0000-0000-000022100000}"/>
    <cellStyle name="Normal 2 15 5 2 2" xfId="4060" xr:uid="{00000000-0005-0000-0000-000023100000}"/>
    <cellStyle name="Normal 2 15 5 2 2 2" xfId="5027" xr:uid="{00000000-0005-0000-0000-000024100000}"/>
    <cellStyle name="Normal 2 15 5 2 2 2 2" xfId="6702" xr:uid="{00000000-0005-0000-0000-000025100000}"/>
    <cellStyle name="Normal 2 15 5 2 2 2 2 2" xfId="10052" xr:uid="{00000000-0005-0000-0000-000026100000}"/>
    <cellStyle name="Normal 2 15 5 2 2 2 3" xfId="11727" xr:uid="{00000000-0005-0000-0000-000027100000}"/>
    <cellStyle name="Normal 2 15 5 2 2 2 4" xfId="8377" xr:uid="{00000000-0005-0000-0000-000028100000}"/>
    <cellStyle name="Normal 2 15 5 2 2 3" xfId="5735" xr:uid="{00000000-0005-0000-0000-000029100000}"/>
    <cellStyle name="Normal 2 15 5 2 2 3 2" xfId="9085" xr:uid="{00000000-0005-0000-0000-00002A100000}"/>
    <cellStyle name="Normal 2 15 5 2 2 4" xfId="10760" xr:uid="{00000000-0005-0000-0000-00002B100000}"/>
    <cellStyle name="Normal 2 15 5 2 2 5" xfId="7410" xr:uid="{00000000-0005-0000-0000-00002C100000}"/>
    <cellStyle name="Normal 2 15 5 2 3" xfId="4296" xr:uid="{00000000-0005-0000-0000-00002D100000}"/>
    <cellStyle name="Normal 2 15 5 2 3 2" xfId="5263" xr:uid="{00000000-0005-0000-0000-00002E100000}"/>
    <cellStyle name="Normal 2 15 5 2 3 2 2" xfId="6938" xr:uid="{00000000-0005-0000-0000-00002F100000}"/>
    <cellStyle name="Normal 2 15 5 2 3 2 2 2" xfId="10288" xr:uid="{00000000-0005-0000-0000-000030100000}"/>
    <cellStyle name="Normal 2 15 5 2 3 2 3" xfId="11963" xr:uid="{00000000-0005-0000-0000-000031100000}"/>
    <cellStyle name="Normal 2 15 5 2 3 2 4" xfId="8613" xr:uid="{00000000-0005-0000-0000-000032100000}"/>
    <cellStyle name="Normal 2 15 5 2 3 3" xfId="5971" xr:uid="{00000000-0005-0000-0000-000033100000}"/>
    <cellStyle name="Normal 2 15 5 2 3 3 2" xfId="9321" xr:uid="{00000000-0005-0000-0000-000034100000}"/>
    <cellStyle name="Normal 2 15 5 2 3 4" xfId="10996" xr:uid="{00000000-0005-0000-0000-000035100000}"/>
    <cellStyle name="Normal 2 15 5 2 3 5" xfId="7646" xr:uid="{00000000-0005-0000-0000-000036100000}"/>
    <cellStyle name="Normal 2 15 5 2 4" xfId="4532" xr:uid="{00000000-0005-0000-0000-000037100000}"/>
    <cellStyle name="Normal 2 15 5 2 4 2" xfId="6207" xr:uid="{00000000-0005-0000-0000-000038100000}"/>
    <cellStyle name="Normal 2 15 5 2 4 2 2" xfId="9557" xr:uid="{00000000-0005-0000-0000-000039100000}"/>
    <cellStyle name="Normal 2 15 5 2 4 3" xfId="11232" xr:uid="{00000000-0005-0000-0000-00003A100000}"/>
    <cellStyle name="Normal 2 15 5 2 4 4" xfId="7882" xr:uid="{00000000-0005-0000-0000-00003B100000}"/>
    <cellStyle name="Normal 2 15 5 2 5" xfId="4791" xr:uid="{00000000-0005-0000-0000-00003C100000}"/>
    <cellStyle name="Normal 2 15 5 2 5 2" xfId="6466" xr:uid="{00000000-0005-0000-0000-00003D100000}"/>
    <cellStyle name="Normal 2 15 5 2 5 2 2" xfId="9816" xr:uid="{00000000-0005-0000-0000-00003E100000}"/>
    <cellStyle name="Normal 2 15 5 2 5 3" xfId="11491" xr:uid="{00000000-0005-0000-0000-00003F100000}"/>
    <cellStyle name="Normal 2 15 5 2 5 4" xfId="8141" xr:uid="{00000000-0005-0000-0000-000040100000}"/>
    <cellStyle name="Normal 2 15 5 2 6" xfId="5499" xr:uid="{00000000-0005-0000-0000-000041100000}"/>
    <cellStyle name="Normal 2 15 5 2 6 2" xfId="8849" xr:uid="{00000000-0005-0000-0000-000042100000}"/>
    <cellStyle name="Normal 2 15 5 2 7" xfId="10524" xr:uid="{00000000-0005-0000-0000-000043100000}"/>
    <cellStyle name="Normal 2 15 5 2 8" xfId="7174" xr:uid="{00000000-0005-0000-0000-000044100000}"/>
    <cellStyle name="Normal 2 15 5 3" xfId="3942" xr:uid="{00000000-0005-0000-0000-000045100000}"/>
    <cellStyle name="Normal 2 15 5 3 2" xfId="4909" xr:uid="{00000000-0005-0000-0000-000046100000}"/>
    <cellStyle name="Normal 2 15 5 3 2 2" xfId="6584" xr:uid="{00000000-0005-0000-0000-000047100000}"/>
    <cellStyle name="Normal 2 15 5 3 2 2 2" xfId="9934" xr:uid="{00000000-0005-0000-0000-000048100000}"/>
    <cellStyle name="Normal 2 15 5 3 2 3" xfId="11609" xr:uid="{00000000-0005-0000-0000-000049100000}"/>
    <cellStyle name="Normal 2 15 5 3 2 4" xfId="8259" xr:uid="{00000000-0005-0000-0000-00004A100000}"/>
    <cellStyle name="Normal 2 15 5 3 3" xfId="5617" xr:uid="{00000000-0005-0000-0000-00004B100000}"/>
    <cellStyle name="Normal 2 15 5 3 3 2" xfId="8967" xr:uid="{00000000-0005-0000-0000-00004C100000}"/>
    <cellStyle name="Normal 2 15 5 3 4" xfId="10642" xr:uid="{00000000-0005-0000-0000-00004D100000}"/>
    <cellStyle name="Normal 2 15 5 3 5" xfId="7292" xr:uid="{00000000-0005-0000-0000-00004E100000}"/>
    <cellStyle name="Normal 2 15 5 4" xfId="4178" xr:uid="{00000000-0005-0000-0000-00004F100000}"/>
    <cellStyle name="Normal 2 15 5 4 2" xfId="5145" xr:uid="{00000000-0005-0000-0000-000050100000}"/>
    <cellStyle name="Normal 2 15 5 4 2 2" xfId="6820" xr:uid="{00000000-0005-0000-0000-000051100000}"/>
    <cellStyle name="Normal 2 15 5 4 2 2 2" xfId="10170" xr:uid="{00000000-0005-0000-0000-000052100000}"/>
    <cellStyle name="Normal 2 15 5 4 2 3" xfId="11845" xr:uid="{00000000-0005-0000-0000-000053100000}"/>
    <cellStyle name="Normal 2 15 5 4 2 4" xfId="8495" xr:uid="{00000000-0005-0000-0000-000054100000}"/>
    <cellStyle name="Normal 2 15 5 4 3" xfId="5853" xr:uid="{00000000-0005-0000-0000-000055100000}"/>
    <cellStyle name="Normal 2 15 5 4 3 2" xfId="9203" xr:uid="{00000000-0005-0000-0000-000056100000}"/>
    <cellStyle name="Normal 2 15 5 4 4" xfId="10878" xr:uid="{00000000-0005-0000-0000-000057100000}"/>
    <cellStyle name="Normal 2 15 5 4 5" xfId="7528" xr:uid="{00000000-0005-0000-0000-000058100000}"/>
    <cellStyle name="Normal 2 15 5 5" xfId="4414" xr:uid="{00000000-0005-0000-0000-000059100000}"/>
    <cellStyle name="Normal 2 15 5 5 2" xfId="6089" xr:uid="{00000000-0005-0000-0000-00005A100000}"/>
    <cellStyle name="Normal 2 15 5 5 2 2" xfId="9439" xr:uid="{00000000-0005-0000-0000-00005B100000}"/>
    <cellStyle name="Normal 2 15 5 5 3" xfId="11114" xr:uid="{00000000-0005-0000-0000-00005C100000}"/>
    <cellStyle name="Normal 2 15 5 5 4" xfId="7764" xr:uid="{00000000-0005-0000-0000-00005D100000}"/>
    <cellStyle name="Normal 2 15 5 6" xfId="4673" xr:uid="{00000000-0005-0000-0000-00005E100000}"/>
    <cellStyle name="Normal 2 15 5 6 2" xfId="6348" xr:uid="{00000000-0005-0000-0000-00005F100000}"/>
    <cellStyle name="Normal 2 15 5 6 2 2" xfId="9698" xr:uid="{00000000-0005-0000-0000-000060100000}"/>
    <cellStyle name="Normal 2 15 5 6 3" xfId="11373" xr:uid="{00000000-0005-0000-0000-000061100000}"/>
    <cellStyle name="Normal 2 15 5 6 4" xfId="8023" xr:uid="{00000000-0005-0000-0000-000062100000}"/>
    <cellStyle name="Normal 2 15 5 7" xfId="5381" xr:uid="{00000000-0005-0000-0000-000063100000}"/>
    <cellStyle name="Normal 2 15 5 7 2" xfId="8731" xr:uid="{00000000-0005-0000-0000-000064100000}"/>
    <cellStyle name="Normal 2 15 5 8" xfId="10406" xr:uid="{00000000-0005-0000-0000-000065100000}"/>
    <cellStyle name="Normal 2 15 5 9" xfId="7056" xr:uid="{00000000-0005-0000-0000-000066100000}"/>
    <cellStyle name="Normal 2 15 6" xfId="3730" xr:uid="{00000000-0005-0000-0000-000067100000}"/>
    <cellStyle name="Normal 2 15 6 2" xfId="3966" xr:uid="{00000000-0005-0000-0000-000068100000}"/>
    <cellStyle name="Normal 2 15 6 2 2" xfId="4933" xr:uid="{00000000-0005-0000-0000-000069100000}"/>
    <cellStyle name="Normal 2 15 6 2 2 2" xfId="6608" xr:uid="{00000000-0005-0000-0000-00006A100000}"/>
    <cellStyle name="Normal 2 15 6 2 2 2 2" xfId="9958" xr:uid="{00000000-0005-0000-0000-00006B100000}"/>
    <cellStyle name="Normal 2 15 6 2 2 3" xfId="11633" xr:uid="{00000000-0005-0000-0000-00006C100000}"/>
    <cellStyle name="Normal 2 15 6 2 2 4" xfId="8283" xr:uid="{00000000-0005-0000-0000-00006D100000}"/>
    <cellStyle name="Normal 2 15 6 2 3" xfId="5641" xr:uid="{00000000-0005-0000-0000-00006E100000}"/>
    <cellStyle name="Normal 2 15 6 2 3 2" xfId="8991" xr:uid="{00000000-0005-0000-0000-00006F100000}"/>
    <cellStyle name="Normal 2 15 6 2 4" xfId="10666" xr:uid="{00000000-0005-0000-0000-000070100000}"/>
    <cellStyle name="Normal 2 15 6 2 5" xfId="7316" xr:uid="{00000000-0005-0000-0000-000071100000}"/>
    <cellStyle name="Normal 2 15 6 3" xfId="4202" xr:uid="{00000000-0005-0000-0000-000072100000}"/>
    <cellStyle name="Normal 2 15 6 3 2" xfId="5169" xr:uid="{00000000-0005-0000-0000-000073100000}"/>
    <cellStyle name="Normal 2 15 6 3 2 2" xfId="6844" xr:uid="{00000000-0005-0000-0000-000074100000}"/>
    <cellStyle name="Normal 2 15 6 3 2 2 2" xfId="10194" xr:uid="{00000000-0005-0000-0000-000075100000}"/>
    <cellStyle name="Normal 2 15 6 3 2 3" xfId="11869" xr:uid="{00000000-0005-0000-0000-000076100000}"/>
    <cellStyle name="Normal 2 15 6 3 2 4" xfId="8519" xr:uid="{00000000-0005-0000-0000-000077100000}"/>
    <cellStyle name="Normal 2 15 6 3 3" xfId="5877" xr:uid="{00000000-0005-0000-0000-000078100000}"/>
    <cellStyle name="Normal 2 15 6 3 3 2" xfId="9227" xr:uid="{00000000-0005-0000-0000-000079100000}"/>
    <cellStyle name="Normal 2 15 6 3 4" xfId="10902" xr:uid="{00000000-0005-0000-0000-00007A100000}"/>
    <cellStyle name="Normal 2 15 6 3 5" xfId="7552" xr:uid="{00000000-0005-0000-0000-00007B100000}"/>
    <cellStyle name="Normal 2 15 6 4" xfId="4438" xr:uid="{00000000-0005-0000-0000-00007C100000}"/>
    <cellStyle name="Normal 2 15 6 4 2" xfId="6113" xr:uid="{00000000-0005-0000-0000-00007D100000}"/>
    <cellStyle name="Normal 2 15 6 4 2 2" xfId="9463" xr:uid="{00000000-0005-0000-0000-00007E100000}"/>
    <cellStyle name="Normal 2 15 6 4 3" xfId="11138" xr:uid="{00000000-0005-0000-0000-00007F100000}"/>
    <cellStyle name="Normal 2 15 6 4 4" xfId="7788" xr:uid="{00000000-0005-0000-0000-000080100000}"/>
    <cellStyle name="Normal 2 15 6 5" xfId="4697" xr:uid="{00000000-0005-0000-0000-000081100000}"/>
    <cellStyle name="Normal 2 15 6 5 2" xfId="6372" xr:uid="{00000000-0005-0000-0000-000082100000}"/>
    <cellStyle name="Normal 2 15 6 5 2 2" xfId="9722" xr:uid="{00000000-0005-0000-0000-000083100000}"/>
    <cellStyle name="Normal 2 15 6 5 3" xfId="11397" xr:uid="{00000000-0005-0000-0000-000084100000}"/>
    <cellStyle name="Normal 2 15 6 5 4" xfId="8047" xr:uid="{00000000-0005-0000-0000-000085100000}"/>
    <cellStyle name="Normal 2 15 6 6" xfId="5405" xr:uid="{00000000-0005-0000-0000-000086100000}"/>
    <cellStyle name="Normal 2 15 6 6 2" xfId="8755" xr:uid="{00000000-0005-0000-0000-000087100000}"/>
    <cellStyle name="Normal 2 15 6 7" xfId="10430" xr:uid="{00000000-0005-0000-0000-000088100000}"/>
    <cellStyle name="Normal 2 15 6 8" xfId="7080" xr:uid="{00000000-0005-0000-0000-000089100000}"/>
    <cellStyle name="Normal 2 15 7" xfId="3848" xr:uid="{00000000-0005-0000-0000-00008A100000}"/>
    <cellStyle name="Normal 2 15 7 2" xfId="4815" xr:uid="{00000000-0005-0000-0000-00008B100000}"/>
    <cellStyle name="Normal 2 15 7 2 2" xfId="6490" xr:uid="{00000000-0005-0000-0000-00008C100000}"/>
    <cellStyle name="Normal 2 15 7 2 2 2" xfId="9840" xr:uid="{00000000-0005-0000-0000-00008D100000}"/>
    <cellStyle name="Normal 2 15 7 2 3" xfId="11515" xr:uid="{00000000-0005-0000-0000-00008E100000}"/>
    <cellStyle name="Normal 2 15 7 2 4" xfId="8165" xr:uid="{00000000-0005-0000-0000-00008F100000}"/>
    <cellStyle name="Normal 2 15 7 3" xfId="5523" xr:uid="{00000000-0005-0000-0000-000090100000}"/>
    <cellStyle name="Normal 2 15 7 3 2" xfId="8873" xr:uid="{00000000-0005-0000-0000-000091100000}"/>
    <cellStyle name="Normal 2 15 7 4" xfId="10548" xr:uid="{00000000-0005-0000-0000-000092100000}"/>
    <cellStyle name="Normal 2 15 7 5" xfId="7198" xr:uid="{00000000-0005-0000-0000-000093100000}"/>
    <cellStyle name="Normal 2 15 8" xfId="4084" xr:uid="{00000000-0005-0000-0000-000094100000}"/>
    <cellStyle name="Normal 2 15 8 2" xfId="5051" xr:uid="{00000000-0005-0000-0000-000095100000}"/>
    <cellStyle name="Normal 2 15 8 2 2" xfId="6726" xr:uid="{00000000-0005-0000-0000-000096100000}"/>
    <cellStyle name="Normal 2 15 8 2 2 2" xfId="10076" xr:uid="{00000000-0005-0000-0000-000097100000}"/>
    <cellStyle name="Normal 2 15 8 2 3" xfId="11751" xr:uid="{00000000-0005-0000-0000-000098100000}"/>
    <cellStyle name="Normal 2 15 8 2 4" xfId="8401" xr:uid="{00000000-0005-0000-0000-000099100000}"/>
    <cellStyle name="Normal 2 15 8 3" xfId="5759" xr:uid="{00000000-0005-0000-0000-00009A100000}"/>
    <cellStyle name="Normal 2 15 8 3 2" xfId="9109" xr:uid="{00000000-0005-0000-0000-00009B100000}"/>
    <cellStyle name="Normal 2 15 8 4" xfId="10784" xr:uid="{00000000-0005-0000-0000-00009C100000}"/>
    <cellStyle name="Normal 2 15 8 5" xfId="7434" xr:uid="{00000000-0005-0000-0000-00009D100000}"/>
    <cellStyle name="Normal 2 15 9" xfId="4320" xr:uid="{00000000-0005-0000-0000-00009E100000}"/>
    <cellStyle name="Normal 2 15 9 2" xfId="4579" xr:uid="{00000000-0005-0000-0000-00009F100000}"/>
    <cellStyle name="Normal 2 15 9 2 2" xfId="6254" xr:uid="{00000000-0005-0000-0000-0000A0100000}"/>
    <cellStyle name="Normal 2 15 9 2 2 2" xfId="9604" xr:uid="{00000000-0005-0000-0000-0000A1100000}"/>
    <cellStyle name="Normal 2 15 9 2 3" xfId="11279" xr:uid="{00000000-0005-0000-0000-0000A2100000}"/>
    <cellStyle name="Normal 2 15 9 2 4" xfId="7929" xr:uid="{00000000-0005-0000-0000-0000A3100000}"/>
    <cellStyle name="Normal 2 15 9 3" xfId="5995" xr:uid="{00000000-0005-0000-0000-0000A4100000}"/>
    <cellStyle name="Normal 2 15 9 3 2" xfId="9345" xr:uid="{00000000-0005-0000-0000-0000A5100000}"/>
    <cellStyle name="Normal 2 15 9 4" xfId="11020" xr:uid="{00000000-0005-0000-0000-0000A6100000}"/>
    <cellStyle name="Normal 2 15 9 5" xfId="7670" xr:uid="{00000000-0005-0000-0000-0000A7100000}"/>
    <cellStyle name="Normal 2 16" xfId="2621" xr:uid="{00000000-0005-0000-0000-00003D0A0000}"/>
    <cellStyle name="Normal 2 16 10" xfId="4557" xr:uid="{00000000-0005-0000-0000-0000A9100000}"/>
    <cellStyle name="Normal 2 16 10 2" xfId="6232" xr:uid="{00000000-0005-0000-0000-0000AA100000}"/>
    <cellStyle name="Normal 2 16 10 2 2" xfId="9582" xr:uid="{00000000-0005-0000-0000-0000AB100000}"/>
    <cellStyle name="Normal 2 16 10 3" xfId="11257" xr:uid="{00000000-0005-0000-0000-0000AC100000}"/>
    <cellStyle name="Normal 2 16 10 4" xfId="7907" xr:uid="{00000000-0005-0000-0000-0000AD100000}"/>
    <cellStyle name="Normal 2 16 11" xfId="5288" xr:uid="{00000000-0005-0000-0000-0000AE100000}"/>
    <cellStyle name="Normal 2 16 11 2" xfId="8638" xr:uid="{00000000-0005-0000-0000-0000AF100000}"/>
    <cellStyle name="Normal 2 16 12" xfId="10313" xr:uid="{00000000-0005-0000-0000-0000B0100000}"/>
    <cellStyle name="Normal 2 16 13" xfId="6963" xr:uid="{00000000-0005-0000-0000-0000B1100000}"/>
    <cellStyle name="Normal 2 16 14" xfId="3401" xr:uid="{00000000-0005-0000-0000-0000A8100000}"/>
    <cellStyle name="Normal 2 16 2" xfId="3636" xr:uid="{00000000-0005-0000-0000-0000B2100000}"/>
    <cellStyle name="Normal 2 16 2 2" xfId="3755" xr:uid="{00000000-0005-0000-0000-0000B3100000}"/>
    <cellStyle name="Normal 2 16 2 2 2" xfId="3991" xr:uid="{00000000-0005-0000-0000-0000B4100000}"/>
    <cellStyle name="Normal 2 16 2 2 2 2" xfId="4958" xr:uid="{00000000-0005-0000-0000-0000B5100000}"/>
    <cellStyle name="Normal 2 16 2 2 2 2 2" xfId="6633" xr:uid="{00000000-0005-0000-0000-0000B6100000}"/>
    <cellStyle name="Normal 2 16 2 2 2 2 2 2" xfId="9983" xr:uid="{00000000-0005-0000-0000-0000B7100000}"/>
    <cellStyle name="Normal 2 16 2 2 2 2 3" xfId="11658" xr:uid="{00000000-0005-0000-0000-0000B8100000}"/>
    <cellStyle name="Normal 2 16 2 2 2 2 4" xfId="8308" xr:uid="{00000000-0005-0000-0000-0000B9100000}"/>
    <cellStyle name="Normal 2 16 2 2 2 3" xfId="5666" xr:uid="{00000000-0005-0000-0000-0000BA100000}"/>
    <cellStyle name="Normal 2 16 2 2 2 3 2" xfId="9016" xr:uid="{00000000-0005-0000-0000-0000BB100000}"/>
    <cellStyle name="Normal 2 16 2 2 2 4" xfId="10691" xr:uid="{00000000-0005-0000-0000-0000BC100000}"/>
    <cellStyle name="Normal 2 16 2 2 2 5" xfId="7341" xr:uid="{00000000-0005-0000-0000-0000BD100000}"/>
    <cellStyle name="Normal 2 16 2 2 3" xfId="4227" xr:uid="{00000000-0005-0000-0000-0000BE100000}"/>
    <cellStyle name="Normal 2 16 2 2 3 2" xfId="5194" xr:uid="{00000000-0005-0000-0000-0000BF100000}"/>
    <cellStyle name="Normal 2 16 2 2 3 2 2" xfId="6869" xr:uid="{00000000-0005-0000-0000-0000C0100000}"/>
    <cellStyle name="Normal 2 16 2 2 3 2 2 2" xfId="10219" xr:uid="{00000000-0005-0000-0000-0000C1100000}"/>
    <cellStyle name="Normal 2 16 2 2 3 2 3" xfId="11894" xr:uid="{00000000-0005-0000-0000-0000C2100000}"/>
    <cellStyle name="Normal 2 16 2 2 3 2 4" xfId="8544" xr:uid="{00000000-0005-0000-0000-0000C3100000}"/>
    <cellStyle name="Normal 2 16 2 2 3 3" xfId="5902" xr:uid="{00000000-0005-0000-0000-0000C4100000}"/>
    <cellStyle name="Normal 2 16 2 2 3 3 2" xfId="9252" xr:uid="{00000000-0005-0000-0000-0000C5100000}"/>
    <cellStyle name="Normal 2 16 2 2 3 4" xfId="10927" xr:uid="{00000000-0005-0000-0000-0000C6100000}"/>
    <cellStyle name="Normal 2 16 2 2 3 5" xfId="7577" xr:uid="{00000000-0005-0000-0000-0000C7100000}"/>
    <cellStyle name="Normal 2 16 2 2 4" xfId="4463" xr:uid="{00000000-0005-0000-0000-0000C8100000}"/>
    <cellStyle name="Normal 2 16 2 2 4 2" xfId="6138" xr:uid="{00000000-0005-0000-0000-0000C9100000}"/>
    <cellStyle name="Normal 2 16 2 2 4 2 2" xfId="9488" xr:uid="{00000000-0005-0000-0000-0000CA100000}"/>
    <cellStyle name="Normal 2 16 2 2 4 3" xfId="11163" xr:uid="{00000000-0005-0000-0000-0000CB100000}"/>
    <cellStyle name="Normal 2 16 2 2 4 4" xfId="7813" xr:uid="{00000000-0005-0000-0000-0000CC100000}"/>
    <cellStyle name="Normal 2 16 2 2 5" xfId="4722" xr:uid="{00000000-0005-0000-0000-0000CD100000}"/>
    <cellStyle name="Normal 2 16 2 2 5 2" xfId="6397" xr:uid="{00000000-0005-0000-0000-0000CE100000}"/>
    <cellStyle name="Normal 2 16 2 2 5 2 2" xfId="9747" xr:uid="{00000000-0005-0000-0000-0000CF100000}"/>
    <cellStyle name="Normal 2 16 2 2 5 3" xfId="11422" xr:uid="{00000000-0005-0000-0000-0000D0100000}"/>
    <cellStyle name="Normal 2 16 2 2 5 4" xfId="8072" xr:uid="{00000000-0005-0000-0000-0000D1100000}"/>
    <cellStyle name="Normal 2 16 2 2 6" xfId="5430" xr:uid="{00000000-0005-0000-0000-0000D2100000}"/>
    <cellStyle name="Normal 2 16 2 2 6 2" xfId="8780" xr:uid="{00000000-0005-0000-0000-0000D3100000}"/>
    <cellStyle name="Normal 2 16 2 2 7" xfId="10455" xr:uid="{00000000-0005-0000-0000-0000D4100000}"/>
    <cellStyle name="Normal 2 16 2 2 8" xfId="7105" xr:uid="{00000000-0005-0000-0000-0000D5100000}"/>
    <cellStyle name="Normal 2 16 2 3" xfId="3872" xr:uid="{00000000-0005-0000-0000-0000D6100000}"/>
    <cellStyle name="Normal 2 16 2 3 2" xfId="4839" xr:uid="{00000000-0005-0000-0000-0000D7100000}"/>
    <cellStyle name="Normal 2 16 2 3 2 2" xfId="6514" xr:uid="{00000000-0005-0000-0000-0000D8100000}"/>
    <cellStyle name="Normal 2 16 2 3 2 2 2" xfId="9864" xr:uid="{00000000-0005-0000-0000-0000D9100000}"/>
    <cellStyle name="Normal 2 16 2 3 2 3" xfId="11539" xr:uid="{00000000-0005-0000-0000-0000DA100000}"/>
    <cellStyle name="Normal 2 16 2 3 2 4" xfId="8189" xr:uid="{00000000-0005-0000-0000-0000DB100000}"/>
    <cellStyle name="Normal 2 16 2 3 3" xfId="5547" xr:uid="{00000000-0005-0000-0000-0000DC100000}"/>
    <cellStyle name="Normal 2 16 2 3 3 2" xfId="8897" xr:uid="{00000000-0005-0000-0000-0000DD100000}"/>
    <cellStyle name="Normal 2 16 2 3 4" xfId="10572" xr:uid="{00000000-0005-0000-0000-0000DE100000}"/>
    <cellStyle name="Normal 2 16 2 3 5" xfId="7222" xr:uid="{00000000-0005-0000-0000-0000DF100000}"/>
    <cellStyle name="Normal 2 16 2 4" xfId="4108" xr:uid="{00000000-0005-0000-0000-0000E0100000}"/>
    <cellStyle name="Normal 2 16 2 4 2" xfId="5075" xr:uid="{00000000-0005-0000-0000-0000E1100000}"/>
    <cellStyle name="Normal 2 16 2 4 2 2" xfId="6750" xr:uid="{00000000-0005-0000-0000-0000E2100000}"/>
    <cellStyle name="Normal 2 16 2 4 2 2 2" xfId="10100" xr:uid="{00000000-0005-0000-0000-0000E3100000}"/>
    <cellStyle name="Normal 2 16 2 4 2 3" xfId="11775" xr:uid="{00000000-0005-0000-0000-0000E4100000}"/>
    <cellStyle name="Normal 2 16 2 4 2 4" xfId="8425" xr:uid="{00000000-0005-0000-0000-0000E5100000}"/>
    <cellStyle name="Normal 2 16 2 4 3" xfId="5783" xr:uid="{00000000-0005-0000-0000-0000E6100000}"/>
    <cellStyle name="Normal 2 16 2 4 3 2" xfId="9133" xr:uid="{00000000-0005-0000-0000-0000E7100000}"/>
    <cellStyle name="Normal 2 16 2 4 4" xfId="10808" xr:uid="{00000000-0005-0000-0000-0000E8100000}"/>
    <cellStyle name="Normal 2 16 2 4 5" xfId="7458" xr:uid="{00000000-0005-0000-0000-0000E9100000}"/>
    <cellStyle name="Normal 2 16 2 5" xfId="4344" xr:uid="{00000000-0005-0000-0000-0000EA100000}"/>
    <cellStyle name="Normal 2 16 2 5 2" xfId="6019" xr:uid="{00000000-0005-0000-0000-0000EB100000}"/>
    <cellStyle name="Normal 2 16 2 5 2 2" xfId="9369" xr:uid="{00000000-0005-0000-0000-0000EC100000}"/>
    <cellStyle name="Normal 2 16 2 5 3" xfId="11044" xr:uid="{00000000-0005-0000-0000-0000ED100000}"/>
    <cellStyle name="Normal 2 16 2 5 4" xfId="7694" xr:uid="{00000000-0005-0000-0000-0000EE100000}"/>
    <cellStyle name="Normal 2 16 2 6" xfId="4603" xr:uid="{00000000-0005-0000-0000-0000EF100000}"/>
    <cellStyle name="Normal 2 16 2 6 2" xfId="6278" xr:uid="{00000000-0005-0000-0000-0000F0100000}"/>
    <cellStyle name="Normal 2 16 2 6 2 2" xfId="9628" xr:uid="{00000000-0005-0000-0000-0000F1100000}"/>
    <cellStyle name="Normal 2 16 2 6 3" xfId="11303" xr:uid="{00000000-0005-0000-0000-0000F2100000}"/>
    <cellStyle name="Normal 2 16 2 6 4" xfId="7953" xr:uid="{00000000-0005-0000-0000-0000F3100000}"/>
    <cellStyle name="Normal 2 16 2 7" xfId="5311" xr:uid="{00000000-0005-0000-0000-0000F4100000}"/>
    <cellStyle name="Normal 2 16 2 7 2" xfId="8661" xr:uid="{00000000-0005-0000-0000-0000F5100000}"/>
    <cellStyle name="Normal 2 16 2 8" xfId="10336" xr:uid="{00000000-0005-0000-0000-0000F6100000}"/>
    <cellStyle name="Normal 2 16 2 9" xfId="6986" xr:uid="{00000000-0005-0000-0000-0000F7100000}"/>
    <cellStyle name="Normal 2 16 3" xfId="3659" xr:uid="{00000000-0005-0000-0000-0000F8100000}"/>
    <cellStyle name="Normal 2 16 3 2" xfId="3777" xr:uid="{00000000-0005-0000-0000-0000F9100000}"/>
    <cellStyle name="Normal 2 16 3 2 2" xfId="4013" xr:uid="{00000000-0005-0000-0000-0000FA100000}"/>
    <cellStyle name="Normal 2 16 3 2 2 2" xfId="4980" xr:uid="{00000000-0005-0000-0000-0000FB100000}"/>
    <cellStyle name="Normal 2 16 3 2 2 2 2" xfId="6655" xr:uid="{00000000-0005-0000-0000-0000FC100000}"/>
    <cellStyle name="Normal 2 16 3 2 2 2 2 2" xfId="10005" xr:uid="{00000000-0005-0000-0000-0000FD100000}"/>
    <cellStyle name="Normal 2 16 3 2 2 2 3" xfId="11680" xr:uid="{00000000-0005-0000-0000-0000FE100000}"/>
    <cellStyle name="Normal 2 16 3 2 2 2 4" xfId="8330" xr:uid="{00000000-0005-0000-0000-0000FF100000}"/>
    <cellStyle name="Normal 2 16 3 2 2 3" xfId="5688" xr:uid="{00000000-0005-0000-0000-000000110000}"/>
    <cellStyle name="Normal 2 16 3 2 2 3 2" xfId="9038" xr:uid="{00000000-0005-0000-0000-000001110000}"/>
    <cellStyle name="Normal 2 16 3 2 2 4" xfId="10713" xr:uid="{00000000-0005-0000-0000-000002110000}"/>
    <cellStyle name="Normal 2 16 3 2 2 5" xfId="7363" xr:uid="{00000000-0005-0000-0000-000003110000}"/>
    <cellStyle name="Normal 2 16 3 2 3" xfId="4249" xr:uid="{00000000-0005-0000-0000-000004110000}"/>
    <cellStyle name="Normal 2 16 3 2 3 2" xfId="5216" xr:uid="{00000000-0005-0000-0000-000005110000}"/>
    <cellStyle name="Normal 2 16 3 2 3 2 2" xfId="6891" xr:uid="{00000000-0005-0000-0000-000006110000}"/>
    <cellStyle name="Normal 2 16 3 2 3 2 2 2" xfId="10241" xr:uid="{00000000-0005-0000-0000-000007110000}"/>
    <cellStyle name="Normal 2 16 3 2 3 2 3" xfId="11916" xr:uid="{00000000-0005-0000-0000-000008110000}"/>
    <cellStyle name="Normal 2 16 3 2 3 2 4" xfId="8566" xr:uid="{00000000-0005-0000-0000-000009110000}"/>
    <cellStyle name="Normal 2 16 3 2 3 3" xfId="5924" xr:uid="{00000000-0005-0000-0000-00000A110000}"/>
    <cellStyle name="Normal 2 16 3 2 3 3 2" xfId="9274" xr:uid="{00000000-0005-0000-0000-00000B110000}"/>
    <cellStyle name="Normal 2 16 3 2 3 4" xfId="10949" xr:uid="{00000000-0005-0000-0000-00000C110000}"/>
    <cellStyle name="Normal 2 16 3 2 3 5" xfId="7599" xr:uid="{00000000-0005-0000-0000-00000D110000}"/>
    <cellStyle name="Normal 2 16 3 2 4" xfId="4485" xr:uid="{00000000-0005-0000-0000-00000E110000}"/>
    <cellStyle name="Normal 2 16 3 2 4 2" xfId="6160" xr:uid="{00000000-0005-0000-0000-00000F110000}"/>
    <cellStyle name="Normal 2 16 3 2 4 2 2" xfId="9510" xr:uid="{00000000-0005-0000-0000-000010110000}"/>
    <cellStyle name="Normal 2 16 3 2 4 3" xfId="11185" xr:uid="{00000000-0005-0000-0000-000011110000}"/>
    <cellStyle name="Normal 2 16 3 2 4 4" xfId="7835" xr:uid="{00000000-0005-0000-0000-000012110000}"/>
    <cellStyle name="Normal 2 16 3 2 5" xfId="4744" xr:uid="{00000000-0005-0000-0000-000013110000}"/>
    <cellStyle name="Normal 2 16 3 2 5 2" xfId="6419" xr:uid="{00000000-0005-0000-0000-000014110000}"/>
    <cellStyle name="Normal 2 16 3 2 5 2 2" xfId="9769" xr:uid="{00000000-0005-0000-0000-000015110000}"/>
    <cellStyle name="Normal 2 16 3 2 5 3" xfId="11444" xr:uid="{00000000-0005-0000-0000-000016110000}"/>
    <cellStyle name="Normal 2 16 3 2 5 4" xfId="8094" xr:uid="{00000000-0005-0000-0000-000017110000}"/>
    <cellStyle name="Normal 2 16 3 2 6" xfId="5452" xr:uid="{00000000-0005-0000-0000-000018110000}"/>
    <cellStyle name="Normal 2 16 3 2 6 2" xfId="8802" xr:uid="{00000000-0005-0000-0000-000019110000}"/>
    <cellStyle name="Normal 2 16 3 2 7" xfId="10477" xr:uid="{00000000-0005-0000-0000-00001A110000}"/>
    <cellStyle name="Normal 2 16 3 2 8" xfId="7127" xr:uid="{00000000-0005-0000-0000-00001B110000}"/>
    <cellStyle name="Normal 2 16 3 3" xfId="3895" xr:uid="{00000000-0005-0000-0000-00001C110000}"/>
    <cellStyle name="Normal 2 16 3 3 2" xfId="4862" xr:uid="{00000000-0005-0000-0000-00001D110000}"/>
    <cellStyle name="Normal 2 16 3 3 2 2" xfId="6537" xr:uid="{00000000-0005-0000-0000-00001E110000}"/>
    <cellStyle name="Normal 2 16 3 3 2 2 2" xfId="9887" xr:uid="{00000000-0005-0000-0000-00001F110000}"/>
    <cellStyle name="Normal 2 16 3 3 2 3" xfId="11562" xr:uid="{00000000-0005-0000-0000-000020110000}"/>
    <cellStyle name="Normal 2 16 3 3 2 4" xfId="8212" xr:uid="{00000000-0005-0000-0000-000021110000}"/>
    <cellStyle name="Normal 2 16 3 3 3" xfId="5570" xr:uid="{00000000-0005-0000-0000-000022110000}"/>
    <cellStyle name="Normal 2 16 3 3 3 2" xfId="8920" xr:uid="{00000000-0005-0000-0000-000023110000}"/>
    <cellStyle name="Normal 2 16 3 3 4" xfId="10595" xr:uid="{00000000-0005-0000-0000-000024110000}"/>
    <cellStyle name="Normal 2 16 3 3 5" xfId="7245" xr:uid="{00000000-0005-0000-0000-000025110000}"/>
    <cellStyle name="Normal 2 16 3 4" xfId="4131" xr:uid="{00000000-0005-0000-0000-000026110000}"/>
    <cellStyle name="Normal 2 16 3 4 2" xfId="5098" xr:uid="{00000000-0005-0000-0000-000027110000}"/>
    <cellStyle name="Normal 2 16 3 4 2 2" xfId="6773" xr:uid="{00000000-0005-0000-0000-000028110000}"/>
    <cellStyle name="Normal 2 16 3 4 2 2 2" xfId="10123" xr:uid="{00000000-0005-0000-0000-000029110000}"/>
    <cellStyle name="Normal 2 16 3 4 2 3" xfId="11798" xr:uid="{00000000-0005-0000-0000-00002A110000}"/>
    <cellStyle name="Normal 2 16 3 4 2 4" xfId="8448" xr:uid="{00000000-0005-0000-0000-00002B110000}"/>
    <cellStyle name="Normal 2 16 3 4 3" xfId="5806" xr:uid="{00000000-0005-0000-0000-00002C110000}"/>
    <cellStyle name="Normal 2 16 3 4 3 2" xfId="9156" xr:uid="{00000000-0005-0000-0000-00002D110000}"/>
    <cellStyle name="Normal 2 16 3 4 4" xfId="10831" xr:uid="{00000000-0005-0000-0000-00002E110000}"/>
    <cellStyle name="Normal 2 16 3 4 5" xfId="7481" xr:uid="{00000000-0005-0000-0000-00002F110000}"/>
    <cellStyle name="Normal 2 16 3 5" xfId="4367" xr:uid="{00000000-0005-0000-0000-000030110000}"/>
    <cellStyle name="Normal 2 16 3 5 2" xfId="6042" xr:uid="{00000000-0005-0000-0000-000031110000}"/>
    <cellStyle name="Normal 2 16 3 5 2 2" xfId="9392" xr:uid="{00000000-0005-0000-0000-000032110000}"/>
    <cellStyle name="Normal 2 16 3 5 3" xfId="11067" xr:uid="{00000000-0005-0000-0000-000033110000}"/>
    <cellStyle name="Normal 2 16 3 5 4" xfId="7717" xr:uid="{00000000-0005-0000-0000-000034110000}"/>
    <cellStyle name="Normal 2 16 3 6" xfId="4626" xr:uid="{00000000-0005-0000-0000-000035110000}"/>
    <cellStyle name="Normal 2 16 3 6 2" xfId="6301" xr:uid="{00000000-0005-0000-0000-000036110000}"/>
    <cellStyle name="Normal 2 16 3 6 2 2" xfId="9651" xr:uid="{00000000-0005-0000-0000-000037110000}"/>
    <cellStyle name="Normal 2 16 3 6 3" xfId="11326" xr:uid="{00000000-0005-0000-0000-000038110000}"/>
    <cellStyle name="Normal 2 16 3 6 4" xfId="7976" xr:uid="{00000000-0005-0000-0000-000039110000}"/>
    <cellStyle name="Normal 2 16 3 7" xfId="5334" xr:uid="{00000000-0005-0000-0000-00003A110000}"/>
    <cellStyle name="Normal 2 16 3 7 2" xfId="8684" xr:uid="{00000000-0005-0000-0000-00003B110000}"/>
    <cellStyle name="Normal 2 16 3 8" xfId="10359" xr:uid="{00000000-0005-0000-0000-00003C110000}"/>
    <cellStyle name="Normal 2 16 3 9" xfId="7009" xr:uid="{00000000-0005-0000-0000-00003D110000}"/>
    <cellStyle name="Normal 2 16 4" xfId="3683" xr:uid="{00000000-0005-0000-0000-00003E110000}"/>
    <cellStyle name="Normal 2 16 4 2" xfId="3801" xr:uid="{00000000-0005-0000-0000-00003F110000}"/>
    <cellStyle name="Normal 2 16 4 2 2" xfId="4037" xr:uid="{00000000-0005-0000-0000-000040110000}"/>
    <cellStyle name="Normal 2 16 4 2 2 2" xfId="5004" xr:uid="{00000000-0005-0000-0000-000041110000}"/>
    <cellStyle name="Normal 2 16 4 2 2 2 2" xfId="6679" xr:uid="{00000000-0005-0000-0000-000042110000}"/>
    <cellStyle name="Normal 2 16 4 2 2 2 2 2" xfId="10029" xr:uid="{00000000-0005-0000-0000-000043110000}"/>
    <cellStyle name="Normal 2 16 4 2 2 2 3" xfId="11704" xr:uid="{00000000-0005-0000-0000-000044110000}"/>
    <cellStyle name="Normal 2 16 4 2 2 2 4" xfId="8354" xr:uid="{00000000-0005-0000-0000-000045110000}"/>
    <cellStyle name="Normal 2 16 4 2 2 3" xfId="5712" xr:uid="{00000000-0005-0000-0000-000046110000}"/>
    <cellStyle name="Normal 2 16 4 2 2 3 2" xfId="9062" xr:uid="{00000000-0005-0000-0000-000047110000}"/>
    <cellStyle name="Normal 2 16 4 2 2 4" xfId="10737" xr:uid="{00000000-0005-0000-0000-000048110000}"/>
    <cellStyle name="Normal 2 16 4 2 2 5" xfId="7387" xr:uid="{00000000-0005-0000-0000-000049110000}"/>
    <cellStyle name="Normal 2 16 4 2 3" xfId="4273" xr:uid="{00000000-0005-0000-0000-00004A110000}"/>
    <cellStyle name="Normal 2 16 4 2 3 2" xfId="5240" xr:uid="{00000000-0005-0000-0000-00004B110000}"/>
    <cellStyle name="Normal 2 16 4 2 3 2 2" xfId="6915" xr:uid="{00000000-0005-0000-0000-00004C110000}"/>
    <cellStyle name="Normal 2 16 4 2 3 2 2 2" xfId="10265" xr:uid="{00000000-0005-0000-0000-00004D110000}"/>
    <cellStyle name="Normal 2 16 4 2 3 2 3" xfId="11940" xr:uid="{00000000-0005-0000-0000-00004E110000}"/>
    <cellStyle name="Normal 2 16 4 2 3 2 4" xfId="8590" xr:uid="{00000000-0005-0000-0000-00004F110000}"/>
    <cellStyle name="Normal 2 16 4 2 3 3" xfId="5948" xr:uid="{00000000-0005-0000-0000-000050110000}"/>
    <cellStyle name="Normal 2 16 4 2 3 3 2" xfId="9298" xr:uid="{00000000-0005-0000-0000-000051110000}"/>
    <cellStyle name="Normal 2 16 4 2 3 4" xfId="10973" xr:uid="{00000000-0005-0000-0000-000052110000}"/>
    <cellStyle name="Normal 2 16 4 2 3 5" xfId="7623" xr:uid="{00000000-0005-0000-0000-000053110000}"/>
    <cellStyle name="Normal 2 16 4 2 4" xfId="4509" xr:uid="{00000000-0005-0000-0000-000054110000}"/>
    <cellStyle name="Normal 2 16 4 2 4 2" xfId="6184" xr:uid="{00000000-0005-0000-0000-000055110000}"/>
    <cellStyle name="Normal 2 16 4 2 4 2 2" xfId="9534" xr:uid="{00000000-0005-0000-0000-000056110000}"/>
    <cellStyle name="Normal 2 16 4 2 4 3" xfId="11209" xr:uid="{00000000-0005-0000-0000-000057110000}"/>
    <cellStyle name="Normal 2 16 4 2 4 4" xfId="7859" xr:uid="{00000000-0005-0000-0000-000058110000}"/>
    <cellStyle name="Normal 2 16 4 2 5" xfId="4768" xr:uid="{00000000-0005-0000-0000-000059110000}"/>
    <cellStyle name="Normal 2 16 4 2 5 2" xfId="6443" xr:uid="{00000000-0005-0000-0000-00005A110000}"/>
    <cellStyle name="Normal 2 16 4 2 5 2 2" xfId="9793" xr:uid="{00000000-0005-0000-0000-00005B110000}"/>
    <cellStyle name="Normal 2 16 4 2 5 3" xfId="11468" xr:uid="{00000000-0005-0000-0000-00005C110000}"/>
    <cellStyle name="Normal 2 16 4 2 5 4" xfId="8118" xr:uid="{00000000-0005-0000-0000-00005D110000}"/>
    <cellStyle name="Normal 2 16 4 2 6" xfId="5476" xr:uid="{00000000-0005-0000-0000-00005E110000}"/>
    <cellStyle name="Normal 2 16 4 2 6 2" xfId="8826" xr:uid="{00000000-0005-0000-0000-00005F110000}"/>
    <cellStyle name="Normal 2 16 4 2 7" xfId="10501" xr:uid="{00000000-0005-0000-0000-000060110000}"/>
    <cellStyle name="Normal 2 16 4 2 8" xfId="7151" xr:uid="{00000000-0005-0000-0000-000061110000}"/>
    <cellStyle name="Normal 2 16 4 3" xfId="3919" xr:uid="{00000000-0005-0000-0000-000062110000}"/>
    <cellStyle name="Normal 2 16 4 3 2" xfId="4886" xr:uid="{00000000-0005-0000-0000-000063110000}"/>
    <cellStyle name="Normal 2 16 4 3 2 2" xfId="6561" xr:uid="{00000000-0005-0000-0000-000064110000}"/>
    <cellStyle name="Normal 2 16 4 3 2 2 2" xfId="9911" xr:uid="{00000000-0005-0000-0000-000065110000}"/>
    <cellStyle name="Normal 2 16 4 3 2 3" xfId="11586" xr:uid="{00000000-0005-0000-0000-000066110000}"/>
    <cellStyle name="Normal 2 16 4 3 2 4" xfId="8236" xr:uid="{00000000-0005-0000-0000-000067110000}"/>
    <cellStyle name="Normal 2 16 4 3 3" xfId="5594" xr:uid="{00000000-0005-0000-0000-000068110000}"/>
    <cellStyle name="Normal 2 16 4 3 3 2" xfId="8944" xr:uid="{00000000-0005-0000-0000-000069110000}"/>
    <cellStyle name="Normal 2 16 4 3 4" xfId="10619" xr:uid="{00000000-0005-0000-0000-00006A110000}"/>
    <cellStyle name="Normal 2 16 4 3 5" xfId="7269" xr:uid="{00000000-0005-0000-0000-00006B110000}"/>
    <cellStyle name="Normal 2 16 4 4" xfId="4155" xr:uid="{00000000-0005-0000-0000-00006C110000}"/>
    <cellStyle name="Normal 2 16 4 4 2" xfId="5122" xr:uid="{00000000-0005-0000-0000-00006D110000}"/>
    <cellStyle name="Normal 2 16 4 4 2 2" xfId="6797" xr:uid="{00000000-0005-0000-0000-00006E110000}"/>
    <cellStyle name="Normal 2 16 4 4 2 2 2" xfId="10147" xr:uid="{00000000-0005-0000-0000-00006F110000}"/>
    <cellStyle name="Normal 2 16 4 4 2 3" xfId="11822" xr:uid="{00000000-0005-0000-0000-000070110000}"/>
    <cellStyle name="Normal 2 16 4 4 2 4" xfId="8472" xr:uid="{00000000-0005-0000-0000-000071110000}"/>
    <cellStyle name="Normal 2 16 4 4 3" xfId="5830" xr:uid="{00000000-0005-0000-0000-000072110000}"/>
    <cellStyle name="Normal 2 16 4 4 3 2" xfId="9180" xr:uid="{00000000-0005-0000-0000-000073110000}"/>
    <cellStyle name="Normal 2 16 4 4 4" xfId="10855" xr:uid="{00000000-0005-0000-0000-000074110000}"/>
    <cellStyle name="Normal 2 16 4 4 5" xfId="7505" xr:uid="{00000000-0005-0000-0000-000075110000}"/>
    <cellStyle name="Normal 2 16 4 5" xfId="4391" xr:uid="{00000000-0005-0000-0000-000076110000}"/>
    <cellStyle name="Normal 2 16 4 5 2" xfId="6066" xr:uid="{00000000-0005-0000-0000-000077110000}"/>
    <cellStyle name="Normal 2 16 4 5 2 2" xfId="9416" xr:uid="{00000000-0005-0000-0000-000078110000}"/>
    <cellStyle name="Normal 2 16 4 5 3" xfId="11091" xr:uid="{00000000-0005-0000-0000-000079110000}"/>
    <cellStyle name="Normal 2 16 4 5 4" xfId="7741" xr:uid="{00000000-0005-0000-0000-00007A110000}"/>
    <cellStyle name="Normal 2 16 4 6" xfId="4650" xr:uid="{00000000-0005-0000-0000-00007B110000}"/>
    <cellStyle name="Normal 2 16 4 6 2" xfId="6325" xr:uid="{00000000-0005-0000-0000-00007C110000}"/>
    <cellStyle name="Normal 2 16 4 6 2 2" xfId="9675" xr:uid="{00000000-0005-0000-0000-00007D110000}"/>
    <cellStyle name="Normal 2 16 4 6 3" xfId="11350" xr:uid="{00000000-0005-0000-0000-00007E110000}"/>
    <cellStyle name="Normal 2 16 4 6 4" xfId="8000" xr:uid="{00000000-0005-0000-0000-00007F110000}"/>
    <cellStyle name="Normal 2 16 4 7" xfId="5358" xr:uid="{00000000-0005-0000-0000-000080110000}"/>
    <cellStyle name="Normal 2 16 4 7 2" xfId="8708" xr:uid="{00000000-0005-0000-0000-000081110000}"/>
    <cellStyle name="Normal 2 16 4 8" xfId="10383" xr:uid="{00000000-0005-0000-0000-000082110000}"/>
    <cellStyle name="Normal 2 16 4 9" xfId="7033" xr:uid="{00000000-0005-0000-0000-000083110000}"/>
    <cellStyle name="Normal 2 16 5" xfId="3707" xr:uid="{00000000-0005-0000-0000-000084110000}"/>
    <cellStyle name="Normal 2 16 5 2" xfId="3825" xr:uid="{00000000-0005-0000-0000-000085110000}"/>
    <cellStyle name="Normal 2 16 5 2 2" xfId="4061" xr:uid="{00000000-0005-0000-0000-000086110000}"/>
    <cellStyle name="Normal 2 16 5 2 2 2" xfId="5028" xr:uid="{00000000-0005-0000-0000-000087110000}"/>
    <cellStyle name="Normal 2 16 5 2 2 2 2" xfId="6703" xr:uid="{00000000-0005-0000-0000-000088110000}"/>
    <cellStyle name="Normal 2 16 5 2 2 2 2 2" xfId="10053" xr:uid="{00000000-0005-0000-0000-000089110000}"/>
    <cellStyle name="Normal 2 16 5 2 2 2 3" xfId="11728" xr:uid="{00000000-0005-0000-0000-00008A110000}"/>
    <cellStyle name="Normal 2 16 5 2 2 2 4" xfId="8378" xr:uid="{00000000-0005-0000-0000-00008B110000}"/>
    <cellStyle name="Normal 2 16 5 2 2 3" xfId="5736" xr:uid="{00000000-0005-0000-0000-00008C110000}"/>
    <cellStyle name="Normal 2 16 5 2 2 3 2" xfId="9086" xr:uid="{00000000-0005-0000-0000-00008D110000}"/>
    <cellStyle name="Normal 2 16 5 2 2 4" xfId="10761" xr:uid="{00000000-0005-0000-0000-00008E110000}"/>
    <cellStyle name="Normal 2 16 5 2 2 5" xfId="7411" xr:uid="{00000000-0005-0000-0000-00008F110000}"/>
    <cellStyle name="Normal 2 16 5 2 3" xfId="4297" xr:uid="{00000000-0005-0000-0000-000090110000}"/>
    <cellStyle name="Normal 2 16 5 2 3 2" xfId="5264" xr:uid="{00000000-0005-0000-0000-000091110000}"/>
    <cellStyle name="Normal 2 16 5 2 3 2 2" xfId="6939" xr:uid="{00000000-0005-0000-0000-000092110000}"/>
    <cellStyle name="Normal 2 16 5 2 3 2 2 2" xfId="10289" xr:uid="{00000000-0005-0000-0000-000093110000}"/>
    <cellStyle name="Normal 2 16 5 2 3 2 3" xfId="11964" xr:uid="{00000000-0005-0000-0000-000094110000}"/>
    <cellStyle name="Normal 2 16 5 2 3 2 4" xfId="8614" xr:uid="{00000000-0005-0000-0000-000095110000}"/>
    <cellStyle name="Normal 2 16 5 2 3 3" xfId="5972" xr:uid="{00000000-0005-0000-0000-000096110000}"/>
    <cellStyle name="Normal 2 16 5 2 3 3 2" xfId="9322" xr:uid="{00000000-0005-0000-0000-000097110000}"/>
    <cellStyle name="Normal 2 16 5 2 3 4" xfId="10997" xr:uid="{00000000-0005-0000-0000-000098110000}"/>
    <cellStyle name="Normal 2 16 5 2 3 5" xfId="7647" xr:uid="{00000000-0005-0000-0000-000099110000}"/>
    <cellStyle name="Normal 2 16 5 2 4" xfId="4533" xr:uid="{00000000-0005-0000-0000-00009A110000}"/>
    <cellStyle name="Normal 2 16 5 2 4 2" xfId="6208" xr:uid="{00000000-0005-0000-0000-00009B110000}"/>
    <cellStyle name="Normal 2 16 5 2 4 2 2" xfId="9558" xr:uid="{00000000-0005-0000-0000-00009C110000}"/>
    <cellStyle name="Normal 2 16 5 2 4 3" xfId="11233" xr:uid="{00000000-0005-0000-0000-00009D110000}"/>
    <cellStyle name="Normal 2 16 5 2 4 4" xfId="7883" xr:uid="{00000000-0005-0000-0000-00009E110000}"/>
    <cellStyle name="Normal 2 16 5 2 5" xfId="4792" xr:uid="{00000000-0005-0000-0000-00009F110000}"/>
    <cellStyle name="Normal 2 16 5 2 5 2" xfId="6467" xr:uid="{00000000-0005-0000-0000-0000A0110000}"/>
    <cellStyle name="Normal 2 16 5 2 5 2 2" xfId="9817" xr:uid="{00000000-0005-0000-0000-0000A1110000}"/>
    <cellStyle name="Normal 2 16 5 2 5 3" xfId="11492" xr:uid="{00000000-0005-0000-0000-0000A2110000}"/>
    <cellStyle name="Normal 2 16 5 2 5 4" xfId="8142" xr:uid="{00000000-0005-0000-0000-0000A3110000}"/>
    <cellStyle name="Normal 2 16 5 2 6" xfId="5500" xr:uid="{00000000-0005-0000-0000-0000A4110000}"/>
    <cellStyle name="Normal 2 16 5 2 6 2" xfId="8850" xr:uid="{00000000-0005-0000-0000-0000A5110000}"/>
    <cellStyle name="Normal 2 16 5 2 7" xfId="10525" xr:uid="{00000000-0005-0000-0000-0000A6110000}"/>
    <cellStyle name="Normal 2 16 5 2 8" xfId="7175" xr:uid="{00000000-0005-0000-0000-0000A7110000}"/>
    <cellStyle name="Normal 2 16 5 3" xfId="3943" xr:uid="{00000000-0005-0000-0000-0000A8110000}"/>
    <cellStyle name="Normal 2 16 5 3 2" xfId="4910" xr:uid="{00000000-0005-0000-0000-0000A9110000}"/>
    <cellStyle name="Normal 2 16 5 3 2 2" xfId="6585" xr:uid="{00000000-0005-0000-0000-0000AA110000}"/>
    <cellStyle name="Normal 2 16 5 3 2 2 2" xfId="9935" xr:uid="{00000000-0005-0000-0000-0000AB110000}"/>
    <cellStyle name="Normal 2 16 5 3 2 3" xfId="11610" xr:uid="{00000000-0005-0000-0000-0000AC110000}"/>
    <cellStyle name="Normal 2 16 5 3 2 4" xfId="8260" xr:uid="{00000000-0005-0000-0000-0000AD110000}"/>
    <cellStyle name="Normal 2 16 5 3 3" xfId="5618" xr:uid="{00000000-0005-0000-0000-0000AE110000}"/>
    <cellStyle name="Normal 2 16 5 3 3 2" xfId="8968" xr:uid="{00000000-0005-0000-0000-0000AF110000}"/>
    <cellStyle name="Normal 2 16 5 3 4" xfId="10643" xr:uid="{00000000-0005-0000-0000-0000B0110000}"/>
    <cellStyle name="Normal 2 16 5 3 5" xfId="7293" xr:uid="{00000000-0005-0000-0000-0000B1110000}"/>
    <cellStyle name="Normal 2 16 5 4" xfId="4179" xr:uid="{00000000-0005-0000-0000-0000B2110000}"/>
    <cellStyle name="Normal 2 16 5 4 2" xfId="5146" xr:uid="{00000000-0005-0000-0000-0000B3110000}"/>
    <cellStyle name="Normal 2 16 5 4 2 2" xfId="6821" xr:uid="{00000000-0005-0000-0000-0000B4110000}"/>
    <cellStyle name="Normal 2 16 5 4 2 2 2" xfId="10171" xr:uid="{00000000-0005-0000-0000-0000B5110000}"/>
    <cellStyle name="Normal 2 16 5 4 2 3" xfId="11846" xr:uid="{00000000-0005-0000-0000-0000B6110000}"/>
    <cellStyle name="Normal 2 16 5 4 2 4" xfId="8496" xr:uid="{00000000-0005-0000-0000-0000B7110000}"/>
    <cellStyle name="Normal 2 16 5 4 3" xfId="5854" xr:uid="{00000000-0005-0000-0000-0000B8110000}"/>
    <cellStyle name="Normal 2 16 5 4 3 2" xfId="9204" xr:uid="{00000000-0005-0000-0000-0000B9110000}"/>
    <cellStyle name="Normal 2 16 5 4 4" xfId="10879" xr:uid="{00000000-0005-0000-0000-0000BA110000}"/>
    <cellStyle name="Normal 2 16 5 4 5" xfId="7529" xr:uid="{00000000-0005-0000-0000-0000BB110000}"/>
    <cellStyle name="Normal 2 16 5 5" xfId="4415" xr:uid="{00000000-0005-0000-0000-0000BC110000}"/>
    <cellStyle name="Normal 2 16 5 5 2" xfId="6090" xr:uid="{00000000-0005-0000-0000-0000BD110000}"/>
    <cellStyle name="Normal 2 16 5 5 2 2" xfId="9440" xr:uid="{00000000-0005-0000-0000-0000BE110000}"/>
    <cellStyle name="Normal 2 16 5 5 3" xfId="11115" xr:uid="{00000000-0005-0000-0000-0000BF110000}"/>
    <cellStyle name="Normal 2 16 5 5 4" xfId="7765" xr:uid="{00000000-0005-0000-0000-0000C0110000}"/>
    <cellStyle name="Normal 2 16 5 6" xfId="4674" xr:uid="{00000000-0005-0000-0000-0000C1110000}"/>
    <cellStyle name="Normal 2 16 5 6 2" xfId="6349" xr:uid="{00000000-0005-0000-0000-0000C2110000}"/>
    <cellStyle name="Normal 2 16 5 6 2 2" xfId="9699" xr:uid="{00000000-0005-0000-0000-0000C3110000}"/>
    <cellStyle name="Normal 2 16 5 6 3" xfId="11374" xr:uid="{00000000-0005-0000-0000-0000C4110000}"/>
    <cellStyle name="Normal 2 16 5 6 4" xfId="8024" xr:uid="{00000000-0005-0000-0000-0000C5110000}"/>
    <cellStyle name="Normal 2 16 5 7" xfId="5382" xr:uid="{00000000-0005-0000-0000-0000C6110000}"/>
    <cellStyle name="Normal 2 16 5 7 2" xfId="8732" xr:uid="{00000000-0005-0000-0000-0000C7110000}"/>
    <cellStyle name="Normal 2 16 5 8" xfId="10407" xr:uid="{00000000-0005-0000-0000-0000C8110000}"/>
    <cellStyle name="Normal 2 16 5 9" xfId="7057" xr:uid="{00000000-0005-0000-0000-0000C9110000}"/>
    <cellStyle name="Normal 2 16 6" xfId="3731" xr:uid="{00000000-0005-0000-0000-0000CA110000}"/>
    <cellStyle name="Normal 2 16 6 2" xfId="3967" xr:uid="{00000000-0005-0000-0000-0000CB110000}"/>
    <cellStyle name="Normal 2 16 6 2 2" xfId="4934" xr:uid="{00000000-0005-0000-0000-0000CC110000}"/>
    <cellStyle name="Normal 2 16 6 2 2 2" xfId="6609" xr:uid="{00000000-0005-0000-0000-0000CD110000}"/>
    <cellStyle name="Normal 2 16 6 2 2 2 2" xfId="9959" xr:uid="{00000000-0005-0000-0000-0000CE110000}"/>
    <cellStyle name="Normal 2 16 6 2 2 3" xfId="11634" xr:uid="{00000000-0005-0000-0000-0000CF110000}"/>
    <cellStyle name="Normal 2 16 6 2 2 4" xfId="8284" xr:uid="{00000000-0005-0000-0000-0000D0110000}"/>
    <cellStyle name="Normal 2 16 6 2 3" xfId="5642" xr:uid="{00000000-0005-0000-0000-0000D1110000}"/>
    <cellStyle name="Normal 2 16 6 2 3 2" xfId="8992" xr:uid="{00000000-0005-0000-0000-0000D2110000}"/>
    <cellStyle name="Normal 2 16 6 2 4" xfId="10667" xr:uid="{00000000-0005-0000-0000-0000D3110000}"/>
    <cellStyle name="Normal 2 16 6 2 5" xfId="7317" xr:uid="{00000000-0005-0000-0000-0000D4110000}"/>
    <cellStyle name="Normal 2 16 6 3" xfId="4203" xr:uid="{00000000-0005-0000-0000-0000D5110000}"/>
    <cellStyle name="Normal 2 16 6 3 2" xfId="5170" xr:uid="{00000000-0005-0000-0000-0000D6110000}"/>
    <cellStyle name="Normal 2 16 6 3 2 2" xfId="6845" xr:uid="{00000000-0005-0000-0000-0000D7110000}"/>
    <cellStyle name="Normal 2 16 6 3 2 2 2" xfId="10195" xr:uid="{00000000-0005-0000-0000-0000D8110000}"/>
    <cellStyle name="Normal 2 16 6 3 2 3" xfId="11870" xr:uid="{00000000-0005-0000-0000-0000D9110000}"/>
    <cellStyle name="Normal 2 16 6 3 2 4" xfId="8520" xr:uid="{00000000-0005-0000-0000-0000DA110000}"/>
    <cellStyle name="Normal 2 16 6 3 3" xfId="5878" xr:uid="{00000000-0005-0000-0000-0000DB110000}"/>
    <cellStyle name="Normal 2 16 6 3 3 2" xfId="9228" xr:uid="{00000000-0005-0000-0000-0000DC110000}"/>
    <cellStyle name="Normal 2 16 6 3 4" xfId="10903" xr:uid="{00000000-0005-0000-0000-0000DD110000}"/>
    <cellStyle name="Normal 2 16 6 3 5" xfId="7553" xr:uid="{00000000-0005-0000-0000-0000DE110000}"/>
    <cellStyle name="Normal 2 16 6 4" xfId="4439" xr:uid="{00000000-0005-0000-0000-0000DF110000}"/>
    <cellStyle name="Normal 2 16 6 4 2" xfId="6114" xr:uid="{00000000-0005-0000-0000-0000E0110000}"/>
    <cellStyle name="Normal 2 16 6 4 2 2" xfId="9464" xr:uid="{00000000-0005-0000-0000-0000E1110000}"/>
    <cellStyle name="Normal 2 16 6 4 3" xfId="11139" xr:uid="{00000000-0005-0000-0000-0000E2110000}"/>
    <cellStyle name="Normal 2 16 6 4 4" xfId="7789" xr:uid="{00000000-0005-0000-0000-0000E3110000}"/>
    <cellStyle name="Normal 2 16 6 5" xfId="4698" xr:uid="{00000000-0005-0000-0000-0000E4110000}"/>
    <cellStyle name="Normal 2 16 6 5 2" xfId="6373" xr:uid="{00000000-0005-0000-0000-0000E5110000}"/>
    <cellStyle name="Normal 2 16 6 5 2 2" xfId="9723" xr:uid="{00000000-0005-0000-0000-0000E6110000}"/>
    <cellStyle name="Normal 2 16 6 5 3" xfId="11398" xr:uid="{00000000-0005-0000-0000-0000E7110000}"/>
    <cellStyle name="Normal 2 16 6 5 4" xfId="8048" xr:uid="{00000000-0005-0000-0000-0000E8110000}"/>
    <cellStyle name="Normal 2 16 6 6" xfId="5406" xr:uid="{00000000-0005-0000-0000-0000E9110000}"/>
    <cellStyle name="Normal 2 16 6 6 2" xfId="8756" xr:uid="{00000000-0005-0000-0000-0000EA110000}"/>
    <cellStyle name="Normal 2 16 6 7" xfId="10431" xr:uid="{00000000-0005-0000-0000-0000EB110000}"/>
    <cellStyle name="Normal 2 16 6 8" xfId="7081" xr:uid="{00000000-0005-0000-0000-0000EC110000}"/>
    <cellStyle name="Normal 2 16 7" xfId="3849" xr:uid="{00000000-0005-0000-0000-0000ED110000}"/>
    <cellStyle name="Normal 2 16 7 2" xfId="4816" xr:uid="{00000000-0005-0000-0000-0000EE110000}"/>
    <cellStyle name="Normal 2 16 7 2 2" xfId="6491" xr:uid="{00000000-0005-0000-0000-0000EF110000}"/>
    <cellStyle name="Normal 2 16 7 2 2 2" xfId="9841" xr:uid="{00000000-0005-0000-0000-0000F0110000}"/>
    <cellStyle name="Normal 2 16 7 2 3" xfId="11516" xr:uid="{00000000-0005-0000-0000-0000F1110000}"/>
    <cellStyle name="Normal 2 16 7 2 4" xfId="8166" xr:uid="{00000000-0005-0000-0000-0000F2110000}"/>
    <cellStyle name="Normal 2 16 7 3" xfId="5524" xr:uid="{00000000-0005-0000-0000-0000F3110000}"/>
    <cellStyle name="Normal 2 16 7 3 2" xfId="8874" xr:uid="{00000000-0005-0000-0000-0000F4110000}"/>
    <cellStyle name="Normal 2 16 7 4" xfId="10549" xr:uid="{00000000-0005-0000-0000-0000F5110000}"/>
    <cellStyle name="Normal 2 16 7 5" xfId="7199" xr:uid="{00000000-0005-0000-0000-0000F6110000}"/>
    <cellStyle name="Normal 2 16 8" xfId="4085" xr:uid="{00000000-0005-0000-0000-0000F7110000}"/>
    <cellStyle name="Normal 2 16 8 2" xfId="5052" xr:uid="{00000000-0005-0000-0000-0000F8110000}"/>
    <cellStyle name="Normal 2 16 8 2 2" xfId="6727" xr:uid="{00000000-0005-0000-0000-0000F9110000}"/>
    <cellStyle name="Normal 2 16 8 2 2 2" xfId="10077" xr:uid="{00000000-0005-0000-0000-0000FA110000}"/>
    <cellStyle name="Normal 2 16 8 2 3" xfId="11752" xr:uid="{00000000-0005-0000-0000-0000FB110000}"/>
    <cellStyle name="Normal 2 16 8 2 4" xfId="8402" xr:uid="{00000000-0005-0000-0000-0000FC110000}"/>
    <cellStyle name="Normal 2 16 8 3" xfId="5760" xr:uid="{00000000-0005-0000-0000-0000FD110000}"/>
    <cellStyle name="Normal 2 16 8 3 2" xfId="9110" xr:uid="{00000000-0005-0000-0000-0000FE110000}"/>
    <cellStyle name="Normal 2 16 8 4" xfId="10785" xr:uid="{00000000-0005-0000-0000-0000FF110000}"/>
    <cellStyle name="Normal 2 16 8 5" xfId="7435" xr:uid="{00000000-0005-0000-0000-000000120000}"/>
    <cellStyle name="Normal 2 16 9" xfId="4321" xr:uid="{00000000-0005-0000-0000-000001120000}"/>
    <cellStyle name="Normal 2 16 9 2" xfId="4580" xr:uid="{00000000-0005-0000-0000-000002120000}"/>
    <cellStyle name="Normal 2 16 9 2 2" xfId="6255" xr:uid="{00000000-0005-0000-0000-000003120000}"/>
    <cellStyle name="Normal 2 16 9 2 2 2" xfId="9605" xr:uid="{00000000-0005-0000-0000-000004120000}"/>
    <cellStyle name="Normal 2 16 9 2 3" xfId="11280" xr:uid="{00000000-0005-0000-0000-000005120000}"/>
    <cellStyle name="Normal 2 16 9 2 4" xfId="7930" xr:uid="{00000000-0005-0000-0000-000006120000}"/>
    <cellStyle name="Normal 2 16 9 3" xfId="5996" xr:uid="{00000000-0005-0000-0000-000007120000}"/>
    <cellStyle name="Normal 2 16 9 3 2" xfId="9346" xr:uid="{00000000-0005-0000-0000-000008120000}"/>
    <cellStyle name="Normal 2 16 9 4" xfId="11021" xr:uid="{00000000-0005-0000-0000-000009120000}"/>
    <cellStyle name="Normal 2 16 9 5" xfId="7671" xr:uid="{00000000-0005-0000-0000-00000A120000}"/>
    <cellStyle name="Normal 2 17" xfId="3407" xr:uid="{00000000-0005-0000-0000-00000B120000}"/>
    <cellStyle name="Normal 2 18" xfId="2622" xr:uid="{00000000-0005-0000-0000-00003E0A0000}"/>
    <cellStyle name="Normal 2 19" xfId="3634" xr:uid="{00000000-0005-0000-0000-00000D120000}"/>
    <cellStyle name="Normal 2 19 2" xfId="3753" xr:uid="{00000000-0005-0000-0000-00000E120000}"/>
    <cellStyle name="Normal 2 19 2 2" xfId="3989" xr:uid="{00000000-0005-0000-0000-00000F120000}"/>
    <cellStyle name="Normal 2 19 2 2 2" xfId="4956" xr:uid="{00000000-0005-0000-0000-000010120000}"/>
    <cellStyle name="Normal 2 19 2 2 2 2" xfId="6631" xr:uid="{00000000-0005-0000-0000-000011120000}"/>
    <cellStyle name="Normal 2 19 2 2 2 2 2" xfId="9981" xr:uid="{00000000-0005-0000-0000-000012120000}"/>
    <cellStyle name="Normal 2 19 2 2 2 3" xfId="11656" xr:uid="{00000000-0005-0000-0000-000013120000}"/>
    <cellStyle name="Normal 2 19 2 2 2 4" xfId="8306" xr:uid="{00000000-0005-0000-0000-000014120000}"/>
    <cellStyle name="Normal 2 19 2 2 3" xfId="5664" xr:uid="{00000000-0005-0000-0000-000015120000}"/>
    <cellStyle name="Normal 2 19 2 2 3 2" xfId="9014" xr:uid="{00000000-0005-0000-0000-000016120000}"/>
    <cellStyle name="Normal 2 19 2 2 4" xfId="10689" xr:uid="{00000000-0005-0000-0000-000017120000}"/>
    <cellStyle name="Normal 2 19 2 2 5" xfId="7339" xr:uid="{00000000-0005-0000-0000-000018120000}"/>
    <cellStyle name="Normal 2 19 2 3" xfId="4225" xr:uid="{00000000-0005-0000-0000-000019120000}"/>
    <cellStyle name="Normal 2 19 2 3 2" xfId="5192" xr:uid="{00000000-0005-0000-0000-00001A120000}"/>
    <cellStyle name="Normal 2 19 2 3 2 2" xfId="6867" xr:uid="{00000000-0005-0000-0000-00001B120000}"/>
    <cellStyle name="Normal 2 19 2 3 2 2 2" xfId="10217" xr:uid="{00000000-0005-0000-0000-00001C120000}"/>
    <cellStyle name="Normal 2 19 2 3 2 3" xfId="11892" xr:uid="{00000000-0005-0000-0000-00001D120000}"/>
    <cellStyle name="Normal 2 19 2 3 2 4" xfId="8542" xr:uid="{00000000-0005-0000-0000-00001E120000}"/>
    <cellStyle name="Normal 2 19 2 3 3" xfId="5900" xr:uid="{00000000-0005-0000-0000-00001F120000}"/>
    <cellStyle name="Normal 2 19 2 3 3 2" xfId="9250" xr:uid="{00000000-0005-0000-0000-000020120000}"/>
    <cellStyle name="Normal 2 19 2 3 4" xfId="10925" xr:uid="{00000000-0005-0000-0000-000021120000}"/>
    <cellStyle name="Normal 2 19 2 3 5" xfId="7575" xr:uid="{00000000-0005-0000-0000-000022120000}"/>
    <cellStyle name="Normal 2 19 2 4" xfId="4461" xr:uid="{00000000-0005-0000-0000-000023120000}"/>
    <cellStyle name="Normal 2 19 2 4 2" xfId="6136" xr:uid="{00000000-0005-0000-0000-000024120000}"/>
    <cellStyle name="Normal 2 19 2 4 2 2" xfId="9486" xr:uid="{00000000-0005-0000-0000-000025120000}"/>
    <cellStyle name="Normal 2 19 2 4 3" xfId="11161" xr:uid="{00000000-0005-0000-0000-000026120000}"/>
    <cellStyle name="Normal 2 19 2 4 4" xfId="7811" xr:uid="{00000000-0005-0000-0000-000027120000}"/>
    <cellStyle name="Normal 2 19 2 5" xfId="4720" xr:uid="{00000000-0005-0000-0000-000028120000}"/>
    <cellStyle name="Normal 2 19 2 5 2" xfId="6395" xr:uid="{00000000-0005-0000-0000-000029120000}"/>
    <cellStyle name="Normal 2 19 2 5 2 2" xfId="9745" xr:uid="{00000000-0005-0000-0000-00002A120000}"/>
    <cellStyle name="Normal 2 19 2 5 3" xfId="11420" xr:uid="{00000000-0005-0000-0000-00002B120000}"/>
    <cellStyle name="Normal 2 19 2 5 4" xfId="8070" xr:uid="{00000000-0005-0000-0000-00002C120000}"/>
    <cellStyle name="Normal 2 19 2 6" xfId="5428" xr:uid="{00000000-0005-0000-0000-00002D120000}"/>
    <cellStyle name="Normal 2 19 2 6 2" xfId="8778" xr:uid="{00000000-0005-0000-0000-00002E120000}"/>
    <cellStyle name="Normal 2 19 2 7" xfId="10453" xr:uid="{00000000-0005-0000-0000-00002F120000}"/>
    <cellStyle name="Normal 2 19 2 8" xfId="7103" xr:uid="{00000000-0005-0000-0000-000030120000}"/>
    <cellStyle name="Normal 2 19 3" xfId="3870" xr:uid="{00000000-0005-0000-0000-000031120000}"/>
    <cellStyle name="Normal 2 19 3 2" xfId="4837" xr:uid="{00000000-0005-0000-0000-000032120000}"/>
    <cellStyle name="Normal 2 19 3 2 2" xfId="6512" xr:uid="{00000000-0005-0000-0000-000033120000}"/>
    <cellStyle name="Normal 2 19 3 2 2 2" xfId="9862" xr:uid="{00000000-0005-0000-0000-000034120000}"/>
    <cellStyle name="Normal 2 19 3 2 3" xfId="11537" xr:uid="{00000000-0005-0000-0000-000035120000}"/>
    <cellStyle name="Normal 2 19 3 2 4" xfId="8187" xr:uid="{00000000-0005-0000-0000-000036120000}"/>
    <cellStyle name="Normal 2 19 3 3" xfId="5545" xr:uid="{00000000-0005-0000-0000-000037120000}"/>
    <cellStyle name="Normal 2 19 3 3 2" xfId="8895" xr:uid="{00000000-0005-0000-0000-000038120000}"/>
    <cellStyle name="Normal 2 19 3 4" xfId="10570" xr:uid="{00000000-0005-0000-0000-000039120000}"/>
    <cellStyle name="Normal 2 19 3 5" xfId="7220" xr:uid="{00000000-0005-0000-0000-00003A120000}"/>
    <cellStyle name="Normal 2 19 4" xfId="4106" xr:uid="{00000000-0005-0000-0000-00003B120000}"/>
    <cellStyle name="Normal 2 19 4 2" xfId="5073" xr:uid="{00000000-0005-0000-0000-00003C120000}"/>
    <cellStyle name="Normal 2 19 4 2 2" xfId="6748" xr:uid="{00000000-0005-0000-0000-00003D120000}"/>
    <cellStyle name="Normal 2 19 4 2 2 2" xfId="10098" xr:uid="{00000000-0005-0000-0000-00003E120000}"/>
    <cellStyle name="Normal 2 19 4 2 3" xfId="11773" xr:uid="{00000000-0005-0000-0000-00003F120000}"/>
    <cellStyle name="Normal 2 19 4 2 4" xfId="8423" xr:uid="{00000000-0005-0000-0000-000040120000}"/>
    <cellStyle name="Normal 2 19 4 3" xfId="5781" xr:uid="{00000000-0005-0000-0000-000041120000}"/>
    <cellStyle name="Normal 2 19 4 3 2" xfId="9131" xr:uid="{00000000-0005-0000-0000-000042120000}"/>
    <cellStyle name="Normal 2 19 4 4" xfId="10806" xr:uid="{00000000-0005-0000-0000-000043120000}"/>
    <cellStyle name="Normal 2 19 4 5" xfId="7456" xr:uid="{00000000-0005-0000-0000-000044120000}"/>
    <cellStyle name="Normal 2 19 5" xfId="4342" xr:uid="{00000000-0005-0000-0000-000045120000}"/>
    <cellStyle name="Normal 2 19 5 2" xfId="6017" xr:uid="{00000000-0005-0000-0000-000046120000}"/>
    <cellStyle name="Normal 2 19 5 2 2" xfId="9367" xr:uid="{00000000-0005-0000-0000-000047120000}"/>
    <cellStyle name="Normal 2 19 5 3" xfId="11042" xr:uid="{00000000-0005-0000-0000-000048120000}"/>
    <cellStyle name="Normal 2 19 5 4" xfId="7692" xr:uid="{00000000-0005-0000-0000-000049120000}"/>
    <cellStyle name="Normal 2 19 6" xfId="4601" xr:uid="{00000000-0005-0000-0000-00004A120000}"/>
    <cellStyle name="Normal 2 19 6 2" xfId="6276" xr:uid="{00000000-0005-0000-0000-00004B120000}"/>
    <cellStyle name="Normal 2 19 6 2 2" xfId="9626" xr:uid="{00000000-0005-0000-0000-00004C120000}"/>
    <cellStyle name="Normal 2 19 6 3" xfId="11301" xr:uid="{00000000-0005-0000-0000-00004D120000}"/>
    <cellStyle name="Normal 2 19 6 4" xfId="7951" xr:uid="{00000000-0005-0000-0000-00004E120000}"/>
    <cellStyle name="Normal 2 19 7" xfId="5309" xr:uid="{00000000-0005-0000-0000-00004F120000}"/>
    <cellStyle name="Normal 2 19 7 2" xfId="8659" xr:uid="{00000000-0005-0000-0000-000050120000}"/>
    <cellStyle name="Normal 2 19 8" xfId="10334" xr:uid="{00000000-0005-0000-0000-000051120000}"/>
    <cellStyle name="Normal 2 19 9" xfId="6984" xr:uid="{00000000-0005-0000-0000-000052120000}"/>
    <cellStyle name="Normal 2 2" xfId="2623" xr:uid="{00000000-0005-0000-0000-00003F0A0000}"/>
    <cellStyle name="Normal 2 2 10" xfId="2624" xr:uid="{00000000-0005-0000-0000-0000400A0000}"/>
    <cellStyle name="Normal 2 2 11" xfId="2625" xr:uid="{00000000-0005-0000-0000-0000410A0000}"/>
    <cellStyle name="Normal 2 2 12" xfId="2626" xr:uid="{00000000-0005-0000-0000-0000420A0000}"/>
    <cellStyle name="Normal 2 2 12 10" xfId="4091" xr:uid="{00000000-0005-0000-0000-000057120000}"/>
    <cellStyle name="Normal 2 2 12 10 2" xfId="5058" xr:uid="{00000000-0005-0000-0000-000058120000}"/>
    <cellStyle name="Normal 2 2 12 10 2 2" xfId="6733" xr:uid="{00000000-0005-0000-0000-000059120000}"/>
    <cellStyle name="Normal 2 2 12 10 2 2 2" xfId="10083" xr:uid="{00000000-0005-0000-0000-00005A120000}"/>
    <cellStyle name="Normal 2 2 12 10 2 3" xfId="11758" xr:uid="{00000000-0005-0000-0000-00005B120000}"/>
    <cellStyle name="Normal 2 2 12 10 2 4" xfId="8408" xr:uid="{00000000-0005-0000-0000-00005C120000}"/>
    <cellStyle name="Normal 2 2 12 10 3" xfId="5766" xr:uid="{00000000-0005-0000-0000-00005D120000}"/>
    <cellStyle name="Normal 2 2 12 10 3 2" xfId="9116" xr:uid="{00000000-0005-0000-0000-00005E120000}"/>
    <cellStyle name="Normal 2 2 12 10 4" xfId="10791" xr:uid="{00000000-0005-0000-0000-00005F120000}"/>
    <cellStyle name="Normal 2 2 12 10 5" xfId="7441" xr:uid="{00000000-0005-0000-0000-000060120000}"/>
    <cellStyle name="Normal 2 2 12 11" xfId="4327" xr:uid="{00000000-0005-0000-0000-000061120000}"/>
    <cellStyle name="Normal 2 2 12 11 2" xfId="4586" xr:uid="{00000000-0005-0000-0000-000062120000}"/>
    <cellStyle name="Normal 2 2 12 11 2 2" xfId="6261" xr:uid="{00000000-0005-0000-0000-000063120000}"/>
    <cellStyle name="Normal 2 2 12 11 2 2 2" xfId="9611" xr:uid="{00000000-0005-0000-0000-000064120000}"/>
    <cellStyle name="Normal 2 2 12 11 2 3" xfId="11286" xr:uid="{00000000-0005-0000-0000-000065120000}"/>
    <cellStyle name="Normal 2 2 12 11 2 4" xfId="7936" xr:uid="{00000000-0005-0000-0000-000066120000}"/>
    <cellStyle name="Normal 2 2 12 11 3" xfId="6002" xr:uid="{00000000-0005-0000-0000-000067120000}"/>
    <cellStyle name="Normal 2 2 12 11 3 2" xfId="9352" xr:uid="{00000000-0005-0000-0000-000068120000}"/>
    <cellStyle name="Normal 2 2 12 11 4" xfId="11027" xr:uid="{00000000-0005-0000-0000-000069120000}"/>
    <cellStyle name="Normal 2 2 12 11 5" xfId="7677" xr:uid="{00000000-0005-0000-0000-00006A120000}"/>
    <cellStyle name="Normal 2 2 12 12" xfId="4563" xr:uid="{00000000-0005-0000-0000-00006B120000}"/>
    <cellStyle name="Normal 2 2 12 12 2" xfId="6238" xr:uid="{00000000-0005-0000-0000-00006C120000}"/>
    <cellStyle name="Normal 2 2 12 12 2 2" xfId="9588" xr:uid="{00000000-0005-0000-0000-00006D120000}"/>
    <cellStyle name="Normal 2 2 12 12 3" xfId="11263" xr:uid="{00000000-0005-0000-0000-00006E120000}"/>
    <cellStyle name="Normal 2 2 12 12 4" xfId="7913" xr:uid="{00000000-0005-0000-0000-00006F120000}"/>
    <cellStyle name="Normal 2 2 12 13" xfId="5294" xr:uid="{00000000-0005-0000-0000-000070120000}"/>
    <cellStyle name="Normal 2 2 12 13 2" xfId="8644" xr:uid="{00000000-0005-0000-0000-000071120000}"/>
    <cellStyle name="Normal 2 2 12 14" xfId="10319" xr:uid="{00000000-0005-0000-0000-000072120000}"/>
    <cellStyle name="Normal 2 2 12 15" xfId="6969" xr:uid="{00000000-0005-0000-0000-000073120000}"/>
    <cellStyle name="Normal 2 2 12 16" xfId="3409" xr:uid="{00000000-0005-0000-0000-000056120000}"/>
    <cellStyle name="Normal 2 2 12 2" xfId="2627" xr:uid="{00000000-0005-0000-0000-0000430A0000}"/>
    <cellStyle name="Normal 2 2 12 2 10" xfId="4564" xr:uid="{00000000-0005-0000-0000-000075120000}"/>
    <cellStyle name="Normal 2 2 12 2 10 2" xfId="6239" xr:uid="{00000000-0005-0000-0000-000076120000}"/>
    <cellStyle name="Normal 2 2 12 2 10 2 2" xfId="9589" xr:uid="{00000000-0005-0000-0000-000077120000}"/>
    <cellStyle name="Normal 2 2 12 2 10 3" xfId="11264" xr:uid="{00000000-0005-0000-0000-000078120000}"/>
    <cellStyle name="Normal 2 2 12 2 10 4" xfId="7914" xr:uid="{00000000-0005-0000-0000-000079120000}"/>
    <cellStyle name="Normal 2 2 12 2 11" xfId="5295" xr:uid="{00000000-0005-0000-0000-00007A120000}"/>
    <cellStyle name="Normal 2 2 12 2 11 2" xfId="8645" xr:uid="{00000000-0005-0000-0000-00007B120000}"/>
    <cellStyle name="Normal 2 2 12 2 12" xfId="10320" xr:uid="{00000000-0005-0000-0000-00007C120000}"/>
    <cellStyle name="Normal 2 2 12 2 13" xfId="6970" xr:uid="{00000000-0005-0000-0000-00007D120000}"/>
    <cellStyle name="Normal 2 2 12 2 14" xfId="3410" xr:uid="{00000000-0005-0000-0000-000074120000}"/>
    <cellStyle name="Normal 2 2 12 2 2" xfId="3643" xr:uid="{00000000-0005-0000-0000-00007E120000}"/>
    <cellStyle name="Normal 2 2 12 2 2 2" xfId="3761" xr:uid="{00000000-0005-0000-0000-00007F120000}"/>
    <cellStyle name="Normal 2 2 12 2 2 2 2" xfId="3997" xr:uid="{00000000-0005-0000-0000-000080120000}"/>
    <cellStyle name="Normal 2 2 12 2 2 2 2 2" xfId="4964" xr:uid="{00000000-0005-0000-0000-000081120000}"/>
    <cellStyle name="Normal 2 2 12 2 2 2 2 2 2" xfId="6639" xr:uid="{00000000-0005-0000-0000-000082120000}"/>
    <cellStyle name="Normal 2 2 12 2 2 2 2 2 2 2" xfId="9989" xr:uid="{00000000-0005-0000-0000-000083120000}"/>
    <cellStyle name="Normal 2 2 12 2 2 2 2 2 3" xfId="11664" xr:uid="{00000000-0005-0000-0000-000084120000}"/>
    <cellStyle name="Normal 2 2 12 2 2 2 2 2 4" xfId="8314" xr:uid="{00000000-0005-0000-0000-000085120000}"/>
    <cellStyle name="Normal 2 2 12 2 2 2 2 3" xfId="5672" xr:uid="{00000000-0005-0000-0000-000086120000}"/>
    <cellStyle name="Normal 2 2 12 2 2 2 2 3 2" xfId="9022" xr:uid="{00000000-0005-0000-0000-000087120000}"/>
    <cellStyle name="Normal 2 2 12 2 2 2 2 4" xfId="10697" xr:uid="{00000000-0005-0000-0000-000088120000}"/>
    <cellStyle name="Normal 2 2 12 2 2 2 2 5" xfId="7347" xr:uid="{00000000-0005-0000-0000-000089120000}"/>
    <cellStyle name="Normal 2 2 12 2 2 2 3" xfId="4233" xr:uid="{00000000-0005-0000-0000-00008A120000}"/>
    <cellStyle name="Normal 2 2 12 2 2 2 3 2" xfId="5200" xr:uid="{00000000-0005-0000-0000-00008B120000}"/>
    <cellStyle name="Normal 2 2 12 2 2 2 3 2 2" xfId="6875" xr:uid="{00000000-0005-0000-0000-00008C120000}"/>
    <cellStyle name="Normal 2 2 12 2 2 2 3 2 2 2" xfId="10225" xr:uid="{00000000-0005-0000-0000-00008D120000}"/>
    <cellStyle name="Normal 2 2 12 2 2 2 3 2 3" xfId="11900" xr:uid="{00000000-0005-0000-0000-00008E120000}"/>
    <cellStyle name="Normal 2 2 12 2 2 2 3 2 4" xfId="8550" xr:uid="{00000000-0005-0000-0000-00008F120000}"/>
    <cellStyle name="Normal 2 2 12 2 2 2 3 3" xfId="5908" xr:uid="{00000000-0005-0000-0000-000090120000}"/>
    <cellStyle name="Normal 2 2 12 2 2 2 3 3 2" xfId="9258" xr:uid="{00000000-0005-0000-0000-000091120000}"/>
    <cellStyle name="Normal 2 2 12 2 2 2 3 4" xfId="10933" xr:uid="{00000000-0005-0000-0000-000092120000}"/>
    <cellStyle name="Normal 2 2 12 2 2 2 3 5" xfId="7583" xr:uid="{00000000-0005-0000-0000-000093120000}"/>
    <cellStyle name="Normal 2 2 12 2 2 2 4" xfId="4469" xr:uid="{00000000-0005-0000-0000-000094120000}"/>
    <cellStyle name="Normal 2 2 12 2 2 2 4 2" xfId="6144" xr:uid="{00000000-0005-0000-0000-000095120000}"/>
    <cellStyle name="Normal 2 2 12 2 2 2 4 2 2" xfId="9494" xr:uid="{00000000-0005-0000-0000-000096120000}"/>
    <cellStyle name="Normal 2 2 12 2 2 2 4 3" xfId="11169" xr:uid="{00000000-0005-0000-0000-000097120000}"/>
    <cellStyle name="Normal 2 2 12 2 2 2 4 4" xfId="7819" xr:uid="{00000000-0005-0000-0000-000098120000}"/>
    <cellStyle name="Normal 2 2 12 2 2 2 5" xfId="4728" xr:uid="{00000000-0005-0000-0000-000099120000}"/>
    <cellStyle name="Normal 2 2 12 2 2 2 5 2" xfId="6403" xr:uid="{00000000-0005-0000-0000-00009A120000}"/>
    <cellStyle name="Normal 2 2 12 2 2 2 5 2 2" xfId="9753" xr:uid="{00000000-0005-0000-0000-00009B120000}"/>
    <cellStyle name="Normal 2 2 12 2 2 2 5 3" xfId="11428" xr:uid="{00000000-0005-0000-0000-00009C120000}"/>
    <cellStyle name="Normal 2 2 12 2 2 2 5 4" xfId="8078" xr:uid="{00000000-0005-0000-0000-00009D120000}"/>
    <cellStyle name="Normal 2 2 12 2 2 2 6" xfId="5436" xr:uid="{00000000-0005-0000-0000-00009E120000}"/>
    <cellStyle name="Normal 2 2 12 2 2 2 6 2" xfId="8786" xr:uid="{00000000-0005-0000-0000-00009F120000}"/>
    <cellStyle name="Normal 2 2 12 2 2 2 7" xfId="10461" xr:uid="{00000000-0005-0000-0000-0000A0120000}"/>
    <cellStyle name="Normal 2 2 12 2 2 2 8" xfId="7111" xr:uid="{00000000-0005-0000-0000-0000A1120000}"/>
    <cellStyle name="Normal 2 2 12 2 2 3" xfId="3879" xr:uid="{00000000-0005-0000-0000-0000A2120000}"/>
    <cellStyle name="Normal 2 2 12 2 2 3 2" xfId="4846" xr:uid="{00000000-0005-0000-0000-0000A3120000}"/>
    <cellStyle name="Normal 2 2 12 2 2 3 2 2" xfId="6521" xr:uid="{00000000-0005-0000-0000-0000A4120000}"/>
    <cellStyle name="Normal 2 2 12 2 2 3 2 2 2" xfId="9871" xr:uid="{00000000-0005-0000-0000-0000A5120000}"/>
    <cellStyle name="Normal 2 2 12 2 2 3 2 3" xfId="11546" xr:uid="{00000000-0005-0000-0000-0000A6120000}"/>
    <cellStyle name="Normal 2 2 12 2 2 3 2 4" xfId="8196" xr:uid="{00000000-0005-0000-0000-0000A7120000}"/>
    <cellStyle name="Normal 2 2 12 2 2 3 3" xfId="5554" xr:uid="{00000000-0005-0000-0000-0000A8120000}"/>
    <cellStyle name="Normal 2 2 12 2 2 3 3 2" xfId="8904" xr:uid="{00000000-0005-0000-0000-0000A9120000}"/>
    <cellStyle name="Normal 2 2 12 2 2 3 4" xfId="10579" xr:uid="{00000000-0005-0000-0000-0000AA120000}"/>
    <cellStyle name="Normal 2 2 12 2 2 3 5" xfId="7229" xr:uid="{00000000-0005-0000-0000-0000AB120000}"/>
    <cellStyle name="Normal 2 2 12 2 2 4" xfId="4115" xr:uid="{00000000-0005-0000-0000-0000AC120000}"/>
    <cellStyle name="Normal 2 2 12 2 2 4 2" xfId="5082" xr:uid="{00000000-0005-0000-0000-0000AD120000}"/>
    <cellStyle name="Normal 2 2 12 2 2 4 2 2" xfId="6757" xr:uid="{00000000-0005-0000-0000-0000AE120000}"/>
    <cellStyle name="Normal 2 2 12 2 2 4 2 2 2" xfId="10107" xr:uid="{00000000-0005-0000-0000-0000AF120000}"/>
    <cellStyle name="Normal 2 2 12 2 2 4 2 3" xfId="11782" xr:uid="{00000000-0005-0000-0000-0000B0120000}"/>
    <cellStyle name="Normal 2 2 12 2 2 4 2 4" xfId="8432" xr:uid="{00000000-0005-0000-0000-0000B1120000}"/>
    <cellStyle name="Normal 2 2 12 2 2 4 3" xfId="5790" xr:uid="{00000000-0005-0000-0000-0000B2120000}"/>
    <cellStyle name="Normal 2 2 12 2 2 4 3 2" xfId="9140" xr:uid="{00000000-0005-0000-0000-0000B3120000}"/>
    <cellStyle name="Normal 2 2 12 2 2 4 4" xfId="10815" xr:uid="{00000000-0005-0000-0000-0000B4120000}"/>
    <cellStyle name="Normal 2 2 12 2 2 4 5" xfId="7465" xr:uid="{00000000-0005-0000-0000-0000B5120000}"/>
    <cellStyle name="Normal 2 2 12 2 2 5" xfId="4351" xr:uid="{00000000-0005-0000-0000-0000B6120000}"/>
    <cellStyle name="Normal 2 2 12 2 2 5 2" xfId="6026" xr:uid="{00000000-0005-0000-0000-0000B7120000}"/>
    <cellStyle name="Normal 2 2 12 2 2 5 2 2" xfId="9376" xr:uid="{00000000-0005-0000-0000-0000B8120000}"/>
    <cellStyle name="Normal 2 2 12 2 2 5 3" xfId="11051" xr:uid="{00000000-0005-0000-0000-0000B9120000}"/>
    <cellStyle name="Normal 2 2 12 2 2 5 4" xfId="7701" xr:uid="{00000000-0005-0000-0000-0000BA120000}"/>
    <cellStyle name="Normal 2 2 12 2 2 6" xfId="4610" xr:uid="{00000000-0005-0000-0000-0000BB120000}"/>
    <cellStyle name="Normal 2 2 12 2 2 6 2" xfId="6285" xr:uid="{00000000-0005-0000-0000-0000BC120000}"/>
    <cellStyle name="Normal 2 2 12 2 2 6 2 2" xfId="9635" xr:uid="{00000000-0005-0000-0000-0000BD120000}"/>
    <cellStyle name="Normal 2 2 12 2 2 6 3" xfId="11310" xr:uid="{00000000-0005-0000-0000-0000BE120000}"/>
    <cellStyle name="Normal 2 2 12 2 2 6 4" xfId="7960" xr:uid="{00000000-0005-0000-0000-0000BF120000}"/>
    <cellStyle name="Normal 2 2 12 2 2 7" xfId="5318" xr:uid="{00000000-0005-0000-0000-0000C0120000}"/>
    <cellStyle name="Normal 2 2 12 2 2 7 2" xfId="8668" xr:uid="{00000000-0005-0000-0000-0000C1120000}"/>
    <cellStyle name="Normal 2 2 12 2 2 8" xfId="10343" xr:uid="{00000000-0005-0000-0000-0000C2120000}"/>
    <cellStyle name="Normal 2 2 12 2 2 9" xfId="6993" xr:uid="{00000000-0005-0000-0000-0000C3120000}"/>
    <cellStyle name="Normal 2 2 12 2 3" xfId="3666" xr:uid="{00000000-0005-0000-0000-0000C4120000}"/>
    <cellStyle name="Normal 2 2 12 2 3 2" xfId="3784" xr:uid="{00000000-0005-0000-0000-0000C5120000}"/>
    <cellStyle name="Normal 2 2 12 2 3 2 2" xfId="4020" xr:uid="{00000000-0005-0000-0000-0000C6120000}"/>
    <cellStyle name="Normal 2 2 12 2 3 2 2 2" xfId="4987" xr:uid="{00000000-0005-0000-0000-0000C7120000}"/>
    <cellStyle name="Normal 2 2 12 2 3 2 2 2 2" xfId="6662" xr:uid="{00000000-0005-0000-0000-0000C8120000}"/>
    <cellStyle name="Normal 2 2 12 2 3 2 2 2 2 2" xfId="10012" xr:uid="{00000000-0005-0000-0000-0000C9120000}"/>
    <cellStyle name="Normal 2 2 12 2 3 2 2 2 3" xfId="11687" xr:uid="{00000000-0005-0000-0000-0000CA120000}"/>
    <cellStyle name="Normal 2 2 12 2 3 2 2 2 4" xfId="8337" xr:uid="{00000000-0005-0000-0000-0000CB120000}"/>
    <cellStyle name="Normal 2 2 12 2 3 2 2 3" xfId="5695" xr:uid="{00000000-0005-0000-0000-0000CC120000}"/>
    <cellStyle name="Normal 2 2 12 2 3 2 2 3 2" xfId="9045" xr:uid="{00000000-0005-0000-0000-0000CD120000}"/>
    <cellStyle name="Normal 2 2 12 2 3 2 2 4" xfId="10720" xr:uid="{00000000-0005-0000-0000-0000CE120000}"/>
    <cellStyle name="Normal 2 2 12 2 3 2 2 5" xfId="7370" xr:uid="{00000000-0005-0000-0000-0000CF120000}"/>
    <cellStyle name="Normal 2 2 12 2 3 2 3" xfId="4256" xr:uid="{00000000-0005-0000-0000-0000D0120000}"/>
    <cellStyle name="Normal 2 2 12 2 3 2 3 2" xfId="5223" xr:uid="{00000000-0005-0000-0000-0000D1120000}"/>
    <cellStyle name="Normal 2 2 12 2 3 2 3 2 2" xfId="6898" xr:uid="{00000000-0005-0000-0000-0000D2120000}"/>
    <cellStyle name="Normal 2 2 12 2 3 2 3 2 2 2" xfId="10248" xr:uid="{00000000-0005-0000-0000-0000D3120000}"/>
    <cellStyle name="Normal 2 2 12 2 3 2 3 2 3" xfId="11923" xr:uid="{00000000-0005-0000-0000-0000D4120000}"/>
    <cellStyle name="Normal 2 2 12 2 3 2 3 2 4" xfId="8573" xr:uid="{00000000-0005-0000-0000-0000D5120000}"/>
    <cellStyle name="Normal 2 2 12 2 3 2 3 3" xfId="5931" xr:uid="{00000000-0005-0000-0000-0000D6120000}"/>
    <cellStyle name="Normal 2 2 12 2 3 2 3 3 2" xfId="9281" xr:uid="{00000000-0005-0000-0000-0000D7120000}"/>
    <cellStyle name="Normal 2 2 12 2 3 2 3 4" xfId="10956" xr:uid="{00000000-0005-0000-0000-0000D8120000}"/>
    <cellStyle name="Normal 2 2 12 2 3 2 3 5" xfId="7606" xr:uid="{00000000-0005-0000-0000-0000D9120000}"/>
    <cellStyle name="Normal 2 2 12 2 3 2 4" xfId="4492" xr:uid="{00000000-0005-0000-0000-0000DA120000}"/>
    <cellStyle name="Normal 2 2 12 2 3 2 4 2" xfId="6167" xr:uid="{00000000-0005-0000-0000-0000DB120000}"/>
    <cellStyle name="Normal 2 2 12 2 3 2 4 2 2" xfId="9517" xr:uid="{00000000-0005-0000-0000-0000DC120000}"/>
    <cellStyle name="Normal 2 2 12 2 3 2 4 3" xfId="11192" xr:uid="{00000000-0005-0000-0000-0000DD120000}"/>
    <cellStyle name="Normal 2 2 12 2 3 2 4 4" xfId="7842" xr:uid="{00000000-0005-0000-0000-0000DE120000}"/>
    <cellStyle name="Normal 2 2 12 2 3 2 5" xfId="4751" xr:uid="{00000000-0005-0000-0000-0000DF120000}"/>
    <cellStyle name="Normal 2 2 12 2 3 2 5 2" xfId="6426" xr:uid="{00000000-0005-0000-0000-0000E0120000}"/>
    <cellStyle name="Normal 2 2 12 2 3 2 5 2 2" xfId="9776" xr:uid="{00000000-0005-0000-0000-0000E1120000}"/>
    <cellStyle name="Normal 2 2 12 2 3 2 5 3" xfId="11451" xr:uid="{00000000-0005-0000-0000-0000E2120000}"/>
    <cellStyle name="Normal 2 2 12 2 3 2 5 4" xfId="8101" xr:uid="{00000000-0005-0000-0000-0000E3120000}"/>
    <cellStyle name="Normal 2 2 12 2 3 2 6" xfId="5459" xr:uid="{00000000-0005-0000-0000-0000E4120000}"/>
    <cellStyle name="Normal 2 2 12 2 3 2 6 2" xfId="8809" xr:uid="{00000000-0005-0000-0000-0000E5120000}"/>
    <cellStyle name="Normal 2 2 12 2 3 2 7" xfId="10484" xr:uid="{00000000-0005-0000-0000-0000E6120000}"/>
    <cellStyle name="Normal 2 2 12 2 3 2 8" xfId="7134" xr:uid="{00000000-0005-0000-0000-0000E7120000}"/>
    <cellStyle name="Normal 2 2 12 2 3 3" xfId="3902" xr:uid="{00000000-0005-0000-0000-0000E8120000}"/>
    <cellStyle name="Normal 2 2 12 2 3 3 2" xfId="4869" xr:uid="{00000000-0005-0000-0000-0000E9120000}"/>
    <cellStyle name="Normal 2 2 12 2 3 3 2 2" xfId="6544" xr:uid="{00000000-0005-0000-0000-0000EA120000}"/>
    <cellStyle name="Normal 2 2 12 2 3 3 2 2 2" xfId="9894" xr:uid="{00000000-0005-0000-0000-0000EB120000}"/>
    <cellStyle name="Normal 2 2 12 2 3 3 2 3" xfId="11569" xr:uid="{00000000-0005-0000-0000-0000EC120000}"/>
    <cellStyle name="Normal 2 2 12 2 3 3 2 4" xfId="8219" xr:uid="{00000000-0005-0000-0000-0000ED120000}"/>
    <cellStyle name="Normal 2 2 12 2 3 3 3" xfId="5577" xr:uid="{00000000-0005-0000-0000-0000EE120000}"/>
    <cellStyle name="Normal 2 2 12 2 3 3 3 2" xfId="8927" xr:uid="{00000000-0005-0000-0000-0000EF120000}"/>
    <cellStyle name="Normal 2 2 12 2 3 3 4" xfId="10602" xr:uid="{00000000-0005-0000-0000-0000F0120000}"/>
    <cellStyle name="Normal 2 2 12 2 3 3 5" xfId="7252" xr:uid="{00000000-0005-0000-0000-0000F1120000}"/>
    <cellStyle name="Normal 2 2 12 2 3 4" xfId="4138" xr:uid="{00000000-0005-0000-0000-0000F2120000}"/>
    <cellStyle name="Normal 2 2 12 2 3 4 2" xfId="5105" xr:uid="{00000000-0005-0000-0000-0000F3120000}"/>
    <cellStyle name="Normal 2 2 12 2 3 4 2 2" xfId="6780" xr:uid="{00000000-0005-0000-0000-0000F4120000}"/>
    <cellStyle name="Normal 2 2 12 2 3 4 2 2 2" xfId="10130" xr:uid="{00000000-0005-0000-0000-0000F5120000}"/>
    <cellStyle name="Normal 2 2 12 2 3 4 2 3" xfId="11805" xr:uid="{00000000-0005-0000-0000-0000F6120000}"/>
    <cellStyle name="Normal 2 2 12 2 3 4 2 4" xfId="8455" xr:uid="{00000000-0005-0000-0000-0000F7120000}"/>
    <cellStyle name="Normal 2 2 12 2 3 4 3" xfId="5813" xr:uid="{00000000-0005-0000-0000-0000F8120000}"/>
    <cellStyle name="Normal 2 2 12 2 3 4 3 2" xfId="9163" xr:uid="{00000000-0005-0000-0000-0000F9120000}"/>
    <cellStyle name="Normal 2 2 12 2 3 4 4" xfId="10838" xr:uid="{00000000-0005-0000-0000-0000FA120000}"/>
    <cellStyle name="Normal 2 2 12 2 3 4 5" xfId="7488" xr:uid="{00000000-0005-0000-0000-0000FB120000}"/>
    <cellStyle name="Normal 2 2 12 2 3 5" xfId="4374" xr:uid="{00000000-0005-0000-0000-0000FC120000}"/>
    <cellStyle name="Normal 2 2 12 2 3 5 2" xfId="6049" xr:uid="{00000000-0005-0000-0000-0000FD120000}"/>
    <cellStyle name="Normal 2 2 12 2 3 5 2 2" xfId="9399" xr:uid="{00000000-0005-0000-0000-0000FE120000}"/>
    <cellStyle name="Normal 2 2 12 2 3 5 3" xfId="11074" xr:uid="{00000000-0005-0000-0000-0000FF120000}"/>
    <cellStyle name="Normal 2 2 12 2 3 5 4" xfId="7724" xr:uid="{00000000-0005-0000-0000-000000130000}"/>
    <cellStyle name="Normal 2 2 12 2 3 6" xfId="4633" xr:uid="{00000000-0005-0000-0000-000001130000}"/>
    <cellStyle name="Normal 2 2 12 2 3 6 2" xfId="6308" xr:uid="{00000000-0005-0000-0000-000002130000}"/>
    <cellStyle name="Normal 2 2 12 2 3 6 2 2" xfId="9658" xr:uid="{00000000-0005-0000-0000-000003130000}"/>
    <cellStyle name="Normal 2 2 12 2 3 6 3" xfId="11333" xr:uid="{00000000-0005-0000-0000-000004130000}"/>
    <cellStyle name="Normal 2 2 12 2 3 6 4" xfId="7983" xr:uid="{00000000-0005-0000-0000-000005130000}"/>
    <cellStyle name="Normal 2 2 12 2 3 7" xfId="5341" xr:uid="{00000000-0005-0000-0000-000006130000}"/>
    <cellStyle name="Normal 2 2 12 2 3 7 2" xfId="8691" xr:uid="{00000000-0005-0000-0000-000007130000}"/>
    <cellStyle name="Normal 2 2 12 2 3 8" xfId="10366" xr:uid="{00000000-0005-0000-0000-000008130000}"/>
    <cellStyle name="Normal 2 2 12 2 3 9" xfId="7016" xr:uid="{00000000-0005-0000-0000-000009130000}"/>
    <cellStyle name="Normal 2 2 12 2 4" xfId="3690" xr:uid="{00000000-0005-0000-0000-00000A130000}"/>
    <cellStyle name="Normal 2 2 12 2 4 2" xfId="3808" xr:uid="{00000000-0005-0000-0000-00000B130000}"/>
    <cellStyle name="Normal 2 2 12 2 4 2 2" xfId="4044" xr:uid="{00000000-0005-0000-0000-00000C130000}"/>
    <cellStyle name="Normal 2 2 12 2 4 2 2 2" xfId="5011" xr:uid="{00000000-0005-0000-0000-00000D130000}"/>
    <cellStyle name="Normal 2 2 12 2 4 2 2 2 2" xfId="6686" xr:uid="{00000000-0005-0000-0000-00000E130000}"/>
    <cellStyle name="Normal 2 2 12 2 4 2 2 2 2 2" xfId="10036" xr:uid="{00000000-0005-0000-0000-00000F130000}"/>
    <cellStyle name="Normal 2 2 12 2 4 2 2 2 3" xfId="11711" xr:uid="{00000000-0005-0000-0000-000010130000}"/>
    <cellStyle name="Normal 2 2 12 2 4 2 2 2 4" xfId="8361" xr:uid="{00000000-0005-0000-0000-000011130000}"/>
    <cellStyle name="Normal 2 2 12 2 4 2 2 3" xfId="5719" xr:uid="{00000000-0005-0000-0000-000012130000}"/>
    <cellStyle name="Normal 2 2 12 2 4 2 2 3 2" xfId="9069" xr:uid="{00000000-0005-0000-0000-000013130000}"/>
    <cellStyle name="Normal 2 2 12 2 4 2 2 4" xfId="10744" xr:uid="{00000000-0005-0000-0000-000014130000}"/>
    <cellStyle name="Normal 2 2 12 2 4 2 2 5" xfId="7394" xr:uid="{00000000-0005-0000-0000-000015130000}"/>
    <cellStyle name="Normal 2 2 12 2 4 2 3" xfId="4280" xr:uid="{00000000-0005-0000-0000-000016130000}"/>
    <cellStyle name="Normal 2 2 12 2 4 2 3 2" xfId="5247" xr:uid="{00000000-0005-0000-0000-000017130000}"/>
    <cellStyle name="Normal 2 2 12 2 4 2 3 2 2" xfId="6922" xr:uid="{00000000-0005-0000-0000-000018130000}"/>
    <cellStyle name="Normal 2 2 12 2 4 2 3 2 2 2" xfId="10272" xr:uid="{00000000-0005-0000-0000-000019130000}"/>
    <cellStyle name="Normal 2 2 12 2 4 2 3 2 3" xfId="11947" xr:uid="{00000000-0005-0000-0000-00001A130000}"/>
    <cellStyle name="Normal 2 2 12 2 4 2 3 2 4" xfId="8597" xr:uid="{00000000-0005-0000-0000-00001B130000}"/>
    <cellStyle name="Normal 2 2 12 2 4 2 3 3" xfId="5955" xr:uid="{00000000-0005-0000-0000-00001C130000}"/>
    <cellStyle name="Normal 2 2 12 2 4 2 3 3 2" xfId="9305" xr:uid="{00000000-0005-0000-0000-00001D130000}"/>
    <cellStyle name="Normal 2 2 12 2 4 2 3 4" xfId="10980" xr:uid="{00000000-0005-0000-0000-00001E130000}"/>
    <cellStyle name="Normal 2 2 12 2 4 2 3 5" xfId="7630" xr:uid="{00000000-0005-0000-0000-00001F130000}"/>
    <cellStyle name="Normal 2 2 12 2 4 2 4" xfId="4516" xr:uid="{00000000-0005-0000-0000-000020130000}"/>
    <cellStyle name="Normal 2 2 12 2 4 2 4 2" xfId="6191" xr:uid="{00000000-0005-0000-0000-000021130000}"/>
    <cellStyle name="Normal 2 2 12 2 4 2 4 2 2" xfId="9541" xr:uid="{00000000-0005-0000-0000-000022130000}"/>
    <cellStyle name="Normal 2 2 12 2 4 2 4 3" xfId="11216" xr:uid="{00000000-0005-0000-0000-000023130000}"/>
    <cellStyle name="Normal 2 2 12 2 4 2 4 4" xfId="7866" xr:uid="{00000000-0005-0000-0000-000024130000}"/>
    <cellStyle name="Normal 2 2 12 2 4 2 5" xfId="4775" xr:uid="{00000000-0005-0000-0000-000025130000}"/>
    <cellStyle name="Normal 2 2 12 2 4 2 5 2" xfId="6450" xr:uid="{00000000-0005-0000-0000-000026130000}"/>
    <cellStyle name="Normal 2 2 12 2 4 2 5 2 2" xfId="9800" xr:uid="{00000000-0005-0000-0000-000027130000}"/>
    <cellStyle name="Normal 2 2 12 2 4 2 5 3" xfId="11475" xr:uid="{00000000-0005-0000-0000-000028130000}"/>
    <cellStyle name="Normal 2 2 12 2 4 2 5 4" xfId="8125" xr:uid="{00000000-0005-0000-0000-000029130000}"/>
    <cellStyle name="Normal 2 2 12 2 4 2 6" xfId="5483" xr:uid="{00000000-0005-0000-0000-00002A130000}"/>
    <cellStyle name="Normal 2 2 12 2 4 2 6 2" xfId="8833" xr:uid="{00000000-0005-0000-0000-00002B130000}"/>
    <cellStyle name="Normal 2 2 12 2 4 2 7" xfId="10508" xr:uid="{00000000-0005-0000-0000-00002C130000}"/>
    <cellStyle name="Normal 2 2 12 2 4 2 8" xfId="7158" xr:uid="{00000000-0005-0000-0000-00002D130000}"/>
    <cellStyle name="Normal 2 2 12 2 4 3" xfId="3926" xr:uid="{00000000-0005-0000-0000-00002E130000}"/>
    <cellStyle name="Normal 2 2 12 2 4 3 2" xfId="4893" xr:uid="{00000000-0005-0000-0000-00002F130000}"/>
    <cellStyle name="Normal 2 2 12 2 4 3 2 2" xfId="6568" xr:uid="{00000000-0005-0000-0000-000030130000}"/>
    <cellStyle name="Normal 2 2 12 2 4 3 2 2 2" xfId="9918" xr:uid="{00000000-0005-0000-0000-000031130000}"/>
    <cellStyle name="Normal 2 2 12 2 4 3 2 3" xfId="11593" xr:uid="{00000000-0005-0000-0000-000032130000}"/>
    <cellStyle name="Normal 2 2 12 2 4 3 2 4" xfId="8243" xr:uid="{00000000-0005-0000-0000-000033130000}"/>
    <cellStyle name="Normal 2 2 12 2 4 3 3" xfId="5601" xr:uid="{00000000-0005-0000-0000-000034130000}"/>
    <cellStyle name="Normal 2 2 12 2 4 3 3 2" xfId="8951" xr:uid="{00000000-0005-0000-0000-000035130000}"/>
    <cellStyle name="Normal 2 2 12 2 4 3 4" xfId="10626" xr:uid="{00000000-0005-0000-0000-000036130000}"/>
    <cellStyle name="Normal 2 2 12 2 4 3 5" xfId="7276" xr:uid="{00000000-0005-0000-0000-000037130000}"/>
    <cellStyle name="Normal 2 2 12 2 4 4" xfId="4162" xr:uid="{00000000-0005-0000-0000-000038130000}"/>
    <cellStyle name="Normal 2 2 12 2 4 4 2" xfId="5129" xr:uid="{00000000-0005-0000-0000-000039130000}"/>
    <cellStyle name="Normal 2 2 12 2 4 4 2 2" xfId="6804" xr:uid="{00000000-0005-0000-0000-00003A130000}"/>
    <cellStyle name="Normal 2 2 12 2 4 4 2 2 2" xfId="10154" xr:uid="{00000000-0005-0000-0000-00003B130000}"/>
    <cellStyle name="Normal 2 2 12 2 4 4 2 3" xfId="11829" xr:uid="{00000000-0005-0000-0000-00003C130000}"/>
    <cellStyle name="Normal 2 2 12 2 4 4 2 4" xfId="8479" xr:uid="{00000000-0005-0000-0000-00003D130000}"/>
    <cellStyle name="Normal 2 2 12 2 4 4 3" xfId="5837" xr:uid="{00000000-0005-0000-0000-00003E130000}"/>
    <cellStyle name="Normal 2 2 12 2 4 4 3 2" xfId="9187" xr:uid="{00000000-0005-0000-0000-00003F130000}"/>
    <cellStyle name="Normal 2 2 12 2 4 4 4" xfId="10862" xr:uid="{00000000-0005-0000-0000-000040130000}"/>
    <cellStyle name="Normal 2 2 12 2 4 4 5" xfId="7512" xr:uid="{00000000-0005-0000-0000-000041130000}"/>
    <cellStyle name="Normal 2 2 12 2 4 5" xfId="4398" xr:uid="{00000000-0005-0000-0000-000042130000}"/>
    <cellStyle name="Normal 2 2 12 2 4 5 2" xfId="6073" xr:uid="{00000000-0005-0000-0000-000043130000}"/>
    <cellStyle name="Normal 2 2 12 2 4 5 2 2" xfId="9423" xr:uid="{00000000-0005-0000-0000-000044130000}"/>
    <cellStyle name="Normal 2 2 12 2 4 5 3" xfId="11098" xr:uid="{00000000-0005-0000-0000-000045130000}"/>
    <cellStyle name="Normal 2 2 12 2 4 5 4" xfId="7748" xr:uid="{00000000-0005-0000-0000-000046130000}"/>
    <cellStyle name="Normal 2 2 12 2 4 6" xfId="4657" xr:uid="{00000000-0005-0000-0000-000047130000}"/>
    <cellStyle name="Normal 2 2 12 2 4 6 2" xfId="6332" xr:uid="{00000000-0005-0000-0000-000048130000}"/>
    <cellStyle name="Normal 2 2 12 2 4 6 2 2" xfId="9682" xr:uid="{00000000-0005-0000-0000-000049130000}"/>
    <cellStyle name="Normal 2 2 12 2 4 6 3" xfId="11357" xr:uid="{00000000-0005-0000-0000-00004A130000}"/>
    <cellStyle name="Normal 2 2 12 2 4 6 4" xfId="8007" xr:uid="{00000000-0005-0000-0000-00004B130000}"/>
    <cellStyle name="Normal 2 2 12 2 4 7" xfId="5365" xr:uid="{00000000-0005-0000-0000-00004C130000}"/>
    <cellStyle name="Normal 2 2 12 2 4 7 2" xfId="8715" xr:uid="{00000000-0005-0000-0000-00004D130000}"/>
    <cellStyle name="Normal 2 2 12 2 4 8" xfId="10390" xr:uid="{00000000-0005-0000-0000-00004E130000}"/>
    <cellStyle name="Normal 2 2 12 2 4 9" xfId="7040" xr:uid="{00000000-0005-0000-0000-00004F130000}"/>
    <cellStyle name="Normal 2 2 12 2 5" xfId="3714" xr:uid="{00000000-0005-0000-0000-000050130000}"/>
    <cellStyle name="Normal 2 2 12 2 5 2" xfId="3832" xr:uid="{00000000-0005-0000-0000-000051130000}"/>
    <cellStyle name="Normal 2 2 12 2 5 2 2" xfId="4068" xr:uid="{00000000-0005-0000-0000-000052130000}"/>
    <cellStyle name="Normal 2 2 12 2 5 2 2 2" xfId="5035" xr:uid="{00000000-0005-0000-0000-000053130000}"/>
    <cellStyle name="Normal 2 2 12 2 5 2 2 2 2" xfId="6710" xr:uid="{00000000-0005-0000-0000-000054130000}"/>
    <cellStyle name="Normal 2 2 12 2 5 2 2 2 2 2" xfId="10060" xr:uid="{00000000-0005-0000-0000-000055130000}"/>
    <cellStyle name="Normal 2 2 12 2 5 2 2 2 3" xfId="11735" xr:uid="{00000000-0005-0000-0000-000056130000}"/>
    <cellStyle name="Normal 2 2 12 2 5 2 2 2 4" xfId="8385" xr:uid="{00000000-0005-0000-0000-000057130000}"/>
    <cellStyle name="Normal 2 2 12 2 5 2 2 3" xfId="5743" xr:uid="{00000000-0005-0000-0000-000058130000}"/>
    <cellStyle name="Normal 2 2 12 2 5 2 2 3 2" xfId="9093" xr:uid="{00000000-0005-0000-0000-000059130000}"/>
    <cellStyle name="Normal 2 2 12 2 5 2 2 4" xfId="10768" xr:uid="{00000000-0005-0000-0000-00005A130000}"/>
    <cellStyle name="Normal 2 2 12 2 5 2 2 5" xfId="7418" xr:uid="{00000000-0005-0000-0000-00005B130000}"/>
    <cellStyle name="Normal 2 2 12 2 5 2 3" xfId="4304" xr:uid="{00000000-0005-0000-0000-00005C130000}"/>
    <cellStyle name="Normal 2 2 12 2 5 2 3 2" xfId="5271" xr:uid="{00000000-0005-0000-0000-00005D130000}"/>
    <cellStyle name="Normal 2 2 12 2 5 2 3 2 2" xfId="6946" xr:uid="{00000000-0005-0000-0000-00005E130000}"/>
    <cellStyle name="Normal 2 2 12 2 5 2 3 2 2 2" xfId="10296" xr:uid="{00000000-0005-0000-0000-00005F130000}"/>
    <cellStyle name="Normal 2 2 12 2 5 2 3 2 3" xfId="11971" xr:uid="{00000000-0005-0000-0000-000060130000}"/>
    <cellStyle name="Normal 2 2 12 2 5 2 3 2 4" xfId="8621" xr:uid="{00000000-0005-0000-0000-000061130000}"/>
    <cellStyle name="Normal 2 2 12 2 5 2 3 3" xfId="5979" xr:uid="{00000000-0005-0000-0000-000062130000}"/>
    <cellStyle name="Normal 2 2 12 2 5 2 3 3 2" xfId="9329" xr:uid="{00000000-0005-0000-0000-000063130000}"/>
    <cellStyle name="Normal 2 2 12 2 5 2 3 4" xfId="11004" xr:uid="{00000000-0005-0000-0000-000064130000}"/>
    <cellStyle name="Normal 2 2 12 2 5 2 3 5" xfId="7654" xr:uid="{00000000-0005-0000-0000-000065130000}"/>
    <cellStyle name="Normal 2 2 12 2 5 2 4" xfId="4540" xr:uid="{00000000-0005-0000-0000-000066130000}"/>
    <cellStyle name="Normal 2 2 12 2 5 2 4 2" xfId="6215" xr:uid="{00000000-0005-0000-0000-000067130000}"/>
    <cellStyle name="Normal 2 2 12 2 5 2 4 2 2" xfId="9565" xr:uid="{00000000-0005-0000-0000-000068130000}"/>
    <cellStyle name="Normal 2 2 12 2 5 2 4 3" xfId="11240" xr:uid="{00000000-0005-0000-0000-000069130000}"/>
    <cellStyle name="Normal 2 2 12 2 5 2 4 4" xfId="7890" xr:uid="{00000000-0005-0000-0000-00006A130000}"/>
    <cellStyle name="Normal 2 2 12 2 5 2 5" xfId="4799" xr:uid="{00000000-0005-0000-0000-00006B130000}"/>
    <cellStyle name="Normal 2 2 12 2 5 2 5 2" xfId="6474" xr:uid="{00000000-0005-0000-0000-00006C130000}"/>
    <cellStyle name="Normal 2 2 12 2 5 2 5 2 2" xfId="9824" xr:uid="{00000000-0005-0000-0000-00006D130000}"/>
    <cellStyle name="Normal 2 2 12 2 5 2 5 3" xfId="11499" xr:uid="{00000000-0005-0000-0000-00006E130000}"/>
    <cellStyle name="Normal 2 2 12 2 5 2 5 4" xfId="8149" xr:uid="{00000000-0005-0000-0000-00006F130000}"/>
    <cellStyle name="Normal 2 2 12 2 5 2 6" xfId="5507" xr:uid="{00000000-0005-0000-0000-000070130000}"/>
    <cellStyle name="Normal 2 2 12 2 5 2 6 2" xfId="8857" xr:uid="{00000000-0005-0000-0000-000071130000}"/>
    <cellStyle name="Normal 2 2 12 2 5 2 7" xfId="10532" xr:uid="{00000000-0005-0000-0000-000072130000}"/>
    <cellStyle name="Normal 2 2 12 2 5 2 8" xfId="7182" xr:uid="{00000000-0005-0000-0000-000073130000}"/>
    <cellStyle name="Normal 2 2 12 2 5 3" xfId="3950" xr:uid="{00000000-0005-0000-0000-000074130000}"/>
    <cellStyle name="Normal 2 2 12 2 5 3 2" xfId="4917" xr:uid="{00000000-0005-0000-0000-000075130000}"/>
    <cellStyle name="Normal 2 2 12 2 5 3 2 2" xfId="6592" xr:uid="{00000000-0005-0000-0000-000076130000}"/>
    <cellStyle name="Normal 2 2 12 2 5 3 2 2 2" xfId="9942" xr:uid="{00000000-0005-0000-0000-000077130000}"/>
    <cellStyle name="Normal 2 2 12 2 5 3 2 3" xfId="11617" xr:uid="{00000000-0005-0000-0000-000078130000}"/>
    <cellStyle name="Normal 2 2 12 2 5 3 2 4" xfId="8267" xr:uid="{00000000-0005-0000-0000-000079130000}"/>
    <cellStyle name="Normal 2 2 12 2 5 3 3" xfId="5625" xr:uid="{00000000-0005-0000-0000-00007A130000}"/>
    <cellStyle name="Normal 2 2 12 2 5 3 3 2" xfId="8975" xr:uid="{00000000-0005-0000-0000-00007B130000}"/>
    <cellStyle name="Normal 2 2 12 2 5 3 4" xfId="10650" xr:uid="{00000000-0005-0000-0000-00007C130000}"/>
    <cellStyle name="Normal 2 2 12 2 5 3 5" xfId="7300" xr:uid="{00000000-0005-0000-0000-00007D130000}"/>
    <cellStyle name="Normal 2 2 12 2 5 4" xfId="4186" xr:uid="{00000000-0005-0000-0000-00007E130000}"/>
    <cellStyle name="Normal 2 2 12 2 5 4 2" xfId="5153" xr:uid="{00000000-0005-0000-0000-00007F130000}"/>
    <cellStyle name="Normal 2 2 12 2 5 4 2 2" xfId="6828" xr:uid="{00000000-0005-0000-0000-000080130000}"/>
    <cellStyle name="Normal 2 2 12 2 5 4 2 2 2" xfId="10178" xr:uid="{00000000-0005-0000-0000-000081130000}"/>
    <cellStyle name="Normal 2 2 12 2 5 4 2 3" xfId="11853" xr:uid="{00000000-0005-0000-0000-000082130000}"/>
    <cellStyle name="Normal 2 2 12 2 5 4 2 4" xfId="8503" xr:uid="{00000000-0005-0000-0000-000083130000}"/>
    <cellStyle name="Normal 2 2 12 2 5 4 3" xfId="5861" xr:uid="{00000000-0005-0000-0000-000084130000}"/>
    <cellStyle name="Normal 2 2 12 2 5 4 3 2" xfId="9211" xr:uid="{00000000-0005-0000-0000-000085130000}"/>
    <cellStyle name="Normal 2 2 12 2 5 4 4" xfId="10886" xr:uid="{00000000-0005-0000-0000-000086130000}"/>
    <cellStyle name="Normal 2 2 12 2 5 4 5" xfId="7536" xr:uid="{00000000-0005-0000-0000-000087130000}"/>
    <cellStyle name="Normal 2 2 12 2 5 5" xfId="4422" xr:uid="{00000000-0005-0000-0000-000088130000}"/>
    <cellStyle name="Normal 2 2 12 2 5 5 2" xfId="6097" xr:uid="{00000000-0005-0000-0000-000089130000}"/>
    <cellStyle name="Normal 2 2 12 2 5 5 2 2" xfId="9447" xr:uid="{00000000-0005-0000-0000-00008A130000}"/>
    <cellStyle name="Normal 2 2 12 2 5 5 3" xfId="11122" xr:uid="{00000000-0005-0000-0000-00008B130000}"/>
    <cellStyle name="Normal 2 2 12 2 5 5 4" xfId="7772" xr:uid="{00000000-0005-0000-0000-00008C130000}"/>
    <cellStyle name="Normal 2 2 12 2 5 6" xfId="4681" xr:uid="{00000000-0005-0000-0000-00008D130000}"/>
    <cellStyle name="Normal 2 2 12 2 5 6 2" xfId="6356" xr:uid="{00000000-0005-0000-0000-00008E130000}"/>
    <cellStyle name="Normal 2 2 12 2 5 6 2 2" xfId="9706" xr:uid="{00000000-0005-0000-0000-00008F130000}"/>
    <cellStyle name="Normal 2 2 12 2 5 6 3" xfId="11381" xr:uid="{00000000-0005-0000-0000-000090130000}"/>
    <cellStyle name="Normal 2 2 12 2 5 6 4" xfId="8031" xr:uid="{00000000-0005-0000-0000-000091130000}"/>
    <cellStyle name="Normal 2 2 12 2 5 7" xfId="5389" xr:uid="{00000000-0005-0000-0000-000092130000}"/>
    <cellStyle name="Normal 2 2 12 2 5 7 2" xfId="8739" xr:uid="{00000000-0005-0000-0000-000093130000}"/>
    <cellStyle name="Normal 2 2 12 2 5 8" xfId="10414" xr:uid="{00000000-0005-0000-0000-000094130000}"/>
    <cellStyle name="Normal 2 2 12 2 5 9" xfId="7064" xr:uid="{00000000-0005-0000-0000-000095130000}"/>
    <cellStyle name="Normal 2 2 12 2 6" xfId="3738" xr:uid="{00000000-0005-0000-0000-000096130000}"/>
    <cellStyle name="Normal 2 2 12 2 6 2" xfId="3974" xr:uid="{00000000-0005-0000-0000-000097130000}"/>
    <cellStyle name="Normal 2 2 12 2 6 2 2" xfId="4941" xr:uid="{00000000-0005-0000-0000-000098130000}"/>
    <cellStyle name="Normal 2 2 12 2 6 2 2 2" xfId="6616" xr:uid="{00000000-0005-0000-0000-000099130000}"/>
    <cellStyle name="Normal 2 2 12 2 6 2 2 2 2" xfId="9966" xr:uid="{00000000-0005-0000-0000-00009A130000}"/>
    <cellStyle name="Normal 2 2 12 2 6 2 2 3" xfId="11641" xr:uid="{00000000-0005-0000-0000-00009B130000}"/>
    <cellStyle name="Normal 2 2 12 2 6 2 2 4" xfId="8291" xr:uid="{00000000-0005-0000-0000-00009C130000}"/>
    <cellStyle name="Normal 2 2 12 2 6 2 3" xfId="5649" xr:uid="{00000000-0005-0000-0000-00009D130000}"/>
    <cellStyle name="Normal 2 2 12 2 6 2 3 2" xfId="8999" xr:uid="{00000000-0005-0000-0000-00009E130000}"/>
    <cellStyle name="Normal 2 2 12 2 6 2 4" xfId="10674" xr:uid="{00000000-0005-0000-0000-00009F130000}"/>
    <cellStyle name="Normal 2 2 12 2 6 2 5" xfId="7324" xr:uid="{00000000-0005-0000-0000-0000A0130000}"/>
    <cellStyle name="Normal 2 2 12 2 6 3" xfId="4210" xr:uid="{00000000-0005-0000-0000-0000A1130000}"/>
    <cellStyle name="Normal 2 2 12 2 6 3 2" xfId="5177" xr:uid="{00000000-0005-0000-0000-0000A2130000}"/>
    <cellStyle name="Normal 2 2 12 2 6 3 2 2" xfId="6852" xr:uid="{00000000-0005-0000-0000-0000A3130000}"/>
    <cellStyle name="Normal 2 2 12 2 6 3 2 2 2" xfId="10202" xr:uid="{00000000-0005-0000-0000-0000A4130000}"/>
    <cellStyle name="Normal 2 2 12 2 6 3 2 3" xfId="11877" xr:uid="{00000000-0005-0000-0000-0000A5130000}"/>
    <cellStyle name="Normal 2 2 12 2 6 3 2 4" xfId="8527" xr:uid="{00000000-0005-0000-0000-0000A6130000}"/>
    <cellStyle name="Normal 2 2 12 2 6 3 3" xfId="5885" xr:uid="{00000000-0005-0000-0000-0000A7130000}"/>
    <cellStyle name="Normal 2 2 12 2 6 3 3 2" xfId="9235" xr:uid="{00000000-0005-0000-0000-0000A8130000}"/>
    <cellStyle name="Normal 2 2 12 2 6 3 4" xfId="10910" xr:uid="{00000000-0005-0000-0000-0000A9130000}"/>
    <cellStyle name="Normal 2 2 12 2 6 3 5" xfId="7560" xr:uid="{00000000-0005-0000-0000-0000AA130000}"/>
    <cellStyle name="Normal 2 2 12 2 6 4" xfId="4446" xr:uid="{00000000-0005-0000-0000-0000AB130000}"/>
    <cellStyle name="Normal 2 2 12 2 6 4 2" xfId="6121" xr:uid="{00000000-0005-0000-0000-0000AC130000}"/>
    <cellStyle name="Normal 2 2 12 2 6 4 2 2" xfId="9471" xr:uid="{00000000-0005-0000-0000-0000AD130000}"/>
    <cellStyle name="Normal 2 2 12 2 6 4 3" xfId="11146" xr:uid="{00000000-0005-0000-0000-0000AE130000}"/>
    <cellStyle name="Normal 2 2 12 2 6 4 4" xfId="7796" xr:uid="{00000000-0005-0000-0000-0000AF130000}"/>
    <cellStyle name="Normal 2 2 12 2 6 5" xfId="4705" xr:uid="{00000000-0005-0000-0000-0000B0130000}"/>
    <cellStyle name="Normal 2 2 12 2 6 5 2" xfId="6380" xr:uid="{00000000-0005-0000-0000-0000B1130000}"/>
    <cellStyle name="Normal 2 2 12 2 6 5 2 2" xfId="9730" xr:uid="{00000000-0005-0000-0000-0000B2130000}"/>
    <cellStyle name="Normal 2 2 12 2 6 5 3" xfId="11405" xr:uid="{00000000-0005-0000-0000-0000B3130000}"/>
    <cellStyle name="Normal 2 2 12 2 6 5 4" xfId="8055" xr:uid="{00000000-0005-0000-0000-0000B4130000}"/>
    <cellStyle name="Normal 2 2 12 2 6 6" xfId="5413" xr:uid="{00000000-0005-0000-0000-0000B5130000}"/>
    <cellStyle name="Normal 2 2 12 2 6 6 2" xfId="8763" xr:uid="{00000000-0005-0000-0000-0000B6130000}"/>
    <cellStyle name="Normal 2 2 12 2 6 7" xfId="10438" xr:uid="{00000000-0005-0000-0000-0000B7130000}"/>
    <cellStyle name="Normal 2 2 12 2 6 8" xfId="7088" xr:uid="{00000000-0005-0000-0000-0000B8130000}"/>
    <cellStyle name="Normal 2 2 12 2 7" xfId="3856" xr:uid="{00000000-0005-0000-0000-0000B9130000}"/>
    <cellStyle name="Normal 2 2 12 2 7 2" xfId="4823" xr:uid="{00000000-0005-0000-0000-0000BA130000}"/>
    <cellStyle name="Normal 2 2 12 2 7 2 2" xfId="6498" xr:uid="{00000000-0005-0000-0000-0000BB130000}"/>
    <cellStyle name="Normal 2 2 12 2 7 2 2 2" xfId="9848" xr:uid="{00000000-0005-0000-0000-0000BC130000}"/>
    <cellStyle name="Normal 2 2 12 2 7 2 3" xfId="11523" xr:uid="{00000000-0005-0000-0000-0000BD130000}"/>
    <cellStyle name="Normal 2 2 12 2 7 2 4" xfId="8173" xr:uid="{00000000-0005-0000-0000-0000BE130000}"/>
    <cellStyle name="Normal 2 2 12 2 7 3" xfId="5531" xr:uid="{00000000-0005-0000-0000-0000BF130000}"/>
    <cellStyle name="Normal 2 2 12 2 7 3 2" xfId="8881" xr:uid="{00000000-0005-0000-0000-0000C0130000}"/>
    <cellStyle name="Normal 2 2 12 2 7 4" xfId="10556" xr:uid="{00000000-0005-0000-0000-0000C1130000}"/>
    <cellStyle name="Normal 2 2 12 2 7 5" xfId="7206" xr:uid="{00000000-0005-0000-0000-0000C2130000}"/>
    <cellStyle name="Normal 2 2 12 2 8" xfId="4092" xr:uid="{00000000-0005-0000-0000-0000C3130000}"/>
    <cellStyle name="Normal 2 2 12 2 8 2" xfId="5059" xr:uid="{00000000-0005-0000-0000-0000C4130000}"/>
    <cellStyle name="Normal 2 2 12 2 8 2 2" xfId="6734" xr:uid="{00000000-0005-0000-0000-0000C5130000}"/>
    <cellStyle name="Normal 2 2 12 2 8 2 2 2" xfId="10084" xr:uid="{00000000-0005-0000-0000-0000C6130000}"/>
    <cellStyle name="Normal 2 2 12 2 8 2 3" xfId="11759" xr:uid="{00000000-0005-0000-0000-0000C7130000}"/>
    <cellStyle name="Normal 2 2 12 2 8 2 4" xfId="8409" xr:uid="{00000000-0005-0000-0000-0000C8130000}"/>
    <cellStyle name="Normal 2 2 12 2 8 3" xfId="5767" xr:uid="{00000000-0005-0000-0000-0000C9130000}"/>
    <cellStyle name="Normal 2 2 12 2 8 3 2" xfId="9117" xr:uid="{00000000-0005-0000-0000-0000CA130000}"/>
    <cellStyle name="Normal 2 2 12 2 8 4" xfId="10792" xr:uid="{00000000-0005-0000-0000-0000CB130000}"/>
    <cellStyle name="Normal 2 2 12 2 8 5" xfId="7442" xr:uid="{00000000-0005-0000-0000-0000CC130000}"/>
    <cellStyle name="Normal 2 2 12 2 9" xfId="4328" xr:uid="{00000000-0005-0000-0000-0000CD130000}"/>
    <cellStyle name="Normal 2 2 12 2 9 2" xfId="4587" xr:uid="{00000000-0005-0000-0000-0000CE130000}"/>
    <cellStyle name="Normal 2 2 12 2 9 2 2" xfId="6262" xr:uid="{00000000-0005-0000-0000-0000CF130000}"/>
    <cellStyle name="Normal 2 2 12 2 9 2 2 2" xfId="9612" xr:uid="{00000000-0005-0000-0000-0000D0130000}"/>
    <cellStyle name="Normal 2 2 12 2 9 2 3" xfId="11287" xr:uid="{00000000-0005-0000-0000-0000D1130000}"/>
    <cellStyle name="Normal 2 2 12 2 9 2 4" xfId="7937" xr:uid="{00000000-0005-0000-0000-0000D2130000}"/>
    <cellStyle name="Normal 2 2 12 2 9 3" xfId="6003" xr:uid="{00000000-0005-0000-0000-0000D3130000}"/>
    <cellStyle name="Normal 2 2 12 2 9 3 2" xfId="9353" xr:uid="{00000000-0005-0000-0000-0000D4130000}"/>
    <cellStyle name="Normal 2 2 12 2 9 4" xfId="11028" xr:uid="{00000000-0005-0000-0000-0000D5130000}"/>
    <cellStyle name="Normal 2 2 12 2 9 5" xfId="7678" xr:uid="{00000000-0005-0000-0000-0000D6130000}"/>
    <cellStyle name="Normal 2 2 12 3" xfId="2628" xr:uid="{00000000-0005-0000-0000-0000440A0000}"/>
    <cellStyle name="Normal 2 2 12 4" xfId="3642" xr:uid="{00000000-0005-0000-0000-0000D8130000}"/>
    <cellStyle name="Normal 2 2 12 4 2" xfId="3760" xr:uid="{00000000-0005-0000-0000-0000D9130000}"/>
    <cellStyle name="Normal 2 2 12 4 2 2" xfId="3996" xr:uid="{00000000-0005-0000-0000-0000DA130000}"/>
    <cellStyle name="Normal 2 2 12 4 2 2 2" xfId="4963" xr:uid="{00000000-0005-0000-0000-0000DB130000}"/>
    <cellStyle name="Normal 2 2 12 4 2 2 2 2" xfId="6638" xr:uid="{00000000-0005-0000-0000-0000DC130000}"/>
    <cellStyle name="Normal 2 2 12 4 2 2 2 2 2" xfId="9988" xr:uid="{00000000-0005-0000-0000-0000DD130000}"/>
    <cellStyle name="Normal 2 2 12 4 2 2 2 3" xfId="11663" xr:uid="{00000000-0005-0000-0000-0000DE130000}"/>
    <cellStyle name="Normal 2 2 12 4 2 2 2 4" xfId="8313" xr:uid="{00000000-0005-0000-0000-0000DF130000}"/>
    <cellStyle name="Normal 2 2 12 4 2 2 3" xfId="5671" xr:uid="{00000000-0005-0000-0000-0000E0130000}"/>
    <cellStyle name="Normal 2 2 12 4 2 2 3 2" xfId="9021" xr:uid="{00000000-0005-0000-0000-0000E1130000}"/>
    <cellStyle name="Normal 2 2 12 4 2 2 4" xfId="10696" xr:uid="{00000000-0005-0000-0000-0000E2130000}"/>
    <cellStyle name="Normal 2 2 12 4 2 2 5" xfId="7346" xr:uid="{00000000-0005-0000-0000-0000E3130000}"/>
    <cellStyle name="Normal 2 2 12 4 2 3" xfId="4232" xr:uid="{00000000-0005-0000-0000-0000E4130000}"/>
    <cellStyle name="Normal 2 2 12 4 2 3 2" xfId="5199" xr:uid="{00000000-0005-0000-0000-0000E5130000}"/>
    <cellStyle name="Normal 2 2 12 4 2 3 2 2" xfId="6874" xr:uid="{00000000-0005-0000-0000-0000E6130000}"/>
    <cellStyle name="Normal 2 2 12 4 2 3 2 2 2" xfId="10224" xr:uid="{00000000-0005-0000-0000-0000E7130000}"/>
    <cellStyle name="Normal 2 2 12 4 2 3 2 3" xfId="11899" xr:uid="{00000000-0005-0000-0000-0000E8130000}"/>
    <cellStyle name="Normal 2 2 12 4 2 3 2 4" xfId="8549" xr:uid="{00000000-0005-0000-0000-0000E9130000}"/>
    <cellStyle name="Normal 2 2 12 4 2 3 3" xfId="5907" xr:uid="{00000000-0005-0000-0000-0000EA130000}"/>
    <cellStyle name="Normal 2 2 12 4 2 3 3 2" xfId="9257" xr:uid="{00000000-0005-0000-0000-0000EB130000}"/>
    <cellStyle name="Normal 2 2 12 4 2 3 4" xfId="10932" xr:uid="{00000000-0005-0000-0000-0000EC130000}"/>
    <cellStyle name="Normal 2 2 12 4 2 3 5" xfId="7582" xr:uid="{00000000-0005-0000-0000-0000ED130000}"/>
    <cellStyle name="Normal 2 2 12 4 2 4" xfId="4468" xr:uid="{00000000-0005-0000-0000-0000EE130000}"/>
    <cellStyle name="Normal 2 2 12 4 2 4 2" xfId="6143" xr:uid="{00000000-0005-0000-0000-0000EF130000}"/>
    <cellStyle name="Normal 2 2 12 4 2 4 2 2" xfId="9493" xr:uid="{00000000-0005-0000-0000-0000F0130000}"/>
    <cellStyle name="Normal 2 2 12 4 2 4 3" xfId="11168" xr:uid="{00000000-0005-0000-0000-0000F1130000}"/>
    <cellStyle name="Normal 2 2 12 4 2 4 4" xfId="7818" xr:uid="{00000000-0005-0000-0000-0000F2130000}"/>
    <cellStyle name="Normal 2 2 12 4 2 5" xfId="4727" xr:uid="{00000000-0005-0000-0000-0000F3130000}"/>
    <cellStyle name="Normal 2 2 12 4 2 5 2" xfId="6402" xr:uid="{00000000-0005-0000-0000-0000F4130000}"/>
    <cellStyle name="Normal 2 2 12 4 2 5 2 2" xfId="9752" xr:uid="{00000000-0005-0000-0000-0000F5130000}"/>
    <cellStyle name="Normal 2 2 12 4 2 5 3" xfId="11427" xr:uid="{00000000-0005-0000-0000-0000F6130000}"/>
    <cellStyle name="Normal 2 2 12 4 2 5 4" xfId="8077" xr:uid="{00000000-0005-0000-0000-0000F7130000}"/>
    <cellStyle name="Normal 2 2 12 4 2 6" xfId="5435" xr:uid="{00000000-0005-0000-0000-0000F8130000}"/>
    <cellStyle name="Normal 2 2 12 4 2 6 2" xfId="8785" xr:uid="{00000000-0005-0000-0000-0000F9130000}"/>
    <cellStyle name="Normal 2 2 12 4 2 7" xfId="10460" xr:uid="{00000000-0005-0000-0000-0000FA130000}"/>
    <cellStyle name="Normal 2 2 12 4 2 8" xfId="7110" xr:uid="{00000000-0005-0000-0000-0000FB130000}"/>
    <cellStyle name="Normal 2 2 12 4 3" xfId="3878" xr:uid="{00000000-0005-0000-0000-0000FC130000}"/>
    <cellStyle name="Normal 2 2 12 4 3 2" xfId="4845" xr:uid="{00000000-0005-0000-0000-0000FD130000}"/>
    <cellStyle name="Normal 2 2 12 4 3 2 2" xfId="6520" xr:uid="{00000000-0005-0000-0000-0000FE130000}"/>
    <cellStyle name="Normal 2 2 12 4 3 2 2 2" xfId="9870" xr:uid="{00000000-0005-0000-0000-0000FF130000}"/>
    <cellStyle name="Normal 2 2 12 4 3 2 3" xfId="11545" xr:uid="{00000000-0005-0000-0000-000000140000}"/>
    <cellStyle name="Normal 2 2 12 4 3 2 4" xfId="8195" xr:uid="{00000000-0005-0000-0000-000001140000}"/>
    <cellStyle name="Normal 2 2 12 4 3 3" xfId="5553" xr:uid="{00000000-0005-0000-0000-000002140000}"/>
    <cellStyle name="Normal 2 2 12 4 3 3 2" xfId="8903" xr:uid="{00000000-0005-0000-0000-000003140000}"/>
    <cellStyle name="Normal 2 2 12 4 3 4" xfId="10578" xr:uid="{00000000-0005-0000-0000-000004140000}"/>
    <cellStyle name="Normal 2 2 12 4 3 5" xfId="7228" xr:uid="{00000000-0005-0000-0000-000005140000}"/>
    <cellStyle name="Normal 2 2 12 4 4" xfId="4114" xr:uid="{00000000-0005-0000-0000-000006140000}"/>
    <cellStyle name="Normal 2 2 12 4 4 2" xfId="5081" xr:uid="{00000000-0005-0000-0000-000007140000}"/>
    <cellStyle name="Normal 2 2 12 4 4 2 2" xfId="6756" xr:uid="{00000000-0005-0000-0000-000008140000}"/>
    <cellStyle name="Normal 2 2 12 4 4 2 2 2" xfId="10106" xr:uid="{00000000-0005-0000-0000-000009140000}"/>
    <cellStyle name="Normal 2 2 12 4 4 2 3" xfId="11781" xr:uid="{00000000-0005-0000-0000-00000A140000}"/>
    <cellStyle name="Normal 2 2 12 4 4 2 4" xfId="8431" xr:uid="{00000000-0005-0000-0000-00000B140000}"/>
    <cellStyle name="Normal 2 2 12 4 4 3" xfId="5789" xr:uid="{00000000-0005-0000-0000-00000C140000}"/>
    <cellStyle name="Normal 2 2 12 4 4 3 2" xfId="9139" xr:uid="{00000000-0005-0000-0000-00000D140000}"/>
    <cellStyle name="Normal 2 2 12 4 4 4" xfId="10814" xr:uid="{00000000-0005-0000-0000-00000E140000}"/>
    <cellStyle name="Normal 2 2 12 4 4 5" xfId="7464" xr:uid="{00000000-0005-0000-0000-00000F140000}"/>
    <cellStyle name="Normal 2 2 12 4 5" xfId="4350" xr:uid="{00000000-0005-0000-0000-000010140000}"/>
    <cellStyle name="Normal 2 2 12 4 5 2" xfId="6025" xr:uid="{00000000-0005-0000-0000-000011140000}"/>
    <cellStyle name="Normal 2 2 12 4 5 2 2" xfId="9375" xr:uid="{00000000-0005-0000-0000-000012140000}"/>
    <cellStyle name="Normal 2 2 12 4 5 3" xfId="11050" xr:uid="{00000000-0005-0000-0000-000013140000}"/>
    <cellStyle name="Normal 2 2 12 4 5 4" xfId="7700" xr:uid="{00000000-0005-0000-0000-000014140000}"/>
    <cellStyle name="Normal 2 2 12 4 6" xfId="4609" xr:uid="{00000000-0005-0000-0000-000015140000}"/>
    <cellStyle name="Normal 2 2 12 4 6 2" xfId="6284" xr:uid="{00000000-0005-0000-0000-000016140000}"/>
    <cellStyle name="Normal 2 2 12 4 6 2 2" xfId="9634" xr:uid="{00000000-0005-0000-0000-000017140000}"/>
    <cellStyle name="Normal 2 2 12 4 6 3" xfId="11309" xr:uid="{00000000-0005-0000-0000-000018140000}"/>
    <cellStyle name="Normal 2 2 12 4 6 4" xfId="7959" xr:uid="{00000000-0005-0000-0000-000019140000}"/>
    <cellStyle name="Normal 2 2 12 4 7" xfId="5317" xr:uid="{00000000-0005-0000-0000-00001A140000}"/>
    <cellStyle name="Normal 2 2 12 4 7 2" xfId="8667" xr:uid="{00000000-0005-0000-0000-00001B140000}"/>
    <cellStyle name="Normal 2 2 12 4 8" xfId="10342" xr:uid="{00000000-0005-0000-0000-00001C140000}"/>
    <cellStyle name="Normal 2 2 12 4 9" xfId="6992" xr:uid="{00000000-0005-0000-0000-00001D140000}"/>
    <cellStyle name="Normal 2 2 12 5" xfId="3665" xr:uid="{00000000-0005-0000-0000-00001E140000}"/>
    <cellStyle name="Normal 2 2 12 5 2" xfId="3783" xr:uid="{00000000-0005-0000-0000-00001F140000}"/>
    <cellStyle name="Normal 2 2 12 5 2 2" xfId="4019" xr:uid="{00000000-0005-0000-0000-000020140000}"/>
    <cellStyle name="Normal 2 2 12 5 2 2 2" xfId="4986" xr:uid="{00000000-0005-0000-0000-000021140000}"/>
    <cellStyle name="Normal 2 2 12 5 2 2 2 2" xfId="6661" xr:uid="{00000000-0005-0000-0000-000022140000}"/>
    <cellStyle name="Normal 2 2 12 5 2 2 2 2 2" xfId="10011" xr:uid="{00000000-0005-0000-0000-000023140000}"/>
    <cellStyle name="Normal 2 2 12 5 2 2 2 3" xfId="11686" xr:uid="{00000000-0005-0000-0000-000024140000}"/>
    <cellStyle name="Normal 2 2 12 5 2 2 2 4" xfId="8336" xr:uid="{00000000-0005-0000-0000-000025140000}"/>
    <cellStyle name="Normal 2 2 12 5 2 2 3" xfId="5694" xr:uid="{00000000-0005-0000-0000-000026140000}"/>
    <cellStyle name="Normal 2 2 12 5 2 2 3 2" xfId="9044" xr:uid="{00000000-0005-0000-0000-000027140000}"/>
    <cellStyle name="Normal 2 2 12 5 2 2 4" xfId="10719" xr:uid="{00000000-0005-0000-0000-000028140000}"/>
    <cellStyle name="Normal 2 2 12 5 2 2 5" xfId="7369" xr:uid="{00000000-0005-0000-0000-000029140000}"/>
    <cellStyle name="Normal 2 2 12 5 2 3" xfId="4255" xr:uid="{00000000-0005-0000-0000-00002A140000}"/>
    <cellStyle name="Normal 2 2 12 5 2 3 2" xfId="5222" xr:uid="{00000000-0005-0000-0000-00002B140000}"/>
    <cellStyle name="Normal 2 2 12 5 2 3 2 2" xfId="6897" xr:uid="{00000000-0005-0000-0000-00002C140000}"/>
    <cellStyle name="Normal 2 2 12 5 2 3 2 2 2" xfId="10247" xr:uid="{00000000-0005-0000-0000-00002D140000}"/>
    <cellStyle name="Normal 2 2 12 5 2 3 2 3" xfId="11922" xr:uid="{00000000-0005-0000-0000-00002E140000}"/>
    <cellStyle name="Normal 2 2 12 5 2 3 2 4" xfId="8572" xr:uid="{00000000-0005-0000-0000-00002F140000}"/>
    <cellStyle name="Normal 2 2 12 5 2 3 3" xfId="5930" xr:uid="{00000000-0005-0000-0000-000030140000}"/>
    <cellStyle name="Normal 2 2 12 5 2 3 3 2" xfId="9280" xr:uid="{00000000-0005-0000-0000-000031140000}"/>
    <cellStyle name="Normal 2 2 12 5 2 3 4" xfId="10955" xr:uid="{00000000-0005-0000-0000-000032140000}"/>
    <cellStyle name="Normal 2 2 12 5 2 3 5" xfId="7605" xr:uid="{00000000-0005-0000-0000-000033140000}"/>
    <cellStyle name="Normal 2 2 12 5 2 4" xfId="4491" xr:uid="{00000000-0005-0000-0000-000034140000}"/>
    <cellStyle name="Normal 2 2 12 5 2 4 2" xfId="6166" xr:uid="{00000000-0005-0000-0000-000035140000}"/>
    <cellStyle name="Normal 2 2 12 5 2 4 2 2" xfId="9516" xr:uid="{00000000-0005-0000-0000-000036140000}"/>
    <cellStyle name="Normal 2 2 12 5 2 4 3" xfId="11191" xr:uid="{00000000-0005-0000-0000-000037140000}"/>
    <cellStyle name="Normal 2 2 12 5 2 4 4" xfId="7841" xr:uid="{00000000-0005-0000-0000-000038140000}"/>
    <cellStyle name="Normal 2 2 12 5 2 5" xfId="4750" xr:uid="{00000000-0005-0000-0000-000039140000}"/>
    <cellStyle name="Normal 2 2 12 5 2 5 2" xfId="6425" xr:uid="{00000000-0005-0000-0000-00003A140000}"/>
    <cellStyle name="Normal 2 2 12 5 2 5 2 2" xfId="9775" xr:uid="{00000000-0005-0000-0000-00003B140000}"/>
    <cellStyle name="Normal 2 2 12 5 2 5 3" xfId="11450" xr:uid="{00000000-0005-0000-0000-00003C140000}"/>
    <cellStyle name="Normal 2 2 12 5 2 5 4" xfId="8100" xr:uid="{00000000-0005-0000-0000-00003D140000}"/>
    <cellStyle name="Normal 2 2 12 5 2 6" xfId="5458" xr:uid="{00000000-0005-0000-0000-00003E140000}"/>
    <cellStyle name="Normal 2 2 12 5 2 6 2" xfId="8808" xr:uid="{00000000-0005-0000-0000-00003F140000}"/>
    <cellStyle name="Normal 2 2 12 5 2 7" xfId="10483" xr:uid="{00000000-0005-0000-0000-000040140000}"/>
    <cellStyle name="Normal 2 2 12 5 2 8" xfId="7133" xr:uid="{00000000-0005-0000-0000-000041140000}"/>
    <cellStyle name="Normal 2 2 12 5 3" xfId="3901" xr:uid="{00000000-0005-0000-0000-000042140000}"/>
    <cellStyle name="Normal 2 2 12 5 3 2" xfId="4868" xr:uid="{00000000-0005-0000-0000-000043140000}"/>
    <cellStyle name="Normal 2 2 12 5 3 2 2" xfId="6543" xr:uid="{00000000-0005-0000-0000-000044140000}"/>
    <cellStyle name="Normal 2 2 12 5 3 2 2 2" xfId="9893" xr:uid="{00000000-0005-0000-0000-000045140000}"/>
    <cellStyle name="Normal 2 2 12 5 3 2 3" xfId="11568" xr:uid="{00000000-0005-0000-0000-000046140000}"/>
    <cellStyle name="Normal 2 2 12 5 3 2 4" xfId="8218" xr:uid="{00000000-0005-0000-0000-000047140000}"/>
    <cellStyle name="Normal 2 2 12 5 3 3" xfId="5576" xr:uid="{00000000-0005-0000-0000-000048140000}"/>
    <cellStyle name="Normal 2 2 12 5 3 3 2" xfId="8926" xr:uid="{00000000-0005-0000-0000-000049140000}"/>
    <cellStyle name="Normal 2 2 12 5 3 4" xfId="10601" xr:uid="{00000000-0005-0000-0000-00004A140000}"/>
    <cellStyle name="Normal 2 2 12 5 3 5" xfId="7251" xr:uid="{00000000-0005-0000-0000-00004B140000}"/>
    <cellStyle name="Normal 2 2 12 5 4" xfId="4137" xr:uid="{00000000-0005-0000-0000-00004C140000}"/>
    <cellStyle name="Normal 2 2 12 5 4 2" xfId="5104" xr:uid="{00000000-0005-0000-0000-00004D140000}"/>
    <cellStyle name="Normal 2 2 12 5 4 2 2" xfId="6779" xr:uid="{00000000-0005-0000-0000-00004E140000}"/>
    <cellStyle name="Normal 2 2 12 5 4 2 2 2" xfId="10129" xr:uid="{00000000-0005-0000-0000-00004F140000}"/>
    <cellStyle name="Normal 2 2 12 5 4 2 3" xfId="11804" xr:uid="{00000000-0005-0000-0000-000050140000}"/>
    <cellStyle name="Normal 2 2 12 5 4 2 4" xfId="8454" xr:uid="{00000000-0005-0000-0000-000051140000}"/>
    <cellStyle name="Normal 2 2 12 5 4 3" xfId="5812" xr:uid="{00000000-0005-0000-0000-000052140000}"/>
    <cellStyle name="Normal 2 2 12 5 4 3 2" xfId="9162" xr:uid="{00000000-0005-0000-0000-000053140000}"/>
    <cellStyle name="Normal 2 2 12 5 4 4" xfId="10837" xr:uid="{00000000-0005-0000-0000-000054140000}"/>
    <cellStyle name="Normal 2 2 12 5 4 5" xfId="7487" xr:uid="{00000000-0005-0000-0000-000055140000}"/>
    <cellStyle name="Normal 2 2 12 5 5" xfId="4373" xr:uid="{00000000-0005-0000-0000-000056140000}"/>
    <cellStyle name="Normal 2 2 12 5 5 2" xfId="6048" xr:uid="{00000000-0005-0000-0000-000057140000}"/>
    <cellStyle name="Normal 2 2 12 5 5 2 2" xfId="9398" xr:uid="{00000000-0005-0000-0000-000058140000}"/>
    <cellStyle name="Normal 2 2 12 5 5 3" xfId="11073" xr:uid="{00000000-0005-0000-0000-000059140000}"/>
    <cellStyle name="Normal 2 2 12 5 5 4" xfId="7723" xr:uid="{00000000-0005-0000-0000-00005A140000}"/>
    <cellStyle name="Normal 2 2 12 5 6" xfId="4632" xr:uid="{00000000-0005-0000-0000-00005B140000}"/>
    <cellStyle name="Normal 2 2 12 5 6 2" xfId="6307" xr:uid="{00000000-0005-0000-0000-00005C140000}"/>
    <cellStyle name="Normal 2 2 12 5 6 2 2" xfId="9657" xr:uid="{00000000-0005-0000-0000-00005D140000}"/>
    <cellStyle name="Normal 2 2 12 5 6 3" xfId="11332" xr:uid="{00000000-0005-0000-0000-00005E140000}"/>
    <cellStyle name="Normal 2 2 12 5 6 4" xfId="7982" xr:uid="{00000000-0005-0000-0000-00005F140000}"/>
    <cellStyle name="Normal 2 2 12 5 7" xfId="5340" xr:uid="{00000000-0005-0000-0000-000060140000}"/>
    <cellStyle name="Normal 2 2 12 5 7 2" xfId="8690" xr:uid="{00000000-0005-0000-0000-000061140000}"/>
    <cellStyle name="Normal 2 2 12 5 8" xfId="10365" xr:uid="{00000000-0005-0000-0000-000062140000}"/>
    <cellStyle name="Normal 2 2 12 5 9" xfId="7015" xr:uid="{00000000-0005-0000-0000-000063140000}"/>
    <cellStyle name="Normal 2 2 12 6" xfId="3689" xr:uid="{00000000-0005-0000-0000-000064140000}"/>
    <cellStyle name="Normal 2 2 12 6 2" xfId="3807" xr:uid="{00000000-0005-0000-0000-000065140000}"/>
    <cellStyle name="Normal 2 2 12 6 2 2" xfId="4043" xr:uid="{00000000-0005-0000-0000-000066140000}"/>
    <cellStyle name="Normal 2 2 12 6 2 2 2" xfId="5010" xr:uid="{00000000-0005-0000-0000-000067140000}"/>
    <cellStyle name="Normal 2 2 12 6 2 2 2 2" xfId="6685" xr:uid="{00000000-0005-0000-0000-000068140000}"/>
    <cellStyle name="Normal 2 2 12 6 2 2 2 2 2" xfId="10035" xr:uid="{00000000-0005-0000-0000-000069140000}"/>
    <cellStyle name="Normal 2 2 12 6 2 2 2 3" xfId="11710" xr:uid="{00000000-0005-0000-0000-00006A140000}"/>
    <cellStyle name="Normal 2 2 12 6 2 2 2 4" xfId="8360" xr:uid="{00000000-0005-0000-0000-00006B140000}"/>
    <cellStyle name="Normal 2 2 12 6 2 2 3" xfId="5718" xr:uid="{00000000-0005-0000-0000-00006C140000}"/>
    <cellStyle name="Normal 2 2 12 6 2 2 3 2" xfId="9068" xr:uid="{00000000-0005-0000-0000-00006D140000}"/>
    <cellStyle name="Normal 2 2 12 6 2 2 4" xfId="10743" xr:uid="{00000000-0005-0000-0000-00006E140000}"/>
    <cellStyle name="Normal 2 2 12 6 2 2 5" xfId="7393" xr:uid="{00000000-0005-0000-0000-00006F140000}"/>
    <cellStyle name="Normal 2 2 12 6 2 3" xfId="4279" xr:uid="{00000000-0005-0000-0000-000070140000}"/>
    <cellStyle name="Normal 2 2 12 6 2 3 2" xfId="5246" xr:uid="{00000000-0005-0000-0000-000071140000}"/>
    <cellStyle name="Normal 2 2 12 6 2 3 2 2" xfId="6921" xr:uid="{00000000-0005-0000-0000-000072140000}"/>
    <cellStyle name="Normal 2 2 12 6 2 3 2 2 2" xfId="10271" xr:uid="{00000000-0005-0000-0000-000073140000}"/>
    <cellStyle name="Normal 2 2 12 6 2 3 2 3" xfId="11946" xr:uid="{00000000-0005-0000-0000-000074140000}"/>
    <cellStyle name="Normal 2 2 12 6 2 3 2 4" xfId="8596" xr:uid="{00000000-0005-0000-0000-000075140000}"/>
    <cellStyle name="Normal 2 2 12 6 2 3 3" xfId="5954" xr:uid="{00000000-0005-0000-0000-000076140000}"/>
    <cellStyle name="Normal 2 2 12 6 2 3 3 2" xfId="9304" xr:uid="{00000000-0005-0000-0000-000077140000}"/>
    <cellStyle name="Normal 2 2 12 6 2 3 4" xfId="10979" xr:uid="{00000000-0005-0000-0000-000078140000}"/>
    <cellStyle name="Normal 2 2 12 6 2 3 5" xfId="7629" xr:uid="{00000000-0005-0000-0000-000079140000}"/>
    <cellStyle name="Normal 2 2 12 6 2 4" xfId="4515" xr:uid="{00000000-0005-0000-0000-00007A140000}"/>
    <cellStyle name="Normal 2 2 12 6 2 4 2" xfId="6190" xr:uid="{00000000-0005-0000-0000-00007B140000}"/>
    <cellStyle name="Normal 2 2 12 6 2 4 2 2" xfId="9540" xr:uid="{00000000-0005-0000-0000-00007C140000}"/>
    <cellStyle name="Normal 2 2 12 6 2 4 3" xfId="11215" xr:uid="{00000000-0005-0000-0000-00007D140000}"/>
    <cellStyle name="Normal 2 2 12 6 2 4 4" xfId="7865" xr:uid="{00000000-0005-0000-0000-00007E140000}"/>
    <cellStyle name="Normal 2 2 12 6 2 5" xfId="4774" xr:uid="{00000000-0005-0000-0000-00007F140000}"/>
    <cellStyle name="Normal 2 2 12 6 2 5 2" xfId="6449" xr:uid="{00000000-0005-0000-0000-000080140000}"/>
    <cellStyle name="Normal 2 2 12 6 2 5 2 2" xfId="9799" xr:uid="{00000000-0005-0000-0000-000081140000}"/>
    <cellStyle name="Normal 2 2 12 6 2 5 3" xfId="11474" xr:uid="{00000000-0005-0000-0000-000082140000}"/>
    <cellStyle name="Normal 2 2 12 6 2 5 4" xfId="8124" xr:uid="{00000000-0005-0000-0000-000083140000}"/>
    <cellStyle name="Normal 2 2 12 6 2 6" xfId="5482" xr:uid="{00000000-0005-0000-0000-000084140000}"/>
    <cellStyle name="Normal 2 2 12 6 2 6 2" xfId="8832" xr:uid="{00000000-0005-0000-0000-000085140000}"/>
    <cellStyle name="Normal 2 2 12 6 2 7" xfId="10507" xr:uid="{00000000-0005-0000-0000-000086140000}"/>
    <cellStyle name="Normal 2 2 12 6 2 8" xfId="7157" xr:uid="{00000000-0005-0000-0000-000087140000}"/>
    <cellStyle name="Normal 2 2 12 6 3" xfId="3925" xr:uid="{00000000-0005-0000-0000-000088140000}"/>
    <cellStyle name="Normal 2 2 12 6 3 2" xfId="4892" xr:uid="{00000000-0005-0000-0000-000089140000}"/>
    <cellStyle name="Normal 2 2 12 6 3 2 2" xfId="6567" xr:uid="{00000000-0005-0000-0000-00008A140000}"/>
    <cellStyle name="Normal 2 2 12 6 3 2 2 2" xfId="9917" xr:uid="{00000000-0005-0000-0000-00008B140000}"/>
    <cellStyle name="Normal 2 2 12 6 3 2 3" xfId="11592" xr:uid="{00000000-0005-0000-0000-00008C140000}"/>
    <cellStyle name="Normal 2 2 12 6 3 2 4" xfId="8242" xr:uid="{00000000-0005-0000-0000-00008D140000}"/>
    <cellStyle name="Normal 2 2 12 6 3 3" xfId="5600" xr:uid="{00000000-0005-0000-0000-00008E140000}"/>
    <cellStyle name="Normal 2 2 12 6 3 3 2" xfId="8950" xr:uid="{00000000-0005-0000-0000-00008F140000}"/>
    <cellStyle name="Normal 2 2 12 6 3 4" xfId="10625" xr:uid="{00000000-0005-0000-0000-000090140000}"/>
    <cellStyle name="Normal 2 2 12 6 3 5" xfId="7275" xr:uid="{00000000-0005-0000-0000-000091140000}"/>
    <cellStyle name="Normal 2 2 12 6 4" xfId="4161" xr:uid="{00000000-0005-0000-0000-000092140000}"/>
    <cellStyle name="Normal 2 2 12 6 4 2" xfId="5128" xr:uid="{00000000-0005-0000-0000-000093140000}"/>
    <cellStyle name="Normal 2 2 12 6 4 2 2" xfId="6803" xr:uid="{00000000-0005-0000-0000-000094140000}"/>
    <cellStyle name="Normal 2 2 12 6 4 2 2 2" xfId="10153" xr:uid="{00000000-0005-0000-0000-000095140000}"/>
    <cellStyle name="Normal 2 2 12 6 4 2 3" xfId="11828" xr:uid="{00000000-0005-0000-0000-000096140000}"/>
    <cellStyle name="Normal 2 2 12 6 4 2 4" xfId="8478" xr:uid="{00000000-0005-0000-0000-000097140000}"/>
    <cellStyle name="Normal 2 2 12 6 4 3" xfId="5836" xr:uid="{00000000-0005-0000-0000-000098140000}"/>
    <cellStyle name="Normal 2 2 12 6 4 3 2" xfId="9186" xr:uid="{00000000-0005-0000-0000-000099140000}"/>
    <cellStyle name="Normal 2 2 12 6 4 4" xfId="10861" xr:uid="{00000000-0005-0000-0000-00009A140000}"/>
    <cellStyle name="Normal 2 2 12 6 4 5" xfId="7511" xr:uid="{00000000-0005-0000-0000-00009B140000}"/>
    <cellStyle name="Normal 2 2 12 6 5" xfId="4397" xr:uid="{00000000-0005-0000-0000-00009C140000}"/>
    <cellStyle name="Normal 2 2 12 6 5 2" xfId="6072" xr:uid="{00000000-0005-0000-0000-00009D140000}"/>
    <cellStyle name="Normal 2 2 12 6 5 2 2" xfId="9422" xr:uid="{00000000-0005-0000-0000-00009E140000}"/>
    <cellStyle name="Normal 2 2 12 6 5 3" xfId="11097" xr:uid="{00000000-0005-0000-0000-00009F140000}"/>
    <cellStyle name="Normal 2 2 12 6 5 4" xfId="7747" xr:uid="{00000000-0005-0000-0000-0000A0140000}"/>
    <cellStyle name="Normal 2 2 12 6 6" xfId="4656" xr:uid="{00000000-0005-0000-0000-0000A1140000}"/>
    <cellStyle name="Normal 2 2 12 6 6 2" xfId="6331" xr:uid="{00000000-0005-0000-0000-0000A2140000}"/>
    <cellStyle name="Normal 2 2 12 6 6 2 2" xfId="9681" xr:uid="{00000000-0005-0000-0000-0000A3140000}"/>
    <cellStyle name="Normal 2 2 12 6 6 3" xfId="11356" xr:uid="{00000000-0005-0000-0000-0000A4140000}"/>
    <cellStyle name="Normal 2 2 12 6 6 4" xfId="8006" xr:uid="{00000000-0005-0000-0000-0000A5140000}"/>
    <cellStyle name="Normal 2 2 12 6 7" xfId="5364" xr:uid="{00000000-0005-0000-0000-0000A6140000}"/>
    <cellStyle name="Normal 2 2 12 6 7 2" xfId="8714" xr:uid="{00000000-0005-0000-0000-0000A7140000}"/>
    <cellStyle name="Normal 2 2 12 6 8" xfId="10389" xr:uid="{00000000-0005-0000-0000-0000A8140000}"/>
    <cellStyle name="Normal 2 2 12 6 9" xfId="7039" xr:uid="{00000000-0005-0000-0000-0000A9140000}"/>
    <cellStyle name="Normal 2 2 12 7" xfId="3713" xr:uid="{00000000-0005-0000-0000-0000AA140000}"/>
    <cellStyle name="Normal 2 2 12 7 2" xfId="3831" xr:uid="{00000000-0005-0000-0000-0000AB140000}"/>
    <cellStyle name="Normal 2 2 12 7 2 2" xfId="4067" xr:uid="{00000000-0005-0000-0000-0000AC140000}"/>
    <cellStyle name="Normal 2 2 12 7 2 2 2" xfId="5034" xr:uid="{00000000-0005-0000-0000-0000AD140000}"/>
    <cellStyle name="Normal 2 2 12 7 2 2 2 2" xfId="6709" xr:uid="{00000000-0005-0000-0000-0000AE140000}"/>
    <cellStyle name="Normal 2 2 12 7 2 2 2 2 2" xfId="10059" xr:uid="{00000000-0005-0000-0000-0000AF140000}"/>
    <cellStyle name="Normal 2 2 12 7 2 2 2 3" xfId="11734" xr:uid="{00000000-0005-0000-0000-0000B0140000}"/>
    <cellStyle name="Normal 2 2 12 7 2 2 2 4" xfId="8384" xr:uid="{00000000-0005-0000-0000-0000B1140000}"/>
    <cellStyle name="Normal 2 2 12 7 2 2 3" xfId="5742" xr:uid="{00000000-0005-0000-0000-0000B2140000}"/>
    <cellStyle name="Normal 2 2 12 7 2 2 3 2" xfId="9092" xr:uid="{00000000-0005-0000-0000-0000B3140000}"/>
    <cellStyle name="Normal 2 2 12 7 2 2 4" xfId="10767" xr:uid="{00000000-0005-0000-0000-0000B4140000}"/>
    <cellStyle name="Normal 2 2 12 7 2 2 5" xfId="7417" xr:uid="{00000000-0005-0000-0000-0000B5140000}"/>
    <cellStyle name="Normal 2 2 12 7 2 3" xfId="4303" xr:uid="{00000000-0005-0000-0000-0000B6140000}"/>
    <cellStyle name="Normal 2 2 12 7 2 3 2" xfId="5270" xr:uid="{00000000-0005-0000-0000-0000B7140000}"/>
    <cellStyle name="Normal 2 2 12 7 2 3 2 2" xfId="6945" xr:uid="{00000000-0005-0000-0000-0000B8140000}"/>
    <cellStyle name="Normal 2 2 12 7 2 3 2 2 2" xfId="10295" xr:uid="{00000000-0005-0000-0000-0000B9140000}"/>
    <cellStyle name="Normal 2 2 12 7 2 3 2 3" xfId="11970" xr:uid="{00000000-0005-0000-0000-0000BA140000}"/>
    <cellStyle name="Normal 2 2 12 7 2 3 2 4" xfId="8620" xr:uid="{00000000-0005-0000-0000-0000BB140000}"/>
    <cellStyle name="Normal 2 2 12 7 2 3 3" xfId="5978" xr:uid="{00000000-0005-0000-0000-0000BC140000}"/>
    <cellStyle name="Normal 2 2 12 7 2 3 3 2" xfId="9328" xr:uid="{00000000-0005-0000-0000-0000BD140000}"/>
    <cellStyle name="Normal 2 2 12 7 2 3 4" xfId="11003" xr:uid="{00000000-0005-0000-0000-0000BE140000}"/>
    <cellStyle name="Normal 2 2 12 7 2 3 5" xfId="7653" xr:uid="{00000000-0005-0000-0000-0000BF140000}"/>
    <cellStyle name="Normal 2 2 12 7 2 4" xfId="4539" xr:uid="{00000000-0005-0000-0000-0000C0140000}"/>
    <cellStyle name="Normal 2 2 12 7 2 4 2" xfId="6214" xr:uid="{00000000-0005-0000-0000-0000C1140000}"/>
    <cellStyle name="Normal 2 2 12 7 2 4 2 2" xfId="9564" xr:uid="{00000000-0005-0000-0000-0000C2140000}"/>
    <cellStyle name="Normal 2 2 12 7 2 4 3" xfId="11239" xr:uid="{00000000-0005-0000-0000-0000C3140000}"/>
    <cellStyle name="Normal 2 2 12 7 2 4 4" xfId="7889" xr:uid="{00000000-0005-0000-0000-0000C4140000}"/>
    <cellStyle name="Normal 2 2 12 7 2 5" xfId="4798" xr:uid="{00000000-0005-0000-0000-0000C5140000}"/>
    <cellStyle name="Normal 2 2 12 7 2 5 2" xfId="6473" xr:uid="{00000000-0005-0000-0000-0000C6140000}"/>
    <cellStyle name="Normal 2 2 12 7 2 5 2 2" xfId="9823" xr:uid="{00000000-0005-0000-0000-0000C7140000}"/>
    <cellStyle name="Normal 2 2 12 7 2 5 3" xfId="11498" xr:uid="{00000000-0005-0000-0000-0000C8140000}"/>
    <cellStyle name="Normal 2 2 12 7 2 5 4" xfId="8148" xr:uid="{00000000-0005-0000-0000-0000C9140000}"/>
    <cellStyle name="Normal 2 2 12 7 2 6" xfId="5506" xr:uid="{00000000-0005-0000-0000-0000CA140000}"/>
    <cellStyle name="Normal 2 2 12 7 2 6 2" xfId="8856" xr:uid="{00000000-0005-0000-0000-0000CB140000}"/>
    <cellStyle name="Normal 2 2 12 7 2 7" xfId="10531" xr:uid="{00000000-0005-0000-0000-0000CC140000}"/>
    <cellStyle name="Normal 2 2 12 7 2 8" xfId="7181" xr:uid="{00000000-0005-0000-0000-0000CD140000}"/>
    <cellStyle name="Normal 2 2 12 7 3" xfId="3949" xr:uid="{00000000-0005-0000-0000-0000CE140000}"/>
    <cellStyle name="Normal 2 2 12 7 3 2" xfId="4916" xr:uid="{00000000-0005-0000-0000-0000CF140000}"/>
    <cellStyle name="Normal 2 2 12 7 3 2 2" xfId="6591" xr:uid="{00000000-0005-0000-0000-0000D0140000}"/>
    <cellStyle name="Normal 2 2 12 7 3 2 2 2" xfId="9941" xr:uid="{00000000-0005-0000-0000-0000D1140000}"/>
    <cellStyle name="Normal 2 2 12 7 3 2 3" xfId="11616" xr:uid="{00000000-0005-0000-0000-0000D2140000}"/>
    <cellStyle name="Normal 2 2 12 7 3 2 4" xfId="8266" xr:uid="{00000000-0005-0000-0000-0000D3140000}"/>
    <cellStyle name="Normal 2 2 12 7 3 3" xfId="5624" xr:uid="{00000000-0005-0000-0000-0000D4140000}"/>
    <cellStyle name="Normal 2 2 12 7 3 3 2" xfId="8974" xr:uid="{00000000-0005-0000-0000-0000D5140000}"/>
    <cellStyle name="Normal 2 2 12 7 3 4" xfId="10649" xr:uid="{00000000-0005-0000-0000-0000D6140000}"/>
    <cellStyle name="Normal 2 2 12 7 3 5" xfId="7299" xr:uid="{00000000-0005-0000-0000-0000D7140000}"/>
    <cellStyle name="Normal 2 2 12 7 4" xfId="4185" xr:uid="{00000000-0005-0000-0000-0000D8140000}"/>
    <cellStyle name="Normal 2 2 12 7 4 2" xfId="5152" xr:uid="{00000000-0005-0000-0000-0000D9140000}"/>
    <cellStyle name="Normal 2 2 12 7 4 2 2" xfId="6827" xr:uid="{00000000-0005-0000-0000-0000DA140000}"/>
    <cellStyle name="Normal 2 2 12 7 4 2 2 2" xfId="10177" xr:uid="{00000000-0005-0000-0000-0000DB140000}"/>
    <cellStyle name="Normal 2 2 12 7 4 2 3" xfId="11852" xr:uid="{00000000-0005-0000-0000-0000DC140000}"/>
    <cellStyle name="Normal 2 2 12 7 4 2 4" xfId="8502" xr:uid="{00000000-0005-0000-0000-0000DD140000}"/>
    <cellStyle name="Normal 2 2 12 7 4 3" xfId="5860" xr:uid="{00000000-0005-0000-0000-0000DE140000}"/>
    <cellStyle name="Normal 2 2 12 7 4 3 2" xfId="9210" xr:uid="{00000000-0005-0000-0000-0000DF140000}"/>
    <cellStyle name="Normal 2 2 12 7 4 4" xfId="10885" xr:uid="{00000000-0005-0000-0000-0000E0140000}"/>
    <cellStyle name="Normal 2 2 12 7 4 5" xfId="7535" xr:uid="{00000000-0005-0000-0000-0000E1140000}"/>
    <cellStyle name="Normal 2 2 12 7 5" xfId="4421" xr:uid="{00000000-0005-0000-0000-0000E2140000}"/>
    <cellStyle name="Normal 2 2 12 7 5 2" xfId="6096" xr:uid="{00000000-0005-0000-0000-0000E3140000}"/>
    <cellStyle name="Normal 2 2 12 7 5 2 2" xfId="9446" xr:uid="{00000000-0005-0000-0000-0000E4140000}"/>
    <cellStyle name="Normal 2 2 12 7 5 3" xfId="11121" xr:uid="{00000000-0005-0000-0000-0000E5140000}"/>
    <cellStyle name="Normal 2 2 12 7 5 4" xfId="7771" xr:uid="{00000000-0005-0000-0000-0000E6140000}"/>
    <cellStyle name="Normal 2 2 12 7 6" xfId="4680" xr:uid="{00000000-0005-0000-0000-0000E7140000}"/>
    <cellStyle name="Normal 2 2 12 7 6 2" xfId="6355" xr:uid="{00000000-0005-0000-0000-0000E8140000}"/>
    <cellStyle name="Normal 2 2 12 7 6 2 2" xfId="9705" xr:uid="{00000000-0005-0000-0000-0000E9140000}"/>
    <cellStyle name="Normal 2 2 12 7 6 3" xfId="11380" xr:uid="{00000000-0005-0000-0000-0000EA140000}"/>
    <cellStyle name="Normal 2 2 12 7 6 4" xfId="8030" xr:uid="{00000000-0005-0000-0000-0000EB140000}"/>
    <cellStyle name="Normal 2 2 12 7 7" xfId="5388" xr:uid="{00000000-0005-0000-0000-0000EC140000}"/>
    <cellStyle name="Normal 2 2 12 7 7 2" xfId="8738" xr:uid="{00000000-0005-0000-0000-0000ED140000}"/>
    <cellStyle name="Normal 2 2 12 7 8" xfId="10413" xr:uid="{00000000-0005-0000-0000-0000EE140000}"/>
    <cellStyle name="Normal 2 2 12 7 9" xfId="7063" xr:uid="{00000000-0005-0000-0000-0000EF140000}"/>
    <cellStyle name="Normal 2 2 12 8" xfId="3737" xr:uid="{00000000-0005-0000-0000-0000F0140000}"/>
    <cellStyle name="Normal 2 2 12 8 2" xfId="3973" xr:uid="{00000000-0005-0000-0000-0000F1140000}"/>
    <cellStyle name="Normal 2 2 12 8 2 2" xfId="4940" xr:uid="{00000000-0005-0000-0000-0000F2140000}"/>
    <cellStyle name="Normal 2 2 12 8 2 2 2" xfId="6615" xr:uid="{00000000-0005-0000-0000-0000F3140000}"/>
    <cellStyle name="Normal 2 2 12 8 2 2 2 2" xfId="9965" xr:uid="{00000000-0005-0000-0000-0000F4140000}"/>
    <cellStyle name="Normal 2 2 12 8 2 2 3" xfId="11640" xr:uid="{00000000-0005-0000-0000-0000F5140000}"/>
    <cellStyle name="Normal 2 2 12 8 2 2 4" xfId="8290" xr:uid="{00000000-0005-0000-0000-0000F6140000}"/>
    <cellStyle name="Normal 2 2 12 8 2 3" xfId="5648" xr:uid="{00000000-0005-0000-0000-0000F7140000}"/>
    <cellStyle name="Normal 2 2 12 8 2 3 2" xfId="8998" xr:uid="{00000000-0005-0000-0000-0000F8140000}"/>
    <cellStyle name="Normal 2 2 12 8 2 4" xfId="10673" xr:uid="{00000000-0005-0000-0000-0000F9140000}"/>
    <cellStyle name="Normal 2 2 12 8 2 5" xfId="7323" xr:uid="{00000000-0005-0000-0000-0000FA140000}"/>
    <cellStyle name="Normal 2 2 12 8 3" xfId="4209" xr:uid="{00000000-0005-0000-0000-0000FB140000}"/>
    <cellStyle name="Normal 2 2 12 8 3 2" xfId="5176" xr:uid="{00000000-0005-0000-0000-0000FC140000}"/>
    <cellStyle name="Normal 2 2 12 8 3 2 2" xfId="6851" xr:uid="{00000000-0005-0000-0000-0000FD140000}"/>
    <cellStyle name="Normal 2 2 12 8 3 2 2 2" xfId="10201" xr:uid="{00000000-0005-0000-0000-0000FE140000}"/>
    <cellStyle name="Normal 2 2 12 8 3 2 3" xfId="11876" xr:uid="{00000000-0005-0000-0000-0000FF140000}"/>
    <cellStyle name="Normal 2 2 12 8 3 2 4" xfId="8526" xr:uid="{00000000-0005-0000-0000-000000150000}"/>
    <cellStyle name="Normal 2 2 12 8 3 3" xfId="5884" xr:uid="{00000000-0005-0000-0000-000001150000}"/>
    <cellStyle name="Normal 2 2 12 8 3 3 2" xfId="9234" xr:uid="{00000000-0005-0000-0000-000002150000}"/>
    <cellStyle name="Normal 2 2 12 8 3 4" xfId="10909" xr:uid="{00000000-0005-0000-0000-000003150000}"/>
    <cellStyle name="Normal 2 2 12 8 3 5" xfId="7559" xr:uid="{00000000-0005-0000-0000-000004150000}"/>
    <cellStyle name="Normal 2 2 12 8 4" xfId="4445" xr:uid="{00000000-0005-0000-0000-000005150000}"/>
    <cellStyle name="Normal 2 2 12 8 4 2" xfId="6120" xr:uid="{00000000-0005-0000-0000-000006150000}"/>
    <cellStyle name="Normal 2 2 12 8 4 2 2" xfId="9470" xr:uid="{00000000-0005-0000-0000-000007150000}"/>
    <cellStyle name="Normal 2 2 12 8 4 3" xfId="11145" xr:uid="{00000000-0005-0000-0000-000008150000}"/>
    <cellStyle name="Normal 2 2 12 8 4 4" xfId="7795" xr:uid="{00000000-0005-0000-0000-000009150000}"/>
    <cellStyle name="Normal 2 2 12 8 5" xfId="4704" xr:uid="{00000000-0005-0000-0000-00000A150000}"/>
    <cellStyle name="Normal 2 2 12 8 5 2" xfId="6379" xr:uid="{00000000-0005-0000-0000-00000B150000}"/>
    <cellStyle name="Normal 2 2 12 8 5 2 2" xfId="9729" xr:uid="{00000000-0005-0000-0000-00000C150000}"/>
    <cellStyle name="Normal 2 2 12 8 5 3" xfId="11404" xr:uid="{00000000-0005-0000-0000-00000D150000}"/>
    <cellStyle name="Normal 2 2 12 8 5 4" xfId="8054" xr:uid="{00000000-0005-0000-0000-00000E150000}"/>
    <cellStyle name="Normal 2 2 12 8 6" xfId="5412" xr:uid="{00000000-0005-0000-0000-00000F150000}"/>
    <cellStyle name="Normal 2 2 12 8 6 2" xfId="8762" xr:uid="{00000000-0005-0000-0000-000010150000}"/>
    <cellStyle name="Normal 2 2 12 8 7" xfId="10437" xr:uid="{00000000-0005-0000-0000-000011150000}"/>
    <cellStyle name="Normal 2 2 12 8 8" xfId="7087" xr:uid="{00000000-0005-0000-0000-000012150000}"/>
    <cellStyle name="Normal 2 2 12 9" xfId="3855" xr:uid="{00000000-0005-0000-0000-000013150000}"/>
    <cellStyle name="Normal 2 2 12 9 2" xfId="4822" xr:uid="{00000000-0005-0000-0000-000014150000}"/>
    <cellStyle name="Normal 2 2 12 9 2 2" xfId="6497" xr:uid="{00000000-0005-0000-0000-000015150000}"/>
    <cellStyle name="Normal 2 2 12 9 2 2 2" xfId="9847" xr:uid="{00000000-0005-0000-0000-000016150000}"/>
    <cellStyle name="Normal 2 2 12 9 2 3" xfId="11522" xr:uid="{00000000-0005-0000-0000-000017150000}"/>
    <cellStyle name="Normal 2 2 12 9 2 4" xfId="8172" xr:uid="{00000000-0005-0000-0000-000018150000}"/>
    <cellStyle name="Normal 2 2 12 9 3" xfId="5530" xr:uid="{00000000-0005-0000-0000-000019150000}"/>
    <cellStyle name="Normal 2 2 12 9 3 2" xfId="8880" xr:uid="{00000000-0005-0000-0000-00001A150000}"/>
    <cellStyle name="Normal 2 2 12 9 4" xfId="10555" xr:uid="{00000000-0005-0000-0000-00001B150000}"/>
    <cellStyle name="Normal 2 2 12 9 5" xfId="7205" xr:uid="{00000000-0005-0000-0000-00001C150000}"/>
    <cellStyle name="Normal 2 2 13" xfId="2629" xr:uid="{00000000-0005-0000-0000-0000450A0000}"/>
    <cellStyle name="Normal 2 2 13 10" xfId="4558" xr:uid="{00000000-0005-0000-0000-00001E150000}"/>
    <cellStyle name="Normal 2 2 13 10 2" xfId="6233" xr:uid="{00000000-0005-0000-0000-00001F150000}"/>
    <cellStyle name="Normal 2 2 13 10 2 2" xfId="9583" xr:uid="{00000000-0005-0000-0000-000020150000}"/>
    <cellStyle name="Normal 2 2 13 10 3" xfId="11258" xr:uid="{00000000-0005-0000-0000-000021150000}"/>
    <cellStyle name="Normal 2 2 13 10 4" xfId="7908" xr:uid="{00000000-0005-0000-0000-000022150000}"/>
    <cellStyle name="Normal 2 2 13 11" xfId="5289" xr:uid="{00000000-0005-0000-0000-000023150000}"/>
    <cellStyle name="Normal 2 2 13 11 2" xfId="8639" xr:uid="{00000000-0005-0000-0000-000024150000}"/>
    <cellStyle name="Normal 2 2 13 12" xfId="10314" xr:uid="{00000000-0005-0000-0000-000025150000}"/>
    <cellStyle name="Normal 2 2 13 13" xfId="6964" xr:uid="{00000000-0005-0000-0000-000026150000}"/>
    <cellStyle name="Normal 2 2 13 14" xfId="3402" xr:uid="{00000000-0005-0000-0000-00001D150000}"/>
    <cellStyle name="Normal 2 2 13 2" xfId="2630" xr:uid="{00000000-0005-0000-0000-0000460A0000}"/>
    <cellStyle name="Normal 2 2 13 2 10" xfId="3637" xr:uid="{00000000-0005-0000-0000-000027150000}"/>
    <cellStyle name="Normal 2 2 13 2 2" xfId="3756" xr:uid="{00000000-0005-0000-0000-000028150000}"/>
    <cellStyle name="Normal 2 2 13 2 2 2" xfId="3992" xr:uid="{00000000-0005-0000-0000-000029150000}"/>
    <cellStyle name="Normal 2 2 13 2 2 2 2" xfId="4959" xr:uid="{00000000-0005-0000-0000-00002A150000}"/>
    <cellStyle name="Normal 2 2 13 2 2 2 2 2" xfId="6634" xr:uid="{00000000-0005-0000-0000-00002B150000}"/>
    <cellStyle name="Normal 2 2 13 2 2 2 2 2 2" xfId="9984" xr:uid="{00000000-0005-0000-0000-00002C150000}"/>
    <cellStyle name="Normal 2 2 13 2 2 2 2 3" xfId="11659" xr:uid="{00000000-0005-0000-0000-00002D150000}"/>
    <cellStyle name="Normal 2 2 13 2 2 2 2 4" xfId="8309" xr:uid="{00000000-0005-0000-0000-00002E150000}"/>
    <cellStyle name="Normal 2 2 13 2 2 2 3" xfId="5667" xr:uid="{00000000-0005-0000-0000-00002F150000}"/>
    <cellStyle name="Normal 2 2 13 2 2 2 3 2" xfId="9017" xr:uid="{00000000-0005-0000-0000-000030150000}"/>
    <cellStyle name="Normal 2 2 13 2 2 2 4" xfId="10692" xr:uid="{00000000-0005-0000-0000-000031150000}"/>
    <cellStyle name="Normal 2 2 13 2 2 2 5" xfId="7342" xr:uid="{00000000-0005-0000-0000-000032150000}"/>
    <cellStyle name="Normal 2 2 13 2 2 3" xfId="4228" xr:uid="{00000000-0005-0000-0000-000033150000}"/>
    <cellStyle name="Normal 2 2 13 2 2 3 2" xfId="5195" xr:uid="{00000000-0005-0000-0000-000034150000}"/>
    <cellStyle name="Normal 2 2 13 2 2 3 2 2" xfId="6870" xr:uid="{00000000-0005-0000-0000-000035150000}"/>
    <cellStyle name="Normal 2 2 13 2 2 3 2 2 2" xfId="10220" xr:uid="{00000000-0005-0000-0000-000036150000}"/>
    <cellStyle name="Normal 2 2 13 2 2 3 2 3" xfId="11895" xr:uid="{00000000-0005-0000-0000-000037150000}"/>
    <cellStyle name="Normal 2 2 13 2 2 3 2 4" xfId="8545" xr:uid="{00000000-0005-0000-0000-000038150000}"/>
    <cellStyle name="Normal 2 2 13 2 2 3 3" xfId="5903" xr:uid="{00000000-0005-0000-0000-000039150000}"/>
    <cellStyle name="Normal 2 2 13 2 2 3 3 2" xfId="9253" xr:uid="{00000000-0005-0000-0000-00003A150000}"/>
    <cellStyle name="Normal 2 2 13 2 2 3 4" xfId="10928" xr:uid="{00000000-0005-0000-0000-00003B150000}"/>
    <cellStyle name="Normal 2 2 13 2 2 3 5" xfId="7578" xr:uid="{00000000-0005-0000-0000-00003C150000}"/>
    <cellStyle name="Normal 2 2 13 2 2 4" xfId="4464" xr:uid="{00000000-0005-0000-0000-00003D150000}"/>
    <cellStyle name="Normal 2 2 13 2 2 4 2" xfId="6139" xr:uid="{00000000-0005-0000-0000-00003E150000}"/>
    <cellStyle name="Normal 2 2 13 2 2 4 2 2" xfId="9489" xr:uid="{00000000-0005-0000-0000-00003F150000}"/>
    <cellStyle name="Normal 2 2 13 2 2 4 3" xfId="11164" xr:uid="{00000000-0005-0000-0000-000040150000}"/>
    <cellStyle name="Normal 2 2 13 2 2 4 4" xfId="7814" xr:uid="{00000000-0005-0000-0000-000041150000}"/>
    <cellStyle name="Normal 2 2 13 2 2 5" xfId="4723" xr:uid="{00000000-0005-0000-0000-000042150000}"/>
    <cellStyle name="Normal 2 2 13 2 2 5 2" xfId="6398" xr:uid="{00000000-0005-0000-0000-000043150000}"/>
    <cellStyle name="Normal 2 2 13 2 2 5 2 2" xfId="9748" xr:uid="{00000000-0005-0000-0000-000044150000}"/>
    <cellStyle name="Normal 2 2 13 2 2 5 3" xfId="11423" xr:uid="{00000000-0005-0000-0000-000045150000}"/>
    <cellStyle name="Normal 2 2 13 2 2 5 4" xfId="8073" xr:uid="{00000000-0005-0000-0000-000046150000}"/>
    <cellStyle name="Normal 2 2 13 2 2 6" xfId="5431" xr:uid="{00000000-0005-0000-0000-000047150000}"/>
    <cellStyle name="Normal 2 2 13 2 2 6 2" xfId="8781" xr:uid="{00000000-0005-0000-0000-000048150000}"/>
    <cellStyle name="Normal 2 2 13 2 2 7" xfId="10456" xr:uid="{00000000-0005-0000-0000-000049150000}"/>
    <cellStyle name="Normal 2 2 13 2 2 8" xfId="7106" xr:uid="{00000000-0005-0000-0000-00004A150000}"/>
    <cellStyle name="Normal 2 2 13 2 3" xfId="3873" xr:uid="{00000000-0005-0000-0000-00004B150000}"/>
    <cellStyle name="Normal 2 2 13 2 3 2" xfId="4840" xr:uid="{00000000-0005-0000-0000-00004C150000}"/>
    <cellStyle name="Normal 2 2 13 2 3 2 2" xfId="6515" xr:uid="{00000000-0005-0000-0000-00004D150000}"/>
    <cellStyle name="Normal 2 2 13 2 3 2 2 2" xfId="9865" xr:uid="{00000000-0005-0000-0000-00004E150000}"/>
    <cellStyle name="Normal 2 2 13 2 3 2 3" xfId="11540" xr:uid="{00000000-0005-0000-0000-00004F150000}"/>
    <cellStyle name="Normal 2 2 13 2 3 2 4" xfId="8190" xr:uid="{00000000-0005-0000-0000-000050150000}"/>
    <cellStyle name="Normal 2 2 13 2 3 3" xfId="5548" xr:uid="{00000000-0005-0000-0000-000051150000}"/>
    <cellStyle name="Normal 2 2 13 2 3 3 2" xfId="8898" xr:uid="{00000000-0005-0000-0000-000052150000}"/>
    <cellStyle name="Normal 2 2 13 2 3 4" xfId="10573" xr:uid="{00000000-0005-0000-0000-000053150000}"/>
    <cellStyle name="Normal 2 2 13 2 3 5" xfId="7223" xr:uid="{00000000-0005-0000-0000-000054150000}"/>
    <cellStyle name="Normal 2 2 13 2 4" xfId="4109" xr:uid="{00000000-0005-0000-0000-000055150000}"/>
    <cellStyle name="Normal 2 2 13 2 4 2" xfId="5076" xr:uid="{00000000-0005-0000-0000-000056150000}"/>
    <cellStyle name="Normal 2 2 13 2 4 2 2" xfId="6751" xr:uid="{00000000-0005-0000-0000-000057150000}"/>
    <cellStyle name="Normal 2 2 13 2 4 2 2 2" xfId="10101" xr:uid="{00000000-0005-0000-0000-000058150000}"/>
    <cellStyle name="Normal 2 2 13 2 4 2 3" xfId="11776" xr:uid="{00000000-0005-0000-0000-000059150000}"/>
    <cellStyle name="Normal 2 2 13 2 4 2 4" xfId="8426" xr:uid="{00000000-0005-0000-0000-00005A150000}"/>
    <cellStyle name="Normal 2 2 13 2 4 3" xfId="5784" xr:uid="{00000000-0005-0000-0000-00005B150000}"/>
    <cellStyle name="Normal 2 2 13 2 4 3 2" xfId="9134" xr:uid="{00000000-0005-0000-0000-00005C150000}"/>
    <cellStyle name="Normal 2 2 13 2 4 4" xfId="10809" xr:uid="{00000000-0005-0000-0000-00005D150000}"/>
    <cellStyle name="Normal 2 2 13 2 4 5" xfId="7459" xr:uid="{00000000-0005-0000-0000-00005E150000}"/>
    <cellStyle name="Normal 2 2 13 2 5" xfId="4345" xr:uid="{00000000-0005-0000-0000-00005F150000}"/>
    <cellStyle name="Normal 2 2 13 2 5 2" xfId="6020" xr:uid="{00000000-0005-0000-0000-000060150000}"/>
    <cellStyle name="Normal 2 2 13 2 5 2 2" xfId="9370" xr:uid="{00000000-0005-0000-0000-000061150000}"/>
    <cellStyle name="Normal 2 2 13 2 5 3" xfId="11045" xr:uid="{00000000-0005-0000-0000-000062150000}"/>
    <cellStyle name="Normal 2 2 13 2 5 4" xfId="7695" xr:uid="{00000000-0005-0000-0000-000063150000}"/>
    <cellStyle name="Normal 2 2 13 2 6" xfId="4604" xr:uid="{00000000-0005-0000-0000-000064150000}"/>
    <cellStyle name="Normal 2 2 13 2 6 2" xfId="6279" xr:uid="{00000000-0005-0000-0000-000065150000}"/>
    <cellStyle name="Normal 2 2 13 2 6 2 2" xfId="9629" xr:uid="{00000000-0005-0000-0000-000066150000}"/>
    <cellStyle name="Normal 2 2 13 2 6 3" xfId="11304" xr:uid="{00000000-0005-0000-0000-000067150000}"/>
    <cellStyle name="Normal 2 2 13 2 6 4" xfId="7954" xr:uid="{00000000-0005-0000-0000-000068150000}"/>
    <cellStyle name="Normal 2 2 13 2 7" xfId="5312" xr:uid="{00000000-0005-0000-0000-000069150000}"/>
    <cellStyle name="Normal 2 2 13 2 7 2" xfId="8662" xr:uid="{00000000-0005-0000-0000-00006A150000}"/>
    <cellStyle name="Normal 2 2 13 2 8" xfId="10337" xr:uid="{00000000-0005-0000-0000-00006B150000}"/>
    <cellStyle name="Normal 2 2 13 2 9" xfId="6987" xr:uid="{00000000-0005-0000-0000-00006C150000}"/>
    <cellStyle name="Normal 2 2 13 3" xfId="3660" xr:uid="{00000000-0005-0000-0000-00006D150000}"/>
    <cellStyle name="Normal 2 2 13 3 2" xfId="3778" xr:uid="{00000000-0005-0000-0000-00006E150000}"/>
    <cellStyle name="Normal 2 2 13 3 2 2" xfId="4014" xr:uid="{00000000-0005-0000-0000-00006F150000}"/>
    <cellStyle name="Normal 2 2 13 3 2 2 2" xfId="4981" xr:uid="{00000000-0005-0000-0000-000070150000}"/>
    <cellStyle name="Normal 2 2 13 3 2 2 2 2" xfId="6656" xr:uid="{00000000-0005-0000-0000-000071150000}"/>
    <cellStyle name="Normal 2 2 13 3 2 2 2 2 2" xfId="10006" xr:uid="{00000000-0005-0000-0000-000072150000}"/>
    <cellStyle name="Normal 2 2 13 3 2 2 2 3" xfId="11681" xr:uid="{00000000-0005-0000-0000-000073150000}"/>
    <cellStyle name="Normal 2 2 13 3 2 2 2 4" xfId="8331" xr:uid="{00000000-0005-0000-0000-000074150000}"/>
    <cellStyle name="Normal 2 2 13 3 2 2 3" xfId="5689" xr:uid="{00000000-0005-0000-0000-000075150000}"/>
    <cellStyle name="Normal 2 2 13 3 2 2 3 2" xfId="9039" xr:uid="{00000000-0005-0000-0000-000076150000}"/>
    <cellStyle name="Normal 2 2 13 3 2 2 4" xfId="10714" xr:uid="{00000000-0005-0000-0000-000077150000}"/>
    <cellStyle name="Normal 2 2 13 3 2 2 5" xfId="7364" xr:uid="{00000000-0005-0000-0000-000078150000}"/>
    <cellStyle name="Normal 2 2 13 3 2 3" xfId="4250" xr:uid="{00000000-0005-0000-0000-000079150000}"/>
    <cellStyle name="Normal 2 2 13 3 2 3 2" xfId="5217" xr:uid="{00000000-0005-0000-0000-00007A150000}"/>
    <cellStyle name="Normal 2 2 13 3 2 3 2 2" xfId="6892" xr:uid="{00000000-0005-0000-0000-00007B150000}"/>
    <cellStyle name="Normal 2 2 13 3 2 3 2 2 2" xfId="10242" xr:uid="{00000000-0005-0000-0000-00007C150000}"/>
    <cellStyle name="Normal 2 2 13 3 2 3 2 3" xfId="11917" xr:uid="{00000000-0005-0000-0000-00007D150000}"/>
    <cellStyle name="Normal 2 2 13 3 2 3 2 4" xfId="8567" xr:uid="{00000000-0005-0000-0000-00007E150000}"/>
    <cellStyle name="Normal 2 2 13 3 2 3 3" xfId="5925" xr:uid="{00000000-0005-0000-0000-00007F150000}"/>
    <cellStyle name="Normal 2 2 13 3 2 3 3 2" xfId="9275" xr:uid="{00000000-0005-0000-0000-000080150000}"/>
    <cellStyle name="Normal 2 2 13 3 2 3 4" xfId="10950" xr:uid="{00000000-0005-0000-0000-000081150000}"/>
    <cellStyle name="Normal 2 2 13 3 2 3 5" xfId="7600" xr:uid="{00000000-0005-0000-0000-000082150000}"/>
    <cellStyle name="Normal 2 2 13 3 2 4" xfId="4486" xr:uid="{00000000-0005-0000-0000-000083150000}"/>
    <cellStyle name="Normal 2 2 13 3 2 4 2" xfId="6161" xr:uid="{00000000-0005-0000-0000-000084150000}"/>
    <cellStyle name="Normal 2 2 13 3 2 4 2 2" xfId="9511" xr:uid="{00000000-0005-0000-0000-000085150000}"/>
    <cellStyle name="Normal 2 2 13 3 2 4 3" xfId="11186" xr:uid="{00000000-0005-0000-0000-000086150000}"/>
    <cellStyle name="Normal 2 2 13 3 2 4 4" xfId="7836" xr:uid="{00000000-0005-0000-0000-000087150000}"/>
    <cellStyle name="Normal 2 2 13 3 2 5" xfId="4745" xr:uid="{00000000-0005-0000-0000-000088150000}"/>
    <cellStyle name="Normal 2 2 13 3 2 5 2" xfId="6420" xr:uid="{00000000-0005-0000-0000-000089150000}"/>
    <cellStyle name="Normal 2 2 13 3 2 5 2 2" xfId="9770" xr:uid="{00000000-0005-0000-0000-00008A150000}"/>
    <cellStyle name="Normal 2 2 13 3 2 5 3" xfId="11445" xr:uid="{00000000-0005-0000-0000-00008B150000}"/>
    <cellStyle name="Normal 2 2 13 3 2 5 4" xfId="8095" xr:uid="{00000000-0005-0000-0000-00008C150000}"/>
    <cellStyle name="Normal 2 2 13 3 2 6" xfId="5453" xr:uid="{00000000-0005-0000-0000-00008D150000}"/>
    <cellStyle name="Normal 2 2 13 3 2 6 2" xfId="8803" xr:uid="{00000000-0005-0000-0000-00008E150000}"/>
    <cellStyle name="Normal 2 2 13 3 2 7" xfId="10478" xr:uid="{00000000-0005-0000-0000-00008F150000}"/>
    <cellStyle name="Normal 2 2 13 3 2 8" xfId="7128" xr:uid="{00000000-0005-0000-0000-000090150000}"/>
    <cellStyle name="Normal 2 2 13 3 3" xfId="3896" xr:uid="{00000000-0005-0000-0000-000091150000}"/>
    <cellStyle name="Normal 2 2 13 3 3 2" xfId="4863" xr:uid="{00000000-0005-0000-0000-000092150000}"/>
    <cellStyle name="Normal 2 2 13 3 3 2 2" xfId="6538" xr:uid="{00000000-0005-0000-0000-000093150000}"/>
    <cellStyle name="Normal 2 2 13 3 3 2 2 2" xfId="9888" xr:uid="{00000000-0005-0000-0000-000094150000}"/>
    <cellStyle name="Normal 2 2 13 3 3 2 3" xfId="11563" xr:uid="{00000000-0005-0000-0000-000095150000}"/>
    <cellStyle name="Normal 2 2 13 3 3 2 4" xfId="8213" xr:uid="{00000000-0005-0000-0000-000096150000}"/>
    <cellStyle name="Normal 2 2 13 3 3 3" xfId="5571" xr:uid="{00000000-0005-0000-0000-000097150000}"/>
    <cellStyle name="Normal 2 2 13 3 3 3 2" xfId="8921" xr:uid="{00000000-0005-0000-0000-000098150000}"/>
    <cellStyle name="Normal 2 2 13 3 3 4" xfId="10596" xr:uid="{00000000-0005-0000-0000-000099150000}"/>
    <cellStyle name="Normal 2 2 13 3 3 5" xfId="7246" xr:uid="{00000000-0005-0000-0000-00009A150000}"/>
    <cellStyle name="Normal 2 2 13 3 4" xfId="4132" xr:uid="{00000000-0005-0000-0000-00009B150000}"/>
    <cellStyle name="Normal 2 2 13 3 4 2" xfId="5099" xr:uid="{00000000-0005-0000-0000-00009C150000}"/>
    <cellStyle name="Normal 2 2 13 3 4 2 2" xfId="6774" xr:uid="{00000000-0005-0000-0000-00009D150000}"/>
    <cellStyle name="Normal 2 2 13 3 4 2 2 2" xfId="10124" xr:uid="{00000000-0005-0000-0000-00009E150000}"/>
    <cellStyle name="Normal 2 2 13 3 4 2 3" xfId="11799" xr:uid="{00000000-0005-0000-0000-00009F150000}"/>
    <cellStyle name="Normal 2 2 13 3 4 2 4" xfId="8449" xr:uid="{00000000-0005-0000-0000-0000A0150000}"/>
    <cellStyle name="Normal 2 2 13 3 4 3" xfId="5807" xr:uid="{00000000-0005-0000-0000-0000A1150000}"/>
    <cellStyle name="Normal 2 2 13 3 4 3 2" xfId="9157" xr:uid="{00000000-0005-0000-0000-0000A2150000}"/>
    <cellStyle name="Normal 2 2 13 3 4 4" xfId="10832" xr:uid="{00000000-0005-0000-0000-0000A3150000}"/>
    <cellStyle name="Normal 2 2 13 3 4 5" xfId="7482" xr:uid="{00000000-0005-0000-0000-0000A4150000}"/>
    <cellStyle name="Normal 2 2 13 3 5" xfId="4368" xr:uid="{00000000-0005-0000-0000-0000A5150000}"/>
    <cellStyle name="Normal 2 2 13 3 5 2" xfId="6043" xr:uid="{00000000-0005-0000-0000-0000A6150000}"/>
    <cellStyle name="Normal 2 2 13 3 5 2 2" xfId="9393" xr:uid="{00000000-0005-0000-0000-0000A7150000}"/>
    <cellStyle name="Normal 2 2 13 3 5 3" xfId="11068" xr:uid="{00000000-0005-0000-0000-0000A8150000}"/>
    <cellStyle name="Normal 2 2 13 3 5 4" xfId="7718" xr:uid="{00000000-0005-0000-0000-0000A9150000}"/>
    <cellStyle name="Normal 2 2 13 3 6" xfId="4627" xr:uid="{00000000-0005-0000-0000-0000AA150000}"/>
    <cellStyle name="Normal 2 2 13 3 6 2" xfId="6302" xr:uid="{00000000-0005-0000-0000-0000AB150000}"/>
    <cellStyle name="Normal 2 2 13 3 6 2 2" xfId="9652" xr:uid="{00000000-0005-0000-0000-0000AC150000}"/>
    <cellStyle name="Normal 2 2 13 3 6 3" xfId="11327" xr:uid="{00000000-0005-0000-0000-0000AD150000}"/>
    <cellStyle name="Normal 2 2 13 3 6 4" xfId="7977" xr:uid="{00000000-0005-0000-0000-0000AE150000}"/>
    <cellStyle name="Normal 2 2 13 3 7" xfId="5335" xr:uid="{00000000-0005-0000-0000-0000AF150000}"/>
    <cellStyle name="Normal 2 2 13 3 7 2" xfId="8685" xr:uid="{00000000-0005-0000-0000-0000B0150000}"/>
    <cellStyle name="Normal 2 2 13 3 8" xfId="10360" xr:uid="{00000000-0005-0000-0000-0000B1150000}"/>
    <cellStyle name="Normal 2 2 13 3 9" xfId="7010" xr:uid="{00000000-0005-0000-0000-0000B2150000}"/>
    <cellStyle name="Normal 2 2 13 4" xfId="3684" xr:uid="{00000000-0005-0000-0000-0000B3150000}"/>
    <cellStyle name="Normal 2 2 13 4 2" xfId="3802" xr:uid="{00000000-0005-0000-0000-0000B4150000}"/>
    <cellStyle name="Normal 2 2 13 4 2 2" xfId="4038" xr:uid="{00000000-0005-0000-0000-0000B5150000}"/>
    <cellStyle name="Normal 2 2 13 4 2 2 2" xfId="5005" xr:uid="{00000000-0005-0000-0000-0000B6150000}"/>
    <cellStyle name="Normal 2 2 13 4 2 2 2 2" xfId="6680" xr:uid="{00000000-0005-0000-0000-0000B7150000}"/>
    <cellStyle name="Normal 2 2 13 4 2 2 2 2 2" xfId="10030" xr:uid="{00000000-0005-0000-0000-0000B8150000}"/>
    <cellStyle name="Normal 2 2 13 4 2 2 2 3" xfId="11705" xr:uid="{00000000-0005-0000-0000-0000B9150000}"/>
    <cellStyle name="Normal 2 2 13 4 2 2 2 4" xfId="8355" xr:uid="{00000000-0005-0000-0000-0000BA150000}"/>
    <cellStyle name="Normal 2 2 13 4 2 2 3" xfId="5713" xr:uid="{00000000-0005-0000-0000-0000BB150000}"/>
    <cellStyle name="Normal 2 2 13 4 2 2 3 2" xfId="9063" xr:uid="{00000000-0005-0000-0000-0000BC150000}"/>
    <cellStyle name="Normal 2 2 13 4 2 2 4" xfId="10738" xr:uid="{00000000-0005-0000-0000-0000BD150000}"/>
    <cellStyle name="Normal 2 2 13 4 2 2 5" xfId="7388" xr:uid="{00000000-0005-0000-0000-0000BE150000}"/>
    <cellStyle name="Normal 2 2 13 4 2 3" xfId="4274" xr:uid="{00000000-0005-0000-0000-0000BF150000}"/>
    <cellStyle name="Normal 2 2 13 4 2 3 2" xfId="5241" xr:uid="{00000000-0005-0000-0000-0000C0150000}"/>
    <cellStyle name="Normal 2 2 13 4 2 3 2 2" xfId="6916" xr:uid="{00000000-0005-0000-0000-0000C1150000}"/>
    <cellStyle name="Normal 2 2 13 4 2 3 2 2 2" xfId="10266" xr:uid="{00000000-0005-0000-0000-0000C2150000}"/>
    <cellStyle name="Normal 2 2 13 4 2 3 2 3" xfId="11941" xr:uid="{00000000-0005-0000-0000-0000C3150000}"/>
    <cellStyle name="Normal 2 2 13 4 2 3 2 4" xfId="8591" xr:uid="{00000000-0005-0000-0000-0000C4150000}"/>
    <cellStyle name="Normal 2 2 13 4 2 3 3" xfId="5949" xr:uid="{00000000-0005-0000-0000-0000C5150000}"/>
    <cellStyle name="Normal 2 2 13 4 2 3 3 2" xfId="9299" xr:uid="{00000000-0005-0000-0000-0000C6150000}"/>
    <cellStyle name="Normal 2 2 13 4 2 3 4" xfId="10974" xr:uid="{00000000-0005-0000-0000-0000C7150000}"/>
    <cellStyle name="Normal 2 2 13 4 2 3 5" xfId="7624" xr:uid="{00000000-0005-0000-0000-0000C8150000}"/>
    <cellStyle name="Normal 2 2 13 4 2 4" xfId="4510" xr:uid="{00000000-0005-0000-0000-0000C9150000}"/>
    <cellStyle name="Normal 2 2 13 4 2 4 2" xfId="6185" xr:uid="{00000000-0005-0000-0000-0000CA150000}"/>
    <cellStyle name="Normal 2 2 13 4 2 4 2 2" xfId="9535" xr:uid="{00000000-0005-0000-0000-0000CB150000}"/>
    <cellStyle name="Normal 2 2 13 4 2 4 3" xfId="11210" xr:uid="{00000000-0005-0000-0000-0000CC150000}"/>
    <cellStyle name="Normal 2 2 13 4 2 4 4" xfId="7860" xr:uid="{00000000-0005-0000-0000-0000CD150000}"/>
    <cellStyle name="Normal 2 2 13 4 2 5" xfId="4769" xr:uid="{00000000-0005-0000-0000-0000CE150000}"/>
    <cellStyle name="Normal 2 2 13 4 2 5 2" xfId="6444" xr:uid="{00000000-0005-0000-0000-0000CF150000}"/>
    <cellStyle name="Normal 2 2 13 4 2 5 2 2" xfId="9794" xr:uid="{00000000-0005-0000-0000-0000D0150000}"/>
    <cellStyle name="Normal 2 2 13 4 2 5 3" xfId="11469" xr:uid="{00000000-0005-0000-0000-0000D1150000}"/>
    <cellStyle name="Normal 2 2 13 4 2 5 4" xfId="8119" xr:uid="{00000000-0005-0000-0000-0000D2150000}"/>
    <cellStyle name="Normal 2 2 13 4 2 6" xfId="5477" xr:uid="{00000000-0005-0000-0000-0000D3150000}"/>
    <cellStyle name="Normal 2 2 13 4 2 6 2" xfId="8827" xr:uid="{00000000-0005-0000-0000-0000D4150000}"/>
    <cellStyle name="Normal 2 2 13 4 2 7" xfId="10502" xr:uid="{00000000-0005-0000-0000-0000D5150000}"/>
    <cellStyle name="Normal 2 2 13 4 2 8" xfId="7152" xr:uid="{00000000-0005-0000-0000-0000D6150000}"/>
    <cellStyle name="Normal 2 2 13 4 3" xfId="3920" xr:uid="{00000000-0005-0000-0000-0000D7150000}"/>
    <cellStyle name="Normal 2 2 13 4 3 2" xfId="4887" xr:uid="{00000000-0005-0000-0000-0000D8150000}"/>
    <cellStyle name="Normal 2 2 13 4 3 2 2" xfId="6562" xr:uid="{00000000-0005-0000-0000-0000D9150000}"/>
    <cellStyle name="Normal 2 2 13 4 3 2 2 2" xfId="9912" xr:uid="{00000000-0005-0000-0000-0000DA150000}"/>
    <cellStyle name="Normal 2 2 13 4 3 2 3" xfId="11587" xr:uid="{00000000-0005-0000-0000-0000DB150000}"/>
    <cellStyle name="Normal 2 2 13 4 3 2 4" xfId="8237" xr:uid="{00000000-0005-0000-0000-0000DC150000}"/>
    <cellStyle name="Normal 2 2 13 4 3 3" xfId="5595" xr:uid="{00000000-0005-0000-0000-0000DD150000}"/>
    <cellStyle name="Normal 2 2 13 4 3 3 2" xfId="8945" xr:uid="{00000000-0005-0000-0000-0000DE150000}"/>
    <cellStyle name="Normal 2 2 13 4 3 4" xfId="10620" xr:uid="{00000000-0005-0000-0000-0000DF150000}"/>
    <cellStyle name="Normal 2 2 13 4 3 5" xfId="7270" xr:uid="{00000000-0005-0000-0000-0000E0150000}"/>
    <cellStyle name="Normal 2 2 13 4 4" xfId="4156" xr:uid="{00000000-0005-0000-0000-0000E1150000}"/>
    <cellStyle name="Normal 2 2 13 4 4 2" xfId="5123" xr:uid="{00000000-0005-0000-0000-0000E2150000}"/>
    <cellStyle name="Normal 2 2 13 4 4 2 2" xfId="6798" xr:uid="{00000000-0005-0000-0000-0000E3150000}"/>
    <cellStyle name="Normal 2 2 13 4 4 2 2 2" xfId="10148" xr:uid="{00000000-0005-0000-0000-0000E4150000}"/>
    <cellStyle name="Normal 2 2 13 4 4 2 3" xfId="11823" xr:uid="{00000000-0005-0000-0000-0000E5150000}"/>
    <cellStyle name="Normal 2 2 13 4 4 2 4" xfId="8473" xr:uid="{00000000-0005-0000-0000-0000E6150000}"/>
    <cellStyle name="Normal 2 2 13 4 4 3" xfId="5831" xr:uid="{00000000-0005-0000-0000-0000E7150000}"/>
    <cellStyle name="Normal 2 2 13 4 4 3 2" xfId="9181" xr:uid="{00000000-0005-0000-0000-0000E8150000}"/>
    <cellStyle name="Normal 2 2 13 4 4 4" xfId="10856" xr:uid="{00000000-0005-0000-0000-0000E9150000}"/>
    <cellStyle name="Normal 2 2 13 4 4 5" xfId="7506" xr:uid="{00000000-0005-0000-0000-0000EA150000}"/>
    <cellStyle name="Normal 2 2 13 4 5" xfId="4392" xr:uid="{00000000-0005-0000-0000-0000EB150000}"/>
    <cellStyle name="Normal 2 2 13 4 5 2" xfId="6067" xr:uid="{00000000-0005-0000-0000-0000EC150000}"/>
    <cellStyle name="Normal 2 2 13 4 5 2 2" xfId="9417" xr:uid="{00000000-0005-0000-0000-0000ED150000}"/>
    <cellStyle name="Normal 2 2 13 4 5 3" xfId="11092" xr:uid="{00000000-0005-0000-0000-0000EE150000}"/>
    <cellStyle name="Normal 2 2 13 4 5 4" xfId="7742" xr:uid="{00000000-0005-0000-0000-0000EF150000}"/>
    <cellStyle name="Normal 2 2 13 4 6" xfId="4651" xr:uid="{00000000-0005-0000-0000-0000F0150000}"/>
    <cellStyle name="Normal 2 2 13 4 6 2" xfId="6326" xr:uid="{00000000-0005-0000-0000-0000F1150000}"/>
    <cellStyle name="Normal 2 2 13 4 6 2 2" xfId="9676" xr:uid="{00000000-0005-0000-0000-0000F2150000}"/>
    <cellStyle name="Normal 2 2 13 4 6 3" xfId="11351" xr:uid="{00000000-0005-0000-0000-0000F3150000}"/>
    <cellStyle name="Normal 2 2 13 4 6 4" xfId="8001" xr:uid="{00000000-0005-0000-0000-0000F4150000}"/>
    <cellStyle name="Normal 2 2 13 4 7" xfId="5359" xr:uid="{00000000-0005-0000-0000-0000F5150000}"/>
    <cellStyle name="Normal 2 2 13 4 7 2" xfId="8709" xr:uid="{00000000-0005-0000-0000-0000F6150000}"/>
    <cellStyle name="Normal 2 2 13 4 8" xfId="10384" xr:uid="{00000000-0005-0000-0000-0000F7150000}"/>
    <cellStyle name="Normal 2 2 13 4 9" xfId="7034" xr:uid="{00000000-0005-0000-0000-0000F8150000}"/>
    <cellStyle name="Normal 2 2 13 5" xfId="3708" xr:uid="{00000000-0005-0000-0000-0000F9150000}"/>
    <cellStyle name="Normal 2 2 13 5 2" xfId="3826" xr:uid="{00000000-0005-0000-0000-0000FA150000}"/>
    <cellStyle name="Normal 2 2 13 5 2 2" xfId="4062" xr:uid="{00000000-0005-0000-0000-0000FB150000}"/>
    <cellStyle name="Normal 2 2 13 5 2 2 2" xfId="5029" xr:uid="{00000000-0005-0000-0000-0000FC150000}"/>
    <cellStyle name="Normal 2 2 13 5 2 2 2 2" xfId="6704" xr:uid="{00000000-0005-0000-0000-0000FD150000}"/>
    <cellStyle name="Normal 2 2 13 5 2 2 2 2 2" xfId="10054" xr:uid="{00000000-0005-0000-0000-0000FE150000}"/>
    <cellStyle name="Normal 2 2 13 5 2 2 2 3" xfId="11729" xr:uid="{00000000-0005-0000-0000-0000FF150000}"/>
    <cellStyle name="Normal 2 2 13 5 2 2 2 4" xfId="8379" xr:uid="{00000000-0005-0000-0000-000000160000}"/>
    <cellStyle name="Normal 2 2 13 5 2 2 3" xfId="5737" xr:uid="{00000000-0005-0000-0000-000001160000}"/>
    <cellStyle name="Normal 2 2 13 5 2 2 3 2" xfId="9087" xr:uid="{00000000-0005-0000-0000-000002160000}"/>
    <cellStyle name="Normal 2 2 13 5 2 2 4" xfId="10762" xr:uid="{00000000-0005-0000-0000-000003160000}"/>
    <cellStyle name="Normal 2 2 13 5 2 2 5" xfId="7412" xr:uid="{00000000-0005-0000-0000-000004160000}"/>
    <cellStyle name="Normal 2 2 13 5 2 3" xfId="4298" xr:uid="{00000000-0005-0000-0000-000005160000}"/>
    <cellStyle name="Normal 2 2 13 5 2 3 2" xfId="5265" xr:uid="{00000000-0005-0000-0000-000006160000}"/>
    <cellStyle name="Normal 2 2 13 5 2 3 2 2" xfId="6940" xr:uid="{00000000-0005-0000-0000-000007160000}"/>
    <cellStyle name="Normal 2 2 13 5 2 3 2 2 2" xfId="10290" xr:uid="{00000000-0005-0000-0000-000008160000}"/>
    <cellStyle name="Normal 2 2 13 5 2 3 2 3" xfId="11965" xr:uid="{00000000-0005-0000-0000-000009160000}"/>
    <cellStyle name="Normal 2 2 13 5 2 3 2 4" xfId="8615" xr:uid="{00000000-0005-0000-0000-00000A160000}"/>
    <cellStyle name="Normal 2 2 13 5 2 3 3" xfId="5973" xr:uid="{00000000-0005-0000-0000-00000B160000}"/>
    <cellStyle name="Normal 2 2 13 5 2 3 3 2" xfId="9323" xr:uid="{00000000-0005-0000-0000-00000C160000}"/>
    <cellStyle name="Normal 2 2 13 5 2 3 4" xfId="10998" xr:uid="{00000000-0005-0000-0000-00000D160000}"/>
    <cellStyle name="Normal 2 2 13 5 2 3 5" xfId="7648" xr:uid="{00000000-0005-0000-0000-00000E160000}"/>
    <cellStyle name="Normal 2 2 13 5 2 4" xfId="4534" xr:uid="{00000000-0005-0000-0000-00000F160000}"/>
    <cellStyle name="Normal 2 2 13 5 2 4 2" xfId="6209" xr:uid="{00000000-0005-0000-0000-000010160000}"/>
    <cellStyle name="Normal 2 2 13 5 2 4 2 2" xfId="9559" xr:uid="{00000000-0005-0000-0000-000011160000}"/>
    <cellStyle name="Normal 2 2 13 5 2 4 3" xfId="11234" xr:uid="{00000000-0005-0000-0000-000012160000}"/>
    <cellStyle name="Normal 2 2 13 5 2 4 4" xfId="7884" xr:uid="{00000000-0005-0000-0000-000013160000}"/>
    <cellStyle name="Normal 2 2 13 5 2 5" xfId="4793" xr:uid="{00000000-0005-0000-0000-000014160000}"/>
    <cellStyle name="Normal 2 2 13 5 2 5 2" xfId="6468" xr:uid="{00000000-0005-0000-0000-000015160000}"/>
    <cellStyle name="Normal 2 2 13 5 2 5 2 2" xfId="9818" xr:uid="{00000000-0005-0000-0000-000016160000}"/>
    <cellStyle name="Normal 2 2 13 5 2 5 3" xfId="11493" xr:uid="{00000000-0005-0000-0000-000017160000}"/>
    <cellStyle name="Normal 2 2 13 5 2 5 4" xfId="8143" xr:uid="{00000000-0005-0000-0000-000018160000}"/>
    <cellStyle name="Normal 2 2 13 5 2 6" xfId="5501" xr:uid="{00000000-0005-0000-0000-000019160000}"/>
    <cellStyle name="Normal 2 2 13 5 2 6 2" xfId="8851" xr:uid="{00000000-0005-0000-0000-00001A160000}"/>
    <cellStyle name="Normal 2 2 13 5 2 7" xfId="10526" xr:uid="{00000000-0005-0000-0000-00001B160000}"/>
    <cellStyle name="Normal 2 2 13 5 2 8" xfId="7176" xr:uid="{00000000-0005-0000-0000-00001C160000}"/>
    <cellStyle name="Normal 2 2 13 5 3" xfId="3944" xr:uid="{00000000-0005-0000-0000-00001D160000}"/>
    <cellStyle name="Normal 2 2 13 5 3 2" xfId="4911" xr:uid="{00000000-0005-0000-0000-00001E160000}"/>
    <cellStyle name="Normal 2 2 13 5 3 2 2" xfId="6586" xr:uid="{00000000-0005-0000-0000-00001F160000}"/>
    <cellStyle name="Normal 2 2 13 5 3 2 2 2" xfId="9936" xr:uid="{00000000-0005-0000-0000-000020160000}"/>
    <cellStyle name="Normal 2 2 13 5 3 2 3" xfId="11611" xr:uid="{00000000-0005-0000-0000-000021160000}"/>
    <cellStyle name="Normal 2 2 13 5 3 2 4" xfId="8261" xr:uid="{00000000-0005-0000-0000-000022160000}"/>
    <cellStyle name="Normal 2 2 13 5 3 3" xfId="5619" xr:uid="{00000000-0005-0000-0000-000023160000}"/>
    <cellStyle name="Normal 2 2 13 5 3 3 2" xfId="8969" xr:uid="{00000000-0005-0000-0000-000024160000}"/>
    <cellStyle name="Normal 2 2 13 5 3 4" xfId="10644" xr:uid="{00000000-0005-0000-0000-000025160000}"/>
    <cellStyle name="Normal 2 2 13 5 3 5" xfId="7294" xr:uid="{00000000-0005-0000-0000-000026160000}"/>
    <cellStyle name="Normal 2 2 13 5 4" xfId="4180" xr:uid="{00000000-0005-0000-0000-000027160000}"/>
    <cellStyle name="Normal 2 2 13 5 4 2" xfId="5147" xr:uid="{00000000-0005-0000-0000-000028160000}"/>
    <cellStyle name="Normal 2 2 13 5 4 2 2" xfId="6822" xr:uid="{00000000-0005-0000-0000-000029160000}"/>
    <cellStyle name="Normal 2 2 13 5 4 2 2 2" xfId="10172" xr:uid="{00000000-0005-0000-0000-00002A160000}"/>
    <cellStyle name="Normal 2 2 13 5 4 2 3" xfId="11847" xr:uid="{00000000-0005-0000-0000-00002B160000}"/>
    <cellStyle name="Normal 2 2 13 5 4 2 4" xfId="8497" xr:uid="{00000000-0005-0000-0000-00002C160000}"/>
    <cellStyle name="Normal 2 2 13 5 4 3" xfId="5855" xr:uid="{00000000-0005-0000-0000-00002D160000}"/>
    <cellStyle name="Normal 2 2 13 5 4 3 2" xfId="9205" xr:uid="{00000000-0005-0000-0000-00002E160000}"/>
    <cellStyle name="Normal 2 2 13 5 4 4" xfId="10880" xr:uid="{00000000-0005-0000-0000-00002F160000}"/>
    <cellStyle name="Normal 2 2 13 5 4 5" xfId="7530" xr:uid="{00000000-0005-0000-0000-000030160000}"/>
    <cellStyle name="Normal 2 2 13 5 5" xfId="4416" xr:uid="{00000000-0005-0000-0000-000031160000}"/>
    <cellStyle name="Normal 2 2 13 5 5 2" xfId="6091" xr:uid="{00000000-0005-0000-0000-000032160000}"/>
    <cellStyle name="Normal 2 2 13 5 5 2 2" xfId="9441" xr:uid="{00000000-0005-0000-0000-000033160000}"/>
    <cellStyle name="Normal 2 2 13 5 5 3" xfId="11116" xr:uid="{00000000-0005-0000-0000-000034160000}"/>
    <cellStyle name="Normal 2 2 13 5 5 4" xfId="7766" xr:uid="{00000000-0005-0000-0000-000035160000}"/>
    <cellStyle name="Normal 2 2 13 5 6" xfId="4675" xr:uid="{00000000-0005-0000-0000-000036160000}"/>
    <cellStyle name="Normal 2 2 13 5 6 2" xfId="6350" xr:uid="{00000000-0005-0000-0000-000037160000}"/>
    <cellStyle name="Normal 2 2 13 5 6 2 2" xfId="9700" xr:uid="{00000000-0005-0000-0000-000038160000}"/>
    <cellStyle name="Normal 2 2 13 5 6 3" xfId="11375" xr:uid="{00000000-0005-0000-0000-000039160000}"/>
    <cellStyle name="Normal 2 2 13 5 6 4" xfId="8025" xr:uid="{00000000-0005-0000-0000-00003A160000}"/>
    <cellStyle name="Normal 2 2 13 5 7" xfId="5383" xr:uid="{00000000-0005-0000-0000-00003B160000}"/>
    <cellStyle name="Normal 2 2 13 5 7 2" xfId="8733" xr:uid="{00000000-0005-0000-0000-00003C160000}"/>
    <cellStyle name="Normal 2 2 13 5 8" xfId="10408" xr:uid="{00000000-0005-0000-0000-00003D160000}"/>
    <cellStyle name="Normal 2 2 13 5 9" xfId="7058" xr:uid="{00000000-0005-0000-0000-00003E160000}"/>
    <cellStyle name="Normal 2 2 13 6" xfId="3732" xr:uid="{00000000-0005-0000-0000-00003F160000}"/>
    <cellStyle name="Normal 2 2 13 6 2" xfId="3968" xr:uid="{00000000-0005-0000-0000-000040160000}"/>
    <cellStyle name="Normal 2 2 13 6 2 2" xfId="4935" xr:uid="{00000000-0005-0000-0000-000041160000}"/>
    <cellStyle name="Normal 2 2 13 6 2 2 2" xfId="6610" xr:uid="{00000000-0005-0000-0000-000042160000}"/>
    <cellStyle name="Normal 2 2 13 6 2 2 2 2" xfId="9960" xr:uid="{00000000-0005-0000-0000-000043160000}"/>
    <cellStyle name="Normal 2 2 13 6 2 2 3" xfId="11635" xr:uid="{00000000-0005-0000-0000-000044160000}"/>
    <cellStyle name="Normal 2 2 13 6 2 2 4" xfId="8285" xr:uid="{00000000-0005-0000-0000-000045160000}"/>
    <cellStyle name="Normal 2 2 13 6 2 3" xfId="5643" xr:uid="{00000000-0005-0000-0000-000046160000}"/>
    <cellStyle name="Normal 2 2 13 6 2 3 2" xfId="8993" xr:uid="{00000000-0005-0000-0000-000047160000}"/>
    <cellStyle name="Normal 2 2 13 6 2 4" xfId="10668" xr:uid="{00000000-0005-0000-0000-000048160000}"/>
    <cellStyle name="Normal 2 2 13 6 2 5" xfId="7318" xr:uid="{00000000-0005-0000-0000-000049160000}"/>
    <cellStyle name="Normal 2 2 13 6 3" xfId="4204" xr:uid="{00000000-0005-0000-0000-00004A160000}"/>
    <cellStyle name="Normal 2 2 13 6 3 2" xfId="5171" xr:uid="{00000000-0005-0000-0000-00004B160000}"/>
    <cellStyle name="Normal 2 2 13 6 3 2 2" xfId="6846" xr:uid="{00000000-0005-0000-0000-00004C160000}"/>
    <cellStyle name="Normal 2 2 13 6 3 2 2 2" xfId="10196" xr:uid="{00000000-0005-0000-0000-00004D160000}"/>
    <cellStyle name="Normal 2 2 13 6 3 2 3" xfId="11871" xr:uid="{00000000-0005-0000-0000-00004E160000}"/>
    <cellStyle name="Normal 2 2 13 6 3 2 4" xfId="8521" xr:uid="{00000000-0005-0000-0000-00004F160000}"/>
    <cellStyle name="Normal 2 2 13 6 3 3" xfId="5879" xr:uid="{00000000-0005-0000-0000-000050160000}"/>
    <cellStyle name="Normal 2 2 13 6 3 3 2" xfId="9229" xr:uid="{00000000-0005-0000-0000-000051160000}"/>
    <cellStyle name="Normal 2 2 13 6 3 4" xfId="10904" xr:uid="{00000000-0005-0000-0000-000052160000}"/>
    <cellStyle name="Normal 2 2 13 6 3 5" xfId="7554" xr:uid="{00000000-0005-0000-0000-000053160000}"/>
    <cellStyle name="Normal 2 2 13 6 4" xfId="4440" xr:uid="{00000000-0005-0000-0000-000054160000}"/>
    <cellStyle name="Normal 2 2 13 6 4 2" xfId="6115" xr:uid="{00000000-0005-0000-0000-000055160000}"/>
    <cellStyle name="Normal 2 2 13 6 4 2 2" xfId="9465" xr:uid="{00000000-0005-0000-0000-000056160000}"/>
    <cellStyle name="Normal 2 2 13 6 4 3" xfId="11140" xr:uid="{00000000-0005-0000-0000-000057160000}"/>
    <cellStyle name="Normal 2 2 13 6 4 4" xfId="7790" xr:uid="{00000000-0005-0000-0000-000058160000}"/>
    <cellStyle name="Normal 2 2 13 6 5" xfId="4699" xr:uid="{00000000-0005-0000-0000-000059160000}"/>
    <cellStyle name="Normal 2 2 13 6 5 2" xfId="6374" xr:uid="{00000000-0005-0000-0000-00005A160000}"/>
    <cellStyle name="Normal 2 2 13 6 5 2 2" xfId="9724" xr:uid="{00000000-0005-0000-0000-00005B160000}"/>
    <cellStyle name="Normal 2 2 13 6 5 3" xfId="11399" xr:uid="{00000000-0005-0000-0000-00005C160000}"/>
    <cellStyle name="Normal 2 2 13 6 5 4" xfId="8049" xr:uid="{00000000-0005-0000-0000-00005D160000}"/>
    <cellStyle name="Normal 2 2 13 6 6" xfId="5407" xr:uid="{00000000-0005-0000-0000-00005E160000}"/>
    <cellStyle name="Normal 2 2 13 6 6 2" xfId="8757" xr:uid="{00000000-0005-0000-0000-00005F160000}"/>
    <cellStyle name="Normal 2 2 13 6 7" xfId="10432" xr:uid="{00000000-0005-0000-0000-000060160000}"/>
    <cellStyle name="Normal 2 2 13 6 8" xfId="7082" xr:uid="{00000000-0005-0000-0000-000061160000}"/>
    <cellStyle name="Normal 2 2 13 7" xfId="3850" xr:uid="{00000000-0005-0000-0000-000062160000}"/>
    <cellStyle name="Normal 2 2 13 7 2" xfId="4817" xr:uid="{00000000-0005-0000-0000-000063160000}"/>
    <cellStyle name="Normal 2 2 13 7 2 2" xfId="6492" xr:uid="{00000000-0005-0000-0000-000064160000}"/>
    <cellStyle name="Normal 2 2 13 7 2 2 2" xfId="9842" xr:uid="{00000000-0005-0000-0000-000065160000}"/>
    <cellStyle name="Normal 2 2 13 7 2 3" xfId="11517" xr:uid="{00000000-0005-0000-0000-000066160000}"/>
    <cellStyle name="Normal 2 2 13 7 2 4" xfId="8167" xr:uid="{00000000-0005-0000-0000-000067160000}"/>
    <cellStyle name="Normal 2 2 13 7 3" xfId="5525" xr:uid="{00000000-0005-0000-0000-000068160000}"/>
    <cellStyle name="Normal 2 2 13 7 3 2" xfId="8875" xr:uid="{00000000-0005-0000-0000-000069160000}"/>
    <cellStyle name="Normal 2 2 13 7 4" xfId="10550" xr:uid="{00000000-0005-0000-0000-00006A160000}"/>
    <cellStyle name="Normal 2 2 13 7 5" xfId="7200" xr:uid="{00000000-0005-0000-0000-00006B160000}"/>
    <cellStyle name="Normal 2 2 13 8" xfId="4086" xr:uid="{00000000-0005-0000-0000-00006C160000}"/>
    <cellStyle name="Normal 2 2 13 8 2" xfId="5053" xr:uid="{00000000-0005-0000-0000-00006D160000}"/>
    <cellStyle name="Normal 2 2 13 8 2 2" xfId="6728" xr:uid="{00000000-0005-0000-0000-00006E160000}"/>
    <cellStyle name="Normal 2 2 13 8 2 2 2" xfId="10078" xr:uid="{00000000-0005-0000-0000-00006F160000}"/>
    <cellStyle name="Normal 2 2 13 8 2 3" xfId="11753" xr:uid="{00000000-0005-0000-0000-000070160000}"/>
    <cellStyle name="Normal 2 2 13 8 2 4" xfId="8403" xr:uid="{00000000-0005-0000-0000-000071160000}"/>
    <cellStyle name="Normal 2 2 13 8 3" xfId="5761" xr:uid="{00000000-0005-0000-0000-000072160000}"/>
    <cellStyle name="Normal 2 2 13 8 3 2" xfId="9111" xr:uid="{00000000-0005-0000-0000-000073160000}"/>
    <cellStyle name="Normal 2 2 13 8 4" xfId="10786" xr:uid="{00000000-0005-0000-0000-000074160000}"/>
    <cellStyle name="Normal 2 2 13 8 5" xfId="7436" xr:uid="{00000000-0005-0000-0000-000075160000}"/>
    <cellStyle name="Normal 2 2 13 9" xfId="4322" xr:uid="{00000000-0005-0000-0000-000076160000}"/>
    <cellStyle name="Normal 2 2 13 9 2" xfId="4581" xr:uid="{00000000-0005-0000-0000-000077160000}"/>
    <cellStyle name="Normal 2 2 13 9 2 2" xfId="6256" xr:uid="{00000000-0005-0000-0000-000078160000}"/>
    <cellStyle name="Normal 2 2 13 9 2 2 2" xfId="9606" xr:uid="{00000000-0005-0000-0000-000079160000}"/>
    <cellStyle name="Normal 2 2 13 9 2 3" xfId="11281" xr:uid="{00000000-0005-0000-0000-00007A160000}"/>
    <cellStyle name="Normal 2 2 13 9 2 4" xfId="7931" xr:uid="{00000000-0005-0000-0000-00007B160000}"/>
    <cellStyle name="Normal 2 2 13 9 3" xfId="5997" xr:uid="{00000000-0005-0000-0000-00007C160000}"/>
    <cellStyle name="Normal 2 2 13 9 3 2" xfId="9347" xr:uid="{00000000-0005-0000-0000-00007D160000}"/>
    <cellStyle name="Normal 2 2 13 9 4" xfId="11022" xr:uid="{00000000-0005-0000-0000-00007E160000}"/>
    <cellStyle name="Normal 2 2 13 9 5" xfId="7672" xr:uid="{00000000-0005-0000-0000-00007F160000}"/>
    <cellStyle name="Normal 2 2 14" xfId="2631" xr:uid="{00000000-0005-0000-0000-0000470A0000}"/>
    <cellStyle name="Normal 2 2 14 2" xfId="2632" xr:uid="{00000000-0005-0000-0000-0000480A0000}"/>
    <cellStyle name="Normal 2 2 2" xfId="2633" xr:uid="{00000000-0005-0000-0000-0000490A0000}"/>
    <cellStyle name="Normal 2 2 2 2" xfId="2634" xr:uid="{00000000-0005-0000-0000-00004A0A0000}"/>
    <cellStyle name="Normal 2 2 2 2 2" xfId="2635" xr:uid="{00000000-0005-0000-0000-00004B0A0000}"/>
    <cellStyle name="Normal 2 2 2 2 2 2" xfId="2636" xr:uid="{00000000-0005-0000-0000-00004C0A0000}"/>
    <cellStyle name="Normal 2 2 2 2 3" xfId="2637" xr:uid="{00000000-0005-0000-0000-00004D0A0000}"/>
    <cellStyle name="Normal 2 2 2 3" xfId="2638" xr:uid="{00000000-0005-0000-0000-00004E0A0000}"/>
    <cellStyle name="Normal 2 2 2 3 2" xfId="2639" xr:uid="{00000000-0005-0000-0000-00004F0A0000}"/>
    <cellStyle name="Normal 2 2 2 3 2 2" xfId="2640" xr:uid="{00000000-0005-0000-0000-0000500A0000}"/>
    <cellStyle name="Normal 2 2 2 3 2 3" xfId="2641" xr:uid="{00000000-0005-0000-0000-0000510A0000}"/>
    <cellStyle name="Normal 2 2 2 3 3" xfId="2642" xr:uid="{00000000-0005-0000-0000-0000520A0000}"/>
    <cellStyle name="Normal 2 2 2 4" xfId="2643" xr:uid="{00000000-0005-0000-0000-0000530A0000}"/>
    <cellStyle name="Normal 2 2 2 4 2" xfId="2644" xr:uid="{00000000-0005-0000-0000-0000540A0000}"/>
    <cellStyle name="Normal 2 2 2 4 2 2" xfId="2645" xr:uid="{00000000-0005-0000-0000-0000550A0000}"/>
    <cellStyle name="Normal 2 2 2 5" xfId="2646" xr:uid="{00000000-0005-0000-0000-0000560A0000}"/>
    <cellStyle name="Normal 2 2 2 6" xfId="2647" xr:uid="{00000000-0005-0000-0000-0000570A0000}"/>
    <cellStyle name="Normal 2 2 3" xfId="2648" xr:uid="{00000000-0005-0000-0000-0000580A0000}"/>
    <cellStyle name="Normal 2 2 3 2" xfId="2649" xr:uid="{00000000-0005-0000-0000-0000590A0000}"/>
    <cellStyle name="Normal 2 2 3 3" xfId="2650" xr:uid="{00000000-0005-0000-0000-00005A0A0000}"/>
    <cellStyle name="Normal 2 2 4" xfId="2651" xr:uid="{00000000-0005-0000-0000-00005B0A0000}"/>
    <cellStyle name="Normal 2 2 4 2" xfId="2652" xr:uid="{00000000-0005-0000-0000-00005C0A0000}"/>
    <cellStyle name="Normal 2 2 5" xfId="2653" xr:uid="{00000000-0005-0000-0000-00005D0A0000}"/>
    <cellStyle name="Normal 2 2 5 2" xfId="2654" xr:uid="{00000000-0005-0000-0000-00005E0A0000}"/>
    <cellStyle name="Normal 2 2 5 3" xfId="2655" xr:uid="{00000000-0005-0000-0000-00005F0A0000}"/>
    <cellStyle name="Normal 2 2 5 3 2" xfId="2656" xr:uid="{00000000-0005-0000-0000-0000600A0000}"/>
    <cellStyle name="Normal 2 2 5 3 2 2" xfId="2657" xr:uid="{00000000-0005-0000-0000-0000610A0000}"/>
    <cellStyle name="Normal 2 2 5 3 3" xfId="2658" xr:uid="{00000000-0005-0000-0000-0000620A0000}"/>
    <cellStyle name="Normal 2 2 5 4" xfId="2659" xr:uid="{00000000-0005-0000-0000-0000630A0000}"/>
    <cellStyle name="Normal 2 2 5 4 2" xfId="2660" xr:uid="{00000000-0005-0000-0000-0000640A0000}"/>
    <cellStyle name="Normal 2 2 6" xfId="2661" xr:uid="{00000000-0005-0000-0000-0000650A0000}"/>
    <cellStyle name="Normal 2 2 6 2" xfId="2662" xr:uid="{00000000-0005-0000-0000-0000660A0000}"/>
    <cellStyle name="Normal 2 2 6 2 2" xfId="12221" xr:uid="{4719CECA-1222-458B-BC15-9E7AA8DFD1B0}"/>
    <cellStyle name="Normal 2 2 6 3" xfId="2663" xr:uid="{00000000-0005-0000-0000-0000670A0000}"/>
    <cellStyle name="Normal 2 2 6 4" xfId="2664" xr:uid="{00000000-0005-0000-0000-0000680A0000}"/>
    <cellStyle name="Normal 2 2 7" xfId="2665" xr:uid="{00000000-0005-0000-0000-0000690A0000}"/>
    <cellStyle name="Normal 2 2 8" xfId="2666" xr:uid="{00000000-0005-0000-0000-00006A0A0000}"/>
    <cellStyle name="Normal 2 2 8 10" xfId="4093" xr:uid="{00000000-0005-0000-0000-000090160000}"/>
    <cellStyle name="Normal 2 2 8 10 2" xfId="5060" xr:uid="{00000000-0005-0000-0000-000091160000}"/>
    <cellStyle name="Normal 2 2 8 10 2 2" xfId="6735" xr:uid="{00000000-0005-0000-0000-000092160000}"/>
    <cellStyle name="Normal 2 2 8 10 2 2 2" xfId="10085" xr:uid="{00000000-0005-0000-0000-000093160000}"/>
    <cellStyle name="Normal 2 2 8 10 2 3" xfId="11760" xr:uid="{00000000-0005-0000-0000-000094160000}"/>
    <cellStyle name="Normal 2 2 8 10 2 4" xfId="8410" xr:uid="{00000000-0005-0000-0000-000095160000}"/>
    <cellStyle name="Normal 2 2 8 10 3" xfId="5768" xr:uid="{00000000-0005-0000-0000-000096160000}"/>
    <cellStyle name="Normal 2 2 8 10 3 2" xfId="9118" xr:uid="{00000000-0005-0000-0000-000097160000}"/>
    <cellStyle name="Normal 2 2 8 10 4" xfId="10793" xr:uid="{00000000-0005-0000-0000-000098160000}"/>
    <cellStyle name="Normal 2 2 8 10 5" xfId="7443" xr:uid="{00000000-0005-0000-0000-000099160000}"/>
    <cellStyle name="Normal 2 2 8 11" xfId="4329" xr:uid="{00000000-0005-0000-0000-00009A160000}"/>
    <cellStyle name="Normal 2 2 8 11 2" xfId="4588" xr:uid="{00000000-0005-0000-0000-00009B160000}"/>
    <cellStyle name="Normal 2 2 8 11 2 2" xfId="6263" xr:uid="{00000000-0005-0000-0000-00009C160000}"/>
    <cellStyle name="Normal 2 2 8 11 2 2 2" xfId="9613" xr:uid="{00000000-0005-0000-0000-00009D160000}"/>
    <cellStyle name="Normal 2 2 8 11 2 3" xfId="11288" xr:uid="{00000000-0005-0000-0000-00009E160000}"/>
    <cellStyle name="Normal 2 2 8 11 2 4" xfId="7938" xr:uid="{00000000-0005-0000-0000-00009F160000}"/>
    <cellStyle name="Normal 2 2 8 11 3" xfId="6004" xr:uid="{00000000-0005-0000-0000-0000A0160000}"/>
    <cellStyle name="Normal 2 2 8 11 3 2" xfId="9354" xr:uid="{00000000-0005-0000-0000-0000A1160000}"/>
    <cellStyle name="Normal 2 2 8 11 4" xfId="11029" xr:uid="{00000000-0005-0000-0000-0000A2160000}"/>
    <cellStyle name="Normal 2 2 8 11 5" xfId="7679" xr:uid="{00000000-0005-0000-0000-0000A3160000}"/>
    <cellStyle name="Normal 2 2 8 12" xfId="4565" xr:uid="{00000000-0005-0000-0000-0000A4160000}"/>
    <cellStyle name="Normal 2 2 8 12 2" xfId="6240" xr:uid="{00000000-0005-0000-0000-0000A5160000}"/>
    <cellStyle name="Normal 2 2 8 12 2 2" xfId="9590" xr:uid="{00000000-0005-0000-0000-0000A6160000}"/>
    <cellStyle name="Normal 2 2 8 12 3" xfId="11265" xr:uid="{00000000-0005-0000-0000-0000A7160000}"/>
    <cellStyle name="Normal 2 2 8 12 4" xfId="7915" xr:uid="{00000000-0005-0000-0000-0000A8160000}"/>
    <cellStyle name="Normal 2 2 8 13" xfId="5296" xr:uid="{00000000-0005-0000-0000-0000A9160000}"/>
    <cellStyle name="Normal 2 2 8 13 2" xfId="8646" xr:uid="{00000000-0005-0000-0000-0000AA160000}"/>
    <cellStyle name="Normal 2 2 8 14" xfId="10321" xr:uid="{00000000-0005-0000-0000-0000AB160000}"/>
    <cellStyle name="Normal 2 2 8 15" xfId="6971" xr:uid="{00000000-0005-0000-0000-0000AC160000}"/>
    <cellStyle name="Normal 2 2 8 16" xfId="3411" xr:uid="{00000000-0005-0000-0000-00008F160000}"/>
    <cellStyle name="Normal 2 2 8 2" xfId="2667" xr:uid="{00000000-0005-0000-0000-00006B0A0000}"/>
    <cellStyle name="Normal 2 2 8 2 2" xfId="2668" xr:uid="{00000000-0005-0000-0000-00006C0A0000}"/>
    <cellStyle name="Normal 2 2 8 2 2 10" xfId="4566" xr:uid="{00000000-0005-0000-0000-0000AF160000}"/>
    <cellStyle name="Normal 2 2 8 2 2 10 2" xfId="6241" xr:uid="{00000000-0005-0000-0000-0000B0160000}"/>
    <cellStyle name="Normal 2 2 8 2 2 10 2 2" xfId="9591" xr:uid="{00000000-0005-0000-0000-0000B1160000}"/>
    <cellStyle name="Normal 2 2 8 2 2 10 3" xfId="11266" xr:uid="{00000000-0005-0000-0000-0000B2160000}"/>
    <cellStyle name="Normal 2 2 8 2 2 10 4" xfId="7916" xr:uid="{00000000-0005-0000-0000-0000B3160000}"/>
    <cellStyle name="Normal 2 2 8 2 2 11" xfId="5297" xr:uid="{00000000-0005-0000-0000-0000B4160000}"/>
    <cellStyle name="Normal 2 2 8 2 2 11 2" xfId="8647" xr:uid="{00000000-0005-0000-0000-0000B5160000}"/>
    <cellStyle name="Normal 2 2 8 2 2 12" xfId="10322" xr:uid="{00000000-0005-0000-0000-0000B6160000}"/>
    <cellStyle name="Normal 2 2 8 2 2 13" xfId="6972" xr:uid="{00000000-0005-0000-0000-0000B7160000}"/>
    <cellStyle name="Normal 2 2 8 2 2 14" xfId="3412" xr:uid="{00000000-0005-0000-0000-0000AE160000}"/>
    <cellStyle name="Normal 2 2 8 2 2 2" xfId="3645" xr:uid="{00000000-0005-0000-0000-0000B8160000}"/>
    <cellStyle name="Normal 2 2 8 2 2 2 2" xfId="3763" xr:uid="{00000000-0005-0000-0000-0000B9160000}"/>
    <cellStyle name="Normal 2 2 8 2 2 2 2 2" xfId="3999" xr:uid="{00000000-0005-0000-0000-0000BA160000}"/>
    <cellStyle name="Normal 2 2 8 2 2 2 2 2 2" xfId="4966" xr:uid="{00000000-0005-0000-0000-0000BB160000}"/>
    <cellStyle name="Normal 2 2 8 2 2 2 2 2 2 2" xfId="6641" xr:uid="{00000000-0005-0000-0000-0000BC160000}"/>
    <cellStyle name="Normal 2 2 8 2 2 2 2 2 2 2 2" xfId="9991" xr:uid="{00000000-0005-0000-0000-0000BD160000}"/>
    <cellStyle name="Normal 2 2 8 2 2 2 2 2 2 3" xfId="11666" xr:uid="{00000000-0005-0000-0000-0000BE160000}"/>
    <cellStyle name="Normal 2 2 8 2 2 2 2 2 2 4" xfId="8316" xr:uid="{00000000-0005-0000-0000-0000BF160000}"/>
    <cellStyle name="Normal 2 2 8 2 2 2 2 2 3" xfId="5674" xr:uid="{00000000-0005-0000-0000-0000C0160000}"/>
    <cellStyle name="Normal 2 2 8 2 2 2 2 2 3 2" xfId="9024" xr:uid="{00000000-0005-0000-0000-0000C1160000}"/>
    <cellStyle name="Normal 2 2 8 2 2 2 2 2 4" xfId="10699" xr:uid="{00000000-0005-0000-0000-0000C2160000}"/>
    <cellStyle name="Normal 2 2 8 2 2 2 2 2 5" xfId="7349" xr:uid="{00000000-0005-0000-0000-0000C3160000}"/>
    <cellStyle name="Normal 2 2 8 2 2 2 2 3" xfId="4235" xr:uid="{00000000-0005-0000-0000-0000C4160000}"/>
    <cellStyle name="Normal 2 2 8 2 2 2 2 3 2" xfId="5202" xr:uid="{00000000-0005-0000-0000-0000C5160000}"/>
    <cellStyle name="Normal 2 2 8 2 2 2 2 3 2 2" xfId="6877" xr:uid="{00000000-0005-0000-0000-0000C6160000}"/>
    <cellStyle name="Normal 2 2 8 2 2 2 2 3 2 2 2" xfId="10227" xr:uid="{00000000-0005-0000-0000-0000C7160000}"/>
    <cellStyle name="Normal 2 2 8 2 2 2 2 3 2 3" xfId="11902" xr:uid="{00000000-0005-0000-0000-0000C8160000}"/>
    <cellStyle name="Normal 2 2 8 2 2 2 2 3 2 4" xfId="8552" xr:uid="{00000000-0005-0000-0000-0000C9160000}"/>
    <cellStyle name="Normal 2 2 8 2 2 2 2 3 3" xfId="5910" xr:uid="{00000000-0005-0000-0000-0000CA160000}"/>
    <cellStyle name="Normal 2 2 8 2 2 2 2 3 3 2" xfId="9260" xr:uid="{00000000-0005-0000-0000-0000CB160000}"/>
    <cellStyle name="Normal 2 2 8 2 2 2 2 3 4" xfId="10935" xr:uid="{00000000-0005-0000-0000-0000CC160000}"/>
    <cellStyle name="Normal 2 2 8 2 2 2 2 3 5" xfId="7585" xr:uid="{00000000-0005-0000-0000-0000CD160000}"/>
    <cellStyle name="Normal 2 2 8 2 2 2 2 4" xfId="4471" xr:uid="{00000000-0005-0000-0000-0000CE160000}"/>
    <cellStyle name="Normal 2 2 8 2 2 2 2 4 2" xfId="6146" xr:uid="{00000000-0005-0000-0000-0000CF160000}"/>
    <cellStyle name="Normal 2 2 8 2 2 2 2 4 2 2" xfId="9496" xr:uid="{00000000-0005-0000-0000-0000D0160000}"/>
    <cellStyle name="Normal 2 2 8 2 2 2 2 4 3" xfId="11171" xr:uid="{00000000-0005-0000-0000-0000D1160000}"/>
    <cellStyle name="Normal 2 2 8 2 2 2 2 4 4" xfId="7821" xr:uid="{00000000-0005-0000-0000-0000D2160000}"/>
    <cellStyle name="Normal 2 2 8 2 2 2 2 5" xfId="4730" xr:uid="{00000000-0005-0000-0000-0000D3160000}"/>
    <cellStyle name="Normal 2 2 8 2 2 2 2 5 2" xfId="6405" xr:uid="{00000000-0005-0000-0000-0000D4160000}"/>
    <cellStyle name="Normal 2 2 8 2 2 2 2 5 2 2" xfId="9755" xr:uid="{00000000-0005-0000-0000-0000D5160000}"/>
    <cellStyle name="Normal 2 2 8 2 2 2 2 5 3" xfId="11430" xr:uid="{00000000-0005-0000-0000-0000D6160000}"/>
    <cellStyle name="Normal 2 2 8 2 2 2 2 5 4" xfId="8080" xr:uid="{00000000-0005-0000-0000-0000D7160000}"/>
    <cellStyle name="Normal 2 2 8 2 2 2 2 6" xfId="5438" xr:uid="{00000000-0005-0000-0000-0000D8160000}"/>
    <cellStyle name="Normal 2 2 8 2 2 2 2 6 2" xfId="8788" xr:uid="{00000000-0005-0000-0000-0000D9160000}"/>
    <cellStyle name="Normal 2 2 8 2 2 2 2 7" xfId="10463" xr:uid="{00000000-0005-0000-0000-0000DA160000}"/>
    <cellStyle name="Normal 2 2 8 2 2 2 2 8" xfId="7113" xr:uid="{00000000-0005-0000-0000-0000DB160000}"/>
    <cellStyle name="Normal 2 2 8 2 2 2 3" xfId="3881" xr:uid="{00000000-0005-0000-0000-0000DC160000}"/>
    <cellStyle name="Normal 2 2 8 2 2 2 3 2" xfId="4848" xr:uid="{00000000-0005-0000-0000-0000DD160000}"/>
    <cellStyle name="Normal 2 2 8 2 2 2 3 2 2" xfId="6523" xr:uid="{00000000-0005-0000-0000-0000DE160000}"/>
    <cellStyle name="Normal 2 2 8 2 2 2 3 2 2 2" xfId="9873" xr:uid="{00000000-0005-0000-0000-0000DF160000}"/>
    <cellStyle name="Normal 2 2 8 2 2 2 3 2 3" xfId="11548" xr:uid="{00000000-0005-0000-0000-0000E0160000}"/>
    <cellStyle name="Normal 2 2 8 2 2 2 3 2 4" xfId="8198" xr:uid="{00000000-0005-0000-0000-0000E1160000}"/>
    <cellStyle name="Normal 2 2 8 2 2 2 3 3" xfId="5556" xr:uid="{00000000-0005-0000-0000-0000E2160000}"/>
    <cellStyle name="Normal 2 2 8 2 2 2 3 3 2" xfId="8906" xr:uid="{00000000-0005-0000-0000-0000E3160000}"/>
    <cellStyle name="Normal 2 2 8 2 2 2 3 4" xfId="10581" xr:uid="{00000000-0005-0000-0000-0000E4160000}"/>
    <cellStyle name="Normal 2 2 8 2 2 2 3 5" xfId="7231" xr:uid="{00000000-0005-0000-0000-0000E5160000}"/>
    <cellStyle name="Normal 2 2 8 2 2 2 4" xfId="4117" xr:uid="{00000000-0005-0000-0000-0000E6160000}"/>
    <cellStyle name="Normal 2 2 8 2 2 2 4 2" xfId="5084" xr:uid="{00000000-0005-0000-0000-0000E7160000}"/>
    <cellStyle name="Normal 2 2 8 2 2 2 4 2 2" xfId="6759" xr:uid="{00000000-0005-0000-0000-0000E8160000}"/>
    <cellStyle name="Normal 2 2 8 2 2 2 4 2 2 2" xfId="10109" xr:uid="{00000000-0005-0000-0000-0000E9160000}"/>
    <cellStyle name="Normal 2 2 8 2 2 2 4 2 3" xfId="11784" xr:uid="{00000000-0005-0000-0000-0000EA160000}"/>
    <cellStyle name="Normal 2 2 8 2 2 2 4 2 4" xfId="8434" xr:uid="{00000000-0005-0000-0000-0000EB160000}"/>
    <cellStyle name="Normal 2 2 8 2 2 2 4 3" xfId="5792" xr:uid="{00000000-0005-0000-0000-0000EC160000}"/>
    <cellStyle name="Normal 2 2 8 2 2 2 4 3 2" xfId="9142" xr:uid="{00000000-0005-0000-0000-0000ED160000}"/>
    <cellStyle name="Normal 2 2 8 2 2 2 4 4" xfId="10817" xr:uid="{00000000-0005-0000-0000-0000EE160000}"/>
    <cellStyle name="Normal 2 2 8 2 2 2 4 5" xfId="7467" xr:uid="{00000000-0005-0000-0000-0000EF160000}"/>
    <cellStyle name="Normal 2 2 8 2 2 2 5" xfId="4353" xr:uid="{00000000-0005-0000-0000-0000F0160000}"/>
    <cellStyle name="Normal 2 2 8 2 2 2 5 2" xfId="6028" xr:uid="{00000000-0005-0000-0000-0000F1160000}"/>
    <cellStyle name="Normal 2 2 8 2 2 2 5 2 2" xfId="9378" xr:uid="{00000000-0005-0000-0000-0000F2160000}"/>
    <cellStyle name="Normal 2 2 8 2 2 2 5 3" xfId="11053" xr:uid="{00000000-0005-0000-0000-0000F3160000}"/>
    <cellStyle name="Normal 2 2 8 2 2 2 5 4" xfId="7703" xr:uid="{00000000-0005-0000-0000-0000F4160000}"/>
    <cellStyle name="Normal 2 2 8 2 2 2 6" xfId="4612" xr:uid="{00000000-0005-0000-0000-0000F5160000}"/>
    <cellStyle name="Normal 2 2 8 2 2 2 6 2" xfId="6287" xr:uid="{00000000-0005-0000-0000-0000F6160000}"/>
    <cellStyle name="Normal 2 2 8 2 2 2 6 2 2" xfId="9637" xr:uid="{00000000-0005-0000-0000-0000F7160000}"/>
    <cellStyle name="Normal 2 2 8 2 2 2 6 3" xfId="11312" xr:uid="{00000000-0005-0000-0000-0000F8160000}"/>
    <cellStyle name="Normal 2 2 8 2 2 2 6 4" xfId="7962" xr:uid="{00000000-0005-0000-0000-0000F9160000}"/>
    <cellStyle name="Normal 2 2 8 2 2 2 7" xfId="5320" xr:uid="{00000000-0005-0000-0000-0000FA160000}"/>
    <cellStyle name="Normal 2 2 8 2 2 2 7 2" xfId="8670" xr:uid="{00000000-0005-0000-0000-0000FB160000}"/>
    <cellStyle name="Normal 2 2 8 2 2 2 8" xfId="10345" xr:uid="{00000000-0005-0000-0000-0000FC160000}"/>
    <cellStyle name="Normal 2 2 8 2 2 2 9" xfId="6995" xr:uid="{00000000-0005-0000-0000-0000FD160000}"/>
    <cellStyle name="Normal 2 2 8 2 2 3" xfId="3668" xr:uid="{00000000-0005-0000-0000-0000FE160000}"/>
    <cellStyle name="Normal 2 2 8 2 2 3 2" xfId="3786" xr:uid="{00000000-0005-0000-0000-0000FF160000}"/>
    <cellStyle name="Normal 2 2 8 2 2 3 2 2" xfId="4022" xr:uid="{00000000-0005-0000-0000-000000170000}"/>
    <cellStyle name="Normal 2 2 8 2 2 3 2 2 2" xfId="4989" xr:uid="{00000000-0005-0000-0000-000001170000}"/>
    <cellStyle name="Normal 2 2 8 2 2 3 2 2 2 2" xfId="6664" xr:uid="{00000000-0005-0000-0000-000002170000}"/>
    <cellStyle name="Normal 2 2 8 2 2 3 2 2 2 2 2" xfId="10014" xr:uid="{00000000-0005-0000-0000-000003170000}"/>
    <cellStyle name="Normal 2 2 8 2 2 3 2 2 2 3" xfId="11689" xr:uid="{00000000-0005-0000-0000-000004170000}"/>
    <cellStyle name="Normal 2 2 8 2 2 3 2 2 2 4" xfId="8339" xr:uid="{00000000-0005-0000-0000-000005170000}"/>
    <cellStyle name="Normal 2 2 8 2 2 3 2 2 3" xfId="5697" xr:uid="{00000000-0005-0000-0000-000006170000}"/>
    <cellStyle name="Normal 2 2 8 2 2 3 2 2 3 2" xfId="9047" xr:uid="{00000000-0005-0000-0000-000007170000}"/>
    <cellStyle name="Normal 2 2 8 2 2 3 2 2 4" xfId="10722" xr:uid="{00000000-0005-0000-0000-000008170000}"/>
    <cellStyle name="Normal 2 2 8 2 2 3 2 2 5" xfId="7372" xr:uid="{00000000-0005-0000-0000-000009170000}"/>
    <cellStyle name="Normal 2 2 8 2 2 3 2 3" xfId="4258" xr:uid="{00000000-0005-0000-0000-00000A170000}"/>
    <cellStyle name="Normal 2 2 8 2 2 3 2 3 2" xfId="5225" xr:uid="{00000000-0005-0000-0000-00000B170000}"/>
    <cellStyle name="Normal 2 2 8 2 2 3 2 3 2 2" xfId="6900" xr:uid="{00000000-0005-0000-0000-00000C170000}"/>
    <cellStyle name="Normal 2 2 8 2 2 3 2 3 2 2 2" xfId="10250" xr:uid="{00000000-0005-0000-0000-00000D170000}"/>
    <cellStyle name="Normal 2 2 8 2 2 3 2 3 2 3" xfId="11925" xr:uid="{00000000-0005-0000-0000-00000E170000}"/>
    <cellStyle name="Normal 2 2 8 2 2 3 2 3 2 4" xfId="8575" xr:uid="{00000000-0005-0000-0000-00000F170000}"/>
    <cellStyle name="Normal 2 2 8 2 2 3 2 3 3" xfId="5933" xr:uid="{00000000-0005-0000-0000-000010170000}"/>
    <cellStyle name="Normal 2 2 8 2 2 3 2 3 3 2" xfId="9283" xr:uid="{00000000-0005-0000-0000-000011170000}"/>
    <cellStyle name="Normal 2 2 8 2 2 3 2 3 4" xfId="10958" xr:uid="{00000000-0005-0000-0000-000012170000}"/>
    <cellStyle name="Normal 2 2 8 2 2 3 2 3 5" xfId="7608" xr:uid="{00000000-0005-0000-0000-000013170000}"/>
    <cellStyle name="Normal 2 2 8 2 2 3 2 4" xfId="4494" xr:uid="{00000000-0005-0000-0000-000014170000}"/>
    <cellStyle name="Normal 2 2 8 2 2 3 2 4 2" xfId="6169" xr:uid="{00000000-0005-0000-0000-000015170000}"/>
    <cellStyle name="Normal 2 2 8 2 2 3 2 4 2 2" xfId="9519" xr:uid="{00000000-0005-0000-0000-000016170000}"/>
    <cellStyle name="Normal 2 2 8 2 2 3 2 4 3" xfId="11194" xr:uid="{00000000-0005-0000-0000-000017170000}"/>
    <cellStyle name="Normal 2 2 8 2 2 3 2 4 4" xfId="7844" xr:uid="{00000000-0005-0000-0000-000018170000}"/>
    <cellStyle name="Normal 2 2 8 2 2 3 2 5" xfId="4753" xr:uid="{00000000-0005-0000-0000-000019170000}"/>
    <cellStyle name="Normal 2 2 8 2 2 3 2 5 2" xfId="6428" xr:uid="{00000000-0005-0000-0000-00001A170000}"/>
    <cellStyle name="Normal 2 2 8 2 2 3 2 5 2 2" xfId="9778" xr:uid="{00000000-0005-0000-0000-00001B170000}"/>
    <cellStyle name="Normal 2 2 8 2 2 3 2 5 3" xfId="11453" xr:uid="{00000000-0005-0000-0000-00001C170000}"/>
    <cellStyle name="Normal 2 2 8 2 2 3 2 5 4" xfId="8103" xr:uid="{00000000-0005-0000-0000-00001D170000}"/>
    <cellStyle name="Normal 2 2 8 2 2 3 2 6" xfId="5461" xr:uid="{00000000-0005-0000-0000-00001E170000}"/>
    <cellStyle name="Normal 2 2 8 2 2 3 2 6 2" xfId="8811" xr:uid="{00000000-0005-0000-0000-00001F170000}"/>
    <cellStyle name="Normal 2 2 8 2 2 3 2 7" xfId="10486" xr:uid="{00000000-0005-0000-0000-000020170000}"/>
    <cellStyle name="Normal 2 2 8 2 2 3 2 8" xfId="7136" xr:uid="{00000000-0005-0000-0000-000021170000}"/>
    <cellStyle name="Normal 2 2 8 2 2 3 3" xfId="3904" xr:uid="{00000000-0005-0000-0000-000022170000}"/>
    <cellStyle name="Normal 2 2 8 2 2 3 3 2" xfId="4871" xr:uid="{00000000-0005-0000-0000-000023170000}"/>
    <cellStyle name="Normal 2 2 8 2 2 3 3 2 2" xfId="6546" xr:uid="{00000000-0005-0000-0000-000024170000}"/>
    <cellStyle name="Normal 2 2 8 2 2 3 3 2 2 2" xfId="9896" xr:uid="{00000000-0005-0000-0000-000025170000}"/>
    <cellStyle name="Normal 2 2 8 2 2 3 3 2 3" xfId="11571" xr:uid="{00000000-0005-0000-0000-000026170000}"/>
    <cellStyle name="Normal 2 2 8 2 2 3 3 2 4" xfId="8221" xr:uid="{00000000-0005-0000-0000-000027170000}"/>
    <cellStyle name="Normal 2 2 8 2 2 3 3 3" xfId="5579" xr:uid="{00000000-0005-0000-0000-000028170000}"/>
    <cellStyle name="Normal 2 2 8 2 2 3 3 3 2" xfId="8929" xr:uid="{00000000-0005-0000-0000-000029170000}"/>
    <cellStyle name="Normal 2 2 8 2 2 3 3 4" xfId="10604" xr:uid="{00000000-0005-0000-0000-00002A170000}"/>
    <cellStyle name="Normal 2 2 8 2 2 3 3 5" xfId="7254" xr:uid="{00000000-0005-0000-0000-00002B170000}"/>
    <cellStyle name="Normal 2 2 8 2 2 3 4" xfId="4140" xr:uid="{00000000-0005-0000-0000-00002C170000}"/>
    <cellStyle name="Normal 2 2 8 2 2 3 4 2" xfId="5107" xr:uid="{00000000-0005-0000-0000-00002D170000}"/>
    <cellStyle name="Normal 2 2 8 2 2 3 4 2 2" xfId="6782" xr:uid="{00000000-0005-0000-0000-00002E170000}"/>
    <cellStyle name="Normal 2 2 8 2 2 3 4 2 2 2" xfId="10132" xr:uid="{00000000-0005-0000-0000-00002F170000}"/>
    <cellStyle name="Normal 2 2 8 2 2 3 4 2 3" xfId="11807" xr:uid="{00000000-0005-0000-0000-000030170000}"/>
    <cellStyle name="Normal 2 2 8 2 2 3 4 2 4" xfId="8457" xr:uid="{00000000-0005-0000-0000-000031170000}"/>
    <cellStyle name="Normal 2 2 8 2 2 3 4 3" xfId="5815" xr:uid="{00000000-0005-0000-0000-000032170000}"/>
    <cellStyle name="Normal 2 2 8 2 2 3 4 3 2" xfId="9165" xr:uid="{00000000-0005-0000-0000-000033170000}"/>
    <cellStyle name="Normal 2 2 8 2 2 3 4 4" xfId="10840" xr:uid="{00000000-0005-0000-0000-000034170000}"/>
    <cellStyle name="Normal 2 2 8 2 2 3 4 5" xfId="7490" xr:uid="{00000000-0005-0000-0000-000035170000}"/>
    <cellStyle name="Normal 2 2 8 2 2 3 5" xfId="4376" xr:uid="{00000000-0005-0000-0000-000036170000}"/>
    <cellStyle name="Normal 2 2 8 2 2 3 5 2" xfId="6051" xr:uid="{00000000-0005-0000-0000-000037170000}"/>
    <cellStyle name="Normal 2 2 8 2 2 3 5 2 2" xfId="9401" xr:uid="{00000000-0005-0000-0000-000038170000}"/>
    <cellStyle name="Normal 2 2 8 2 2 3 5 3" xfId="11076" xr:uid="{00000000-0005-0000-0000-000039170000}"/>
    <cellStyle name="Normal 2 2 8 2 2 3 5 4" xfId="7726" xr:uid="{00000000-0005-0000-0000-00003A170000}"/>
    <cellStyle name="Normal 2 2 8 2 2 3 6" xfId="4635" xr:uid="{00000000-0005-0000-0000-00003B170000}"/>
    <cellStyle name="Normal 2 2 8 2 2 3 6 2" xfId="6310" xr:uid="{00000000-0005-0000-0000-00003C170000}"/>
    <cellStyle name="Normal 2 2 8 2 2 3 6 2 2" xfId="9660" xr:uid="{00000000-0005-0000-0000-00003D170000}"/>
    <cellStyle name="Normal 2 2 8 2 2 3 6 3" xfId="11335" xr:uid="{00000000-0005-0000-0000-00003E170000}"/>
    <cellStyle name="Normal 2 2 8 2 2 3 6 4" xfId="7985" xr:uid="{00000000-0005-0000-0000-00003F170000}"/>
    <cellStyle name="Normal 2 2 8 2 2 3 7" xfId="5343" xr:uid="{00000000-0005-0000-0000-000040170000}"/>
    <cellStyle name="Normal 2 2 8 2 2 3 7 2" xfId="8693" xr:uid="{00000000-0005-0000-0000-000041170000}"/>
    <cellStyle name="Normal 2 2 8 2 2 3 8" xfId="10368" xr:uid="{00000000-0005-0000-0000-000042170000}"/>
    <cellStyle name="Normal 2 2 8 2 2 3 9" xfId="7018" xr:uid="{00000000-0005-0000-0000-000043170000}"/>
    <cellStyle name="Normal 2 2 8 2 2 4" xfId="3692" xr:uid="{00000000-0005-0000-0000-000044170000}"/>
    <cellStyle name="Normal 2 2 8 2 2 4 2" xfId="3810" xr:uid="{00000000-0005-0000-0000-000045170000}"/>
    <cellStyle name="Normal 2 2 8 2 2 4 2 2" xfId="4046" xr:uid="{00000000-0005-0000-0000-000046170000}"/>
    <cellStyle name="Normal 2 2 8 2 2 4 2 2 2" xfId="5013" xr:uid="{00000000-0005-0000-0000-000047170000}"/>
    <cellStyle name="Normal 2 2 8 2 2 4 2 2 2 2" xfId="6688" xr:uid="{00000000-0005-0000-0000-000048170000}"/>
    <cellStyle name="Normal 2 2 8 2 2 4 2 2 2 2 2" xfId="10038" xr:uid="{00000000-0005-0000-0000-000049170000}"/>
    <cellStyle name="Normal 2 2 8 2 2 4 2 2 2 3" xfId="11713" xr:uid="{00000000-0005-0000-0000-00004A170000}"/>
    <cellStyle name="Normal 2 2 8 2 2 4 2 2 2 4" xfId="8363" xr:uid="{00000000-0005-0000-0000-00004B170000}"/>
    <cellStyle name="Normal 2 2 8 2 2 4 2 2 3" xfId="5721" xr:uid="{00000000-0005-0000-0000-00004C170000}"/>
    <cellStyle name="Normal 2 2 8 2 2 4 2 2 3 2" xfId="9071" xr:uid="{00000000-0005-0000-0000-00004D170000}"/>
    <cellStyle name="Normal 2 2 8 2 2 4 2 2 4" xfId="10746" xr:uid="{00000000-0005-0000-0000-00004E170000}"/>
    <cellStyle name="Normal 2 2 8 2 2 4 2 2 5" xfId="7396" xr:uid="{00000000-0005-0000-0000-00004F170000}"/>
    <cellStyle name="Normal 2 2 8 2 2 4 2 3" xfId="4282" xr:uid="{00000000-0005-0000-0000-000050170000}"/>
    <cellStyle name="Normal 2 2 8 2 2 4 2 3 2" xfId="5249" xr:uid="{00000000-0005-0000-0000-000051170000}"/>
    <cellStyle name="Normal 2 2 8 2 2 4 2 3 2 2" xfId="6924" xr:uid="{00000000-0005-0000-0000-000052170000}"/>
    <cellStyle name="Normal 2 2 8 2 2 4 2 3 2 2 2" xfId="10274" xr:uid="{00000000-0005-0000-0000-000053170000}"/>
    <cellStyle name="Normal 2 2 8 2 2 4 2 3 2 3" xfId="11949" xr:uid="{00000000-0005-0000-0000-000054170000}"/>
    <cellStyle name="Normal 2 2 8 2 2 4 2 3 2 4" xfId="8599" xr:uid="{00000000-0005-0000-0000-000055170000}"/>
    <cellStyle name="Normal 2 2 8 2 2 4 2 3 3" xfId="5957" xr:uid="{00000000-0005-0000-0000-000056170000}"/>
    <cellStyle name="Normal 2 2 8 2 2 4 2 3 3 2" xfId="9307" xr:uid="{00000000-0005-0000-0000-000057170000}"/>
    <cellStyle name="Normal 2 2 8 2 2 4 2 3 4" xfId="10982" xr:uid="{00000000-0005-0000-0000-000058170000}"/>
    <cellStyle name="Normal 2 2 8 2 2 4 2 3 5" xfId="7632" xr:uid="{00000000-0005-0000-0000-000059170000}"/>
    <cellStyle name="Normal 2 2 8 2 2 4 2 4" xfId="4518" xr:uid="{00000000-0005-0000-0000-00005A170000}"/>
    <cellStyle name="Normal 2 2 8 2 2 4 2 4 2" xfId="6193" xr:uid="{00000000-0005-0000-0000-00005B170000}"/>
    <cellStyle name="Normal 2 2 8 2 2 4 2 4 2 2" xfId="9543" xr:uid="{00000000-0005-0000-0000-00005C170000}"/>
    <cellStyle name="Normal 2 2 8 2 2 4 2 4 3" xfId="11218" xr:uid="{00000000-0005-0000-0000-00005D170000}"/>
    <cellStyle name="Normal 2 2 8 2 2 4 2 4 4" xfId="7868" xr:uid="{00000000-0005-0000-0000-00005E170000}"/>
    <cellStyle name="Normal 2 2 8 2 2 4 2 5" xfId="4777" xr:uid="{00000000-0005-0000-0000-00005F170000}"/>
    <cellStyle name="Normal 2 2 8 2 2 4 2 5 2" xfId="6452" xr:uid="{00000000-0005-0000-0000-000060170000}"/>
    <cellStyle name="Normal 2 2 8 2 2 4 2 5 2 2" xfId="9802" xr:uid="{00000000-0005-0000-0000-000061170000}"/>
    <cellStyle name="Normal 2 2 8 2 2 4 2 5 3" xfId="11477" xr:uid="{00000000-0005-0000-0000-000062170000}"/>
    <cellStyle name="Normal 2 2 8 2 2 4 2 5 4" xfId="8127" xr:uid="{00000000-0005-0000-0000-000063170000}"/>
    <cellStyle name="Normal 2 2 8 2 2 4 2 6" xfId="5485" xr:uid="{00000000-0005-0000-0000-000064170000}"/>
    <cellStyle name="Normal 2 2 8 2 2 4 2 6 2" xfId="8835" xr:uid="{00000000-0005-0000-0000-000065170000}"/>
    <cellStyle name="Normal 2 2 8 2 2 4 2 7" xfId="10510" xr:uid="{00000000-0005-0000-0000-000066170000}"/>
    <cellStyle name="Normal 2 2 8 2 2 4 2 8" xfId="7160" xr:uid="{00000000-0005-0000-0000-000067170000}"/>
    <cellStyle name="Normal 2 2 8 2 2 4 3" xfId="3928" xr:uid="{00000000-0005-0000-0000-000068170000}"/>
    <cellStyle name="Normal 2 2 8 2 2 4 3 2" xfId="4895" xr:uid="{00000000-0005-0000-0000-000069170000}"/>
    <cellStyle name="Normal 2 2 8 2 2 4 3 2 2" xfId="6570" xr:uid="{00000000-0005-0000-0000-00006A170000}"/>
    <cellStyle name="Normal 2 2 8 2 2 4 3 2 2 2" xfId="9920" xr:uid="{00000000-0005-0000-0000-00006B170000}"/>
    <cellStyle name="Normal 2 2 8 2 2 4 3 2 3" xfId="11595" xr:uid="{00000000-0005-0000-0000-00006C170000}"/>
    <cellStyle name="Normal 2 2 8 2 2 4 3 2 4" xfId="8245" xr:uid="{00000000-0005-0000-0000-00006D170000}"/>
    <cellStyle name="Normal 2 2 8 2 2 4 3 3" xfId="5603" xr:uid="{00000000-0005-0000-0000-00006E170000}"/>
    <cellStyle name="Normal 2 2 8 2 2 4 3 3 2" xfId="8953" xr:uid="{00000000-0005-0000-0000-00006F170000}"/>
    <cellStyle name="Normal 2 2 8 2 2 4 3 4" xfId="10628" xr:uid="{00000000-0005-0000-0000-000070170000}"/>
    <cellStyle name="Normal 2 2 8 2 2 4 3 5" xfId="7278" xr:uid="{00000000-0005-0000-0000-000071170000}"/>
    <cellStyle name="Normal 2 2 8 2 2 4 4" xfId="4164" xr:uid="{00000000-0005-0000-0000-000072170000}"/>
    <cellStyle name="Normal 2 2 8 2 2 4 4 2" xfId="5131" xr:uid="{00000000-0005-0000-0000-000073170000}"/>
    <cellStyle name="Normal 2 2 8 2 2 4 4 2 2" xfId="6806" xr:uid="{00000000-0005-0000-0000-000074170000}"/>
    <cellStyle name="Normal 2 2 8 2 2 4 4 2 2 2" xfId="10156" xr:uid="{00000000-0005-0000-0000-000075170000}"/>
    <cellStyle name="Normal 2 2 8 2 2 4 4 2 3" xfId="11831" xr:uid="{00000000-0005-0000-0000-000076170000}"/>
    <cellStyle name="Normal 2 2 8 2 2 4 4 2 4" xfId="8481" xr:uid="{00000000-0005-0000-0000-000077170000}"/>
    <cellStyle name="Normal 2 2 8 2 2 4 4 3" xfId="5839" xr:uid="{00000000-0005-0000-0000-000078170000}"/>
    <cellStyle name="Normal 2 2 8 2 2 4 4 3 2" xfId="9189" xr:uid="{00000000-0005-0000-0000-000079170000}"/>
    <cellStyle name="Normal 2 2 8 2 2 4 4 4" xfId="10864" xr:uid="{00000000-0005-0000-0000-00007A170000}"/>
    <cellStyle name="Normal 2 2 8 2 2 4 4 5" xfId="7514" xr:uid="{00000000-0005-0000-0000-00007B170000}"/>
    <cellStyle name="Normal 2 2 8 2 2 4 5" xfId="4400" xr:uid="{00000000-0005-0000-0000-00007C170000}"/>
    <cellStyle name="Normal 2 2 8 2 2 4 5 2" xfId="6075" xr:uid="{00000000-0005-0000-0000-00007D170000}"/>
    <cellStyle name="Normal 2 2 8 2 2 4 5 2 2" xfId="9425" xr:uid="{00000000-0005-0000-0000-00007E170000}"/>
    <cellStyle name="Normal 2 2 8 2 2 4 5 3" xfId="11100" xr:uid="{00000000-0005-0000-0000-00007F170000}"/>
    <cellStyle name="Normal 2 2 8 2 2 4 5 4" xfId="7750" xr:uid="{00000000-0005-0000-0000-000080170000}"/>
    <cellStyle name="Normal 2 2 8 2 2 4 6" xfId="4659" xr:uid="{00000000-0005-0000-0000-000081170000}"/>
    <cellStyle name="Normal 2 2 8 2 2 4 6 2" xfId="6334" xr:uid="{00000000-0005-0000-0000-000082170000}"/>
    <cellStyle name="Normal 2 2 8 2 2 4 6 2 2" xfId="9684" xr:uid="{00000000-0005-0000-0000-000083170000}"/>
    <cellStyle name="Normal 2 2 8 2 2 4 6 3" xfId="11359" xr:uid="{00000000-0005-0000-0000-000084170000}"/>
    <cellStyle name="Normal 2 2 8 2 2 4 6 4" xfId="8009" xr:uid="{00000000-0005-0000-0000-000085170000}"/>
    <cellStyle name="Normal 2 2 8 2 2 4 7" xfId="5367" xr:uid="{00000000-0005-0000-0000-000086170000}"/>
    <cellStyle name="Normal 2 2 8 2 2 4 7 2" xfId="8717" xr:uid="{00000000-0005-0000-0000-000087170000}"/>
    <cellStyle name="Normal 2 2 8 2 2 4 8" xfId="10392" xr:uid="{00000000-0005-0000-0000-000088170000}"/>
    <cellStyle name="Normal 2 2 8 2 2 4 9" xfId="7042" xr:uid="{00000000-0005-0000-0000-000089170000}"/>
    <cellStyle name="Normal 2 2 8 2 2 5" xfId="3716" xr:uid="{00000000-0005-0000-0000-00008A170000}"/>
    <cellStyle name="Normal 2 2 8 2 2 5 2" xfId="3834" xr:uid="{00000000-0005-0000-0000-00008B170000}"/>
    <cellStyle name="Normal 2 2 8 2 2 5 2 2" xfId="4070" xr:uid="{00000000-0005-0000-0000-00008C170000}"/>
    <cellStyle name="Normal 2 2 8 2 2 5 2 2 2" xfId="5037" xr:uid="{00000000-0005-0000-0000-00008D170000}"/>
    <cellStyle name="Normal 2 2 8 2 2 5 2 2 2 2" xfId="6712" xr:uid="{00000000-0005-0000-0000-00008E170000}"/>
    <cellStyle name="Normal 2 2 8 2 2 5 2 2 2 2 2" xfId="10062" xr:uid="{00000000-0005-0000-0000-00008F170000}"/>
    <cellStyle name="Normal 2 2 8 2 2 5 2 2 2 3" xfId="11737" xr:uid="{00000000-0005-0000-0000-000090170000}"/>
    <cellStyle name="Normal 2 2 8 2 2 5 2 2 2 4" xfId="8387" xr:uid="{00000000-0005-0000-0000-000091170000}"/>
    <cellStyle name="Normal 2 2 8 2 2 5 2 2 3" xfId="5745" xr:uid="{00000000-0005-0000-0000-000092170000}"/>
    <cellStyle name="Normal 2 2 8 2 2 5 2 2 3 2" xfId="9095" xr:uid="{00000000-0005-0000-0000-000093170000}"/>
    <cellStyle name="Normal 2 2 8 2 2 5 2 2 4" xfId="10770" xr:uid="{00000000-0005-0000-0000-000094170000}"/>
    <cellStyle name="Normal 2 2 8 2 2 5 2 2 5" xfId="7420" xr:uid="{00000000-0005-0000-0000-000095170000}"/>
    <cellStyle name="Normal 2 2 8 2 2 5 2 3" xfId="4306" xr:uid="{00000000-0005-0000-0000-000096170000}"/>
    <cellStyle name="Normal 2 2 8 2 2 5 2 3 2" xfId="5273" xr:uid="{00000000-0005-0000-0000-000097170000}"/>
    <cellStyle name="Normal 2 2 8 2 2 5 2 3 2 2" xfId="6948" xr:uid="{00000000-0005-0000-0000-000098170000}"/>
    <cellStyle name="Normal 2 2 8 2 2 5 2 3 2 2 2" xfId="10298" xr:uid="{00000000-0005-0000-0000-000099170000}"/>
    <cellStyle name="Normal 2 2 8 2 2 5 2 3 2 3" xfId="11973" xr:uid="{00000000-0005-0000-0000-00009A170000}"/>
    <cellStyle name="Normal 2 2 8 2 2 5 2 3 2 4" xfId="8623" xr:uid="{00000000-0005-0000-0000-00009B170000}"/>
    <cellStyle name="Normal 2 2 8 2 2 5 2 3 3" xfId="5981" xr:uid="{00000000-0005-0000-0000-00009C170000}"/>
    <cellStyle name="Normal 2 2 8 2 2 5 2 3 3 2" xfId="9331" xr:uid="{00000000-0005-0000-0000-00009D170000}"/>
    <cellStyle name="Normal 2 2 8 2 2 5 2 3 4" xfId="11006" xr:uid="{00000000-0005-0000-0000-00009E170000}"/>
    <cellStyle name="Normal 2 2 8 2 2 5 2 3 5" xfId="7656" xr:uid="{00000000-0005-0000-0000-00009F170000}"/>
    <cellStyle name="Normal 2 2 8 2 2 5 2 4" xfId="4542" xr:uid="{00000000-0005-0000-0000-0000A0170000}"/>
    <cellStyle name="Normal 2 2 8 2 2 5 2 4 2" xfId="6217" xr:uid="{00000000-0005-0000-0000-0000A1170000}"/>
    <cellStyle name="Normal 2 2 8 2 2 5 2 4 2 2" xfId="9567" xr:uid="{00000000-0005-0000-0000-0000A2170000}"/>
    <cellStyle name="Normal 2 2 8 2 2 5 2 4 3" xfId="11242" xr:uid="{00000000-0005-0000-0000-0000A3170000}"/>
    <cellStyle name="Normal 2 2 8 2 2 5 2 4 4" xfId="7892" xr:uid="{00000000-0005-0000-0000-0000A4170000}"/>
    <cellStyle name="Normal 2 2 8 2 2 5 2 5" xfId="4801" xr:uid="{00000000-0005-0000-0000-0000A5170000}"/>
    <cellStyle name="Normal 2 2 8 2 2 5 2 5 2" xfId="6476" xr:uid="{00000000-0005-0000-0000-0000A6170000}"/>
    <cellStyle name="Normal 2 2 8 2 2 5 2 5 2 2" xfId="9826" xr:uid="{00000000-0005-0000-0000-0000A7170000}"/>
    <cellStyle name="Normal 2 2 8 2 2 5 2 5 3" xfId="11501" xr:uid="{00000000-0005-0000-0000-0000A8170000}"/>
    <cellStyle name="Normal 2 2 8 2 2 5 2 5 4" xfId="8151" xr:uid="{00000000-0005-0000-0000-0000A9170000}"/>
    <cellStyle name="Normal 2 2 8 2 2 5 2 6" xfId="5509" xr:uid="{00000000-0005-0000-0000-0000AA170000}"/>
    <cellStyle name="Normal 2 2 8 2 2 5 2 6 2" xfId="8859" xr:uid="{00000000-0005-0000-0000-0000AB170000}"/>
    <cellStyle name="Normal 2 2 8 2 2 5 2 7" xfId="10534" xr:uid="{00000000-0005-0000-0000-0000AC170000}"/>
    <cellStyle name="Normal 2 2 8 2 2 5 2 8" xfId="7184" xr:uid="{00000000-0005-0000-0000-0000AD170000}"/>
    <cellStyle name="Normal 2 2 8 2 2 5 3" xfId="3952" xr:uid="{00000000-0005-0000-0000-0000AE170000}"/>
    <cellStyle name="Normal 2 2 8 2 2 5 3 2" xfId="4919" xr:uid="{00000000-0005-0000-0000-0000AF170000}"/>
    <cellStyle name="Normal 2 2 8 2 2 5 3 2 2" xfId="6594" xr:uid="{00000000-0005-0000-0000-0000B0170000}"/>
    <cellStyle name="Normal 2 2 8 2 2 5 3 2 2 2" xfId="9944" xr:uid="{00000000-0005-0000-0000-0000B1170000}"/>
    <cellStyle name="Normal 2 2 8 2 2 5 3 2 3" xfId="11619" xr:uid="{00000000-0005-0000-0000-0000B2170000}"/>
    <cellStyle name="Normal 2 2 8 2 2 5 3 2 4" xfId="8269" xr:uid="{00000000-0005-0000-0000-0000B3170000}"/>
    <cellStyle name="Normal 2 2 8 2 2 5 3 3" xfId="5627" xr:uid="{00000000-0005-0000-0000-0000B4170000}"/>
    <cellStyle name="Normal 2 2 8 2 2 5 3 3 2" xfId="8977" xr:uid="{00000000-0005-0000-0000-0000B5170000}"/>
    <cellStyle name="Normal 2 2 8 2 2 5 3 4" xfId="10652" xr:uid="{00000000-0005-0000-0000-0000B6170000}"/>
    <cellStyle name="Normal 2 2 8 2 2 5 3 5" xfId="7302" xr:uid="{00000000-0005-0000-0000-0000B7170000}"/>
    <cellStyle name="Normal 2 2 8 2 2 5 4" xfId="4188" xr:uid="{00000000-0005-0000-0000-0000B8170000}"/>
    <cellStyle name="Normal 2 2 8 2 2 5 4 2" xfId="5155" xr:uid="{00000000-0005-0000-0000-0000B9170000}"/>
    <cellStyle name="Normal 2 2 8 2 2 5 4 2 2" xfId="6830" xr:uid="{00000000-0005-0000-0000-0000BA170000}"/>
    <cellStyle name="Normal 2 2 8 2 2 5 4 2 2 2" xfId="10180" xr:uid="{00000000-0005-0000-0000-0000BB170000}"/>
    <cellStyle name="Normal 2 2 8 2 2 5 4 2 3" xfId="11855" xr:uid="{00000000-0005-0000-0000-0000BC170000}"/>
    <cellStyle name="Normal 2 2 8 2 2 5 4 2 4" xfId="8505" xr:uid="{00000000-0005-0000-0000-0000BD170000}"/>
    <cellStyle name="Normal 2 2 8 2 2 5 4 3" xfId="5863" xr:uid="{00000000-0005-0000-0000-0000BE170000}"/>
    <cellStyle name="Normal 2 2 8 2 2 5 4 3 2" xfId="9213" xr:uid="{00000000-0005-0000-0000-0000BF170000}"/>
    <cellStyle name="Normal 2 2 8 2 2 5 4 4" xfId="10888" xr:uid="{00000000-0005-0000-0000-0000C0170000}"/>
    <cellStyle name="Normal 2 2 8 2 2 5 4 5" xfId="7538" xr:uid="{00000000-0005-0000-0000-0000C1170000}"/>
    <cellStyle name="Normal 2 2 8 2 2 5 5" xfId="4424" xr:uid="{00000000-0005-0000-0000-0000C2170000}"/>
    <cellStyle name="Normal 2 2 8 2 2 5 5 2" xfId="6099" xr:uid="{00000000-0005-0000-0000-0000C3170000}"/>
    <cellStyle name="Normal 2 2 8 2 2 5 5 2 2" xfId="9449" xr:uid="{00000000-0005-0000-0000-0000C4170000}"/>
    <cellStyle name="Normal 2 2 8 2 2 5 5 3" xfId="11124" xr:uid="{00000000-0005-0000-0000-0000C5170000}"/>
    <cellStyle name="Normal 2 2 8 2 2 5 5 4" xfId="7774" xr:uid="{00000000-0005-0000-0000-0000C6170000}"/>
    <cellStyle name="Normal 2 2 8 2 2 5 6" xfId="4683" xr:uid="{00000000-0005-0000-0000-0000C7170000}"/>
    <cellStyle name="Normal 2 2 8 2 2 5 6 2" xfId="6358" xr:uid="{00000000-0005-0000-0000-0000C8170000}"/>
    <cellStyle name="Normal 2 2 8 2 2 5 6 2 2" xfId="9708" xr:uid="{00000000-0005-0000-0000-0000C9170000}"/>
    <cellStyle name="Normal 2 2 8 2 2 5 6 3" xfId="11383" xr:uid="{00000000-0005-0000-0000-0000CA170000}"/>
    <cellStyle name="Normal 2 2 8 2 2 5 6 4" xfId="8033" xr:uid="{00000000-0005-0000-0000-0000CB170000}"/>
    <cellStyle name="Normal 2 2 8 2 2 5 7" xfId="5391" xr:uid="{00000000-0005-0000-0000-0000CC170000}"/>
    <cellStyle name="Normal 2 2 8 2 2 5 7 2" xfId="8741" xr:uid="{00000000-0005-0000-0000-0000CD170000}"/>
    <cellStyle name="Normal 2 2 8 2 2 5 8" xfId="10416" xr:uid="{00000000-0005-0000-0000-0000CE170000}"/>
    <cellStyle name="Normal 2 2 8 2 2 5 9" xfId="7066" xr:uid="{00000000-0005-0000-0000-0000CF170000}"/>
    <cellStyle name="Normal 2 2 8 2 2 6" xfId="3740" xr:uid="{00000000-0005-0000-0000-0000D0170000}"/>
    <cellStyle name="Normal 2 2 8 2 2 6 2" xfId="3976" xr:uid="{00000000-0005-0000-0000-0000D1170000}"/>
    <cellStyle name="Normal 2 2 8 2 2 6 2 2" xfId="4943" xr:uid="{00000000-0005-0000-0000-0000D2170000}"/>
    <cellStyle name="Normal 2 2 8 2 2 6 2 2 2" xfId="6618" xr:uid="{00000000-0005-0000-0000-0000D3170000}"/>
    <cellStyle name="Normal 2 2 8 2 2 6 2 2 2 2" xfId="9968" xr:uid="{00000000-0005-0000-0000-0000D4170000}"/>
    <cellStyle name="Normal 2 2 8 2 2 6 2 2 3" xfId="11643" xr:uid="{00000000-0005-0000-0000-0000D5170000}"/>
    <cellStyle name="Normal 2 2 8 2 2 6 2 2 4" xfId="8293" xr:uid="{00000000-0005-0000-0000-0000D6170000}"/>
    <cellStyle name="Normal 2 2 8 2 2 6 2 3" xfId="5651" xr:uid="{00000000-0005-0000-0000-0000D7170000}"/>
    <cellStyle name="Normal 2 2 8 2 2 6 2 3 2" xfId="9001" xr:uid="{00000000-0005-0000-0000-0000D8170000}"/>
    <cellStyle name="Normal 2 2 8 2 2 6 2 4" xfId="10676" xr:uid="{00000000-0005-0000-0000-0000D9170000}"/>
    <cellStyle name="Normal 2 2 8 2 2 6 2 5" xfId="7326" xr:uid="{00000000-0005-0000-0000-0000DA170000}"/>
    <cellStyle name="Normal 2 2 8 2 2 6 3" xfId="4212" xr:uid="{00000000-0005-0000-0000-0000DB170000}"/>
    <cellStyle name="Normal 2 2 8 2 2 6 3 2" xfId="5179" xr:uid="{00000000-0005-0000-0000-0000DC170000}"/>
    <cellStyle name="Normal 2 2 8 2 2 6 3 2 2" xfId="6854" xr:uid="{00000000-0005-0000-0000-0000DD170000}"/>
    <cellStyle name="Normal 2 2 8 2 2 6 3 2 2 2" xfId="10204" xr:uid="{00000000-0005-0000-0000-0000DE170000}"/>
    <cellStyle name="Normal 2 2 8 2 2 6 3 2 3" xfId="11879" xr:uid="{00000000-0005-0000-0000-0000DF170000}"/>
    <cellStyle name="Normal 2 2 8 2 2 6 3 2 4" xfId="8529" xr:uid="{00000000-0005-0000-0000-0000E0170000}"/>
    <cellStyle name="Normal 2 2 8 2 2 6 3 3" xfId="5887" xr:uid="{00000000-0005-0000-0000-0000E1170000}"/>
    <cellStyle name="Normal 2 2 8 2 2 6 3 3 2" xfId="9237" xr:uid="{00000000-0005-0000-0000-0000E2170000}"/>
    <cellStyle name="Normal 2 2 8 2 2 6 3 4" xfId="10912" xr:uid="{00000000-0005-0000-0000-0000E3170000}"/>
    <cellStyle name="Normal 2 2 8 2 2 6 3 5" xfId="7562" xr:uid="{00000000-0005-0000-0000-0000E4170000}"/>
    <cellStyle name="Normal 2 2 8 2 2 6 4" xfId="4448" xr:uid="{00000000-0005-0000-0000-0000E5170000}"/>
    <cellStyle name="Normal 2 2 8 2 2 6 4 2" xfId="6123" xr:uid="{00000000-0005-0000-0000-0000E6170000}"/>
    <cellStyle name="Normal 2 2 8 2 2 6 4 2 2" xfId="9473" xr:uid="{00000000-0005-0000-0000-0000E7170000}"/>
    <cellStyle name="Normal 2 2 8 2 2 6 4 3" xfId="11148" xr:uid="{00000000-0005-0000-0000-0000E8170000}"/>
    <cellStyle name="Normal 2 2 8 2 2 6 4 4" xfId="7798" xr:uid="{00000000-0005-0000-0000-0000E9170000}"/>
    <cellStyle name="Normal 2 2 8 2 2 6 5" xfId="4707" xr:uid="{00000000-0005-0000-0000-0000EA170000}"/>
    <cellStyle name="Normal 2 2 8 2 2 6 5 2" xfId="6382" xr:uid="{00000000-0005-0000-0000-0000EB170000}"/>
    <cellStyle name="Normal 2 2 8 2 2 6 5 2 2" xfId="9732" xr:uid="{00000000-0005-0000-0000-0000EC170000}"/>
    <cellStyle name="Normal 2 2 8 2 2 6 5 3" xfId="11407" xr:uid="{00000000-0005-0000-0000-0000ED170000}"/>
    <cellStyle name="Normal 2 2 8 2 2 6 5 4" xfId="8057" xr:uid="{00000000-0005-0000-0000-0000EE170000}"/>
    <cellStyle name="Normal 2 2 8 2 2 6 6" xfId="5415" xr:uid="{00000000-0005-0000-0000-0000EF170000}"/>
    <cellStyle name="Normal 2 2 8 2 2 6 6 2" xfId="8765" xr:uid="{00000000-0005-0000-0000-0000F0170000}"/>
    <cellStyle name="Normal 2 2 8 2 2 6 7" xfId="10440" xr:uid="{00000000-0005-0000-0000-0000F1170000}"/>
    <cellStyle name="Normal 2 2 8 2 2 6 8" xfId="7090" xr:uid="{00000000-0005-0000-0000-0000F2170000}"/>
    <cellStyle name="Normal 2 2 8 2 2 7" xfId="3858" xr:uid="{00000000-0005-0000-0000-0000F3170000}"/>
    <cellStyle name="Normal 2 2 8 2 2 7 2" xfId="4825" xr:uid="{00000000-0005-0000-0000-0000F4170000}"/>
    <cellStyle name="Normal 2 2 8 2 2 7 2 2" xfId="6500" xr:uid="{00000000-0005-0000-0000-0000F5170000}"/>
    <cellStyle name="Normal 2 2 8 2 2 7 2 2 2" xfId="9850" xr:uid="{00000000-0005-0000-0000-0000F6170000}"/>
    <cellStyle name="Normal 2 2 8 2 2 7 2 3" xfId="11525" xr:uid="{00000000-0005-0000-0000-0000F7170000}"/>
    <cellStyle name="Normal 2 2 8 2 2 7 2 4" xfId="8175" xr:uid="{00000000-0005-0000-0000-0000F8170000}"/>
    <cellStyle name="Normal 2 2 8 2 2 7 3" xfId="5533" xr:uid="{00000000-0005-0000-0000-0000F9170000}"/>
    <cellStyle name="Normal 2 2 8 2 2 7 3 2" xfId="8883" xr:uid="{00000000-0005-0000-0000-0000FA170000}"/>
    <cellStyle name="Normal 2 2 8 2 2 7 4" xfId="10558" xr:uid="{00000000-0005-0000-0000-0000FB170000}"/>
    <cellStyle name="Normal 2 2 8 2 2 7 5" xfId="7208" xr:uid="{00000000-0005-0000-0000-0000FC170000}"/>
    <cellStyle name="Normal 2 2 8 2 2 8" xfId="4094" xr:uid="{00000000-0005-0000-0000-0000FD170000}"/>
    <cellStyle name="Normal 2 2 8 2 2 8 2" xfId="5061" xr:uid="{00000000-0005-0000-0000-0000FE170000}"/>
    <cellStyle name="Normal 2 2 8 2 2 8 2 2" xfId="6736" xr:uid="{00000000-0005-0000-0000-0000FF170000}"/>
    <cellStyle name="Normal 2 2 8 2 2 8 2 2 2" xfId="10086" xr:uid="{00000000-0005-0000-0000-000000180000}"/>
    <cellStyle name="Normal 2 2 8 2 2 8 2 3" xfId="11761" xr:uid="{00000000-0005-0000-0000-000001180000}"/>
    <cellStyle name="Normal 2 2 8 2 2 8 2 4" xfId="8411" xr:uid="{00000000-0005-0000-0000-000002180000}"/>
    <cellStyle name="Normal 2 2 8 2 2 8 3" xfId="5769" xr:uid="{00000000-0005-0000-0000-000003180000}"/>
    <cellStyle name="Normal 2 2 8 2 2 8 3 2" xfId="9119" xr:uid="{00000000-0005-0000-0000-000004180000}"/>
    <cellStyle name="Normal 2 2 8 2 2 8 4" xfId="10794" xr:uid="{00000000-0005-0000-0000-000005180000}"/>
    <cellStyle name="Normal 2 2 8 2 2 8 5" xfId="7444" xr:uid="{00000000-0005-0000-0000-000006180000}"/>
    <cellStyle name="Normal 2 2 8 2 2 9" xfId="4330" xr:uid="{00000000-0005-0000-0000-000007180000}"/>
    <cellStyle name="Normal 2 2 8 2 2 9 2" xfId="4589" xr:uid="{00000000-0005-0000-0000-000008180000}"/>
    <cellStyle name="Normal 2 2 8 2 2 9 2 2" xfId="6264" xr:uid="{00000000-0005-0000-0000-000009180000}"/>
    <cellStyle name="Normal 2 2 8 2 2 9 2 2 2" xfId="9614" xr:uid="{00000000-0005-0000-0000-00000A180000}"/>
    <cellStyle name="Normal 2 2 8 2 2 9 2 3" xfId="11289" xr:uid="{00000000-0005-0000-0000-00000B180000}"/>
    <cellStyle name="Normal 2 2 8 2 2 9 2 4" xfId="7939" xr:uid="{00000000-0005-0000-0000-00000C180000}"/>
    <cellStyle name="Normal 2 2 8 2 2 9 3" xfId="6005" xr:uid="{00000000-0005-0000-0000-00000D180000}"/>
    <cellStyle name="Normal 2 2 8 2 2 9 3 2" xfId="9355" xr:uid="{00000000-0005-0000-0000-00000E180000}"/>
    <cellStyle name="Normal 2 2 8 2 2 9 4" xfId="11030" xr:uid="{00000000-0005-0000-0000-00000F180000}"/>
    <cellStyle name="Normal 2 2 8 2 2 9 5" xfId="7680" xr:uid="{00000000-0005-0000-0000-000010180000}"/>
    <cellStyle name="Normal 2 2 8 3" xfId="2669" xr:uid="{00000000-0005-0000-0000-00006D0A0000}"/>
    <cellStyle name="Normal 2 2 8 4" xfId="3644" xr:uid="{00000000-0005-0000-0000-000012180000}"/>
    <cellStyle name="Normal 2 2 8 4 2" xfId="3762" xr:uid="{00000000-0005-0000-0000-000013180000}"/>
    <cellStyle name="Normal 2 2 8 4 2 2" xfId="3998" xr:uid="{00000000-0005-0000-0000-000014180000}"/>
    <cellStyle name="Normal 2 2 8 4 2 2 2" xfId="4965" xr:uid="{00000000-0005-0000-0000-000015180000}"/>
    <cellStyle name="Normal 2 2 8 4 2 2 2 2" xfId="6640" xr:uid="{00000000-0005-0000-0000-000016180000}"/>
    <cellStyle name="Normal 2 2 8 4 2 2 2 2 2" xfId="9990" xr:uid="{00000000-0005-0000-0000-000017180000}"/>
    <cellStyle name="Normal 2 2 8 4 2 2 2 3" xfId="11665" xr:uid="{00000000-0005-0000-0000-000018180000}"/>
    <cellStyle name="Normal 2 2 8 4 2 2 2 4" xfId="8315" xr:uid="{00000000-0005-0000-0000-000019180000}"/>
    <cellStyle name="Normal 2 2 8 4 2 2 3" xfId="5673" xr:uid="{00000000-0005-0000-0000-00001A180000}"/>
    <cellStyle name="Normal 2 2 8 4 2 2 3 2" xfId="9023" xr:uid="{00000000-0005-0000-0000-00001B180000}"/>
    <cellStyle name="Normal 2 2 8 4 2 2 4" xfId="10698" xr:uid="{00000000-0005-0000-0000-00001C180000}"/>
    <cellStyle name="Normal 2 2 8 4 2 2 5" xfId="7348" xr:uid="{00000000-0005-0000-0000-00001D180000}"/>
    <cellStyle name="Normal 2 2 8 4 2 3" xfId="4234" xr:uid="{00000000-0005-0000-0000-00001E180000}"/>
    <cellStyle name="Normal 2 2 8 4 2 3 2" xfId="5201" xr:uid="{00000000-0005-0000-0000-00001F180000}"/>
    <cellStyle name="Normal 2 2 8 4 2 3 2 2" xfId="6876" xr:uid="{00000000-0005-0000-0000-000020180000}"/>
    <cellStyle name="Normal 2 2 8 4 2 3 2 2 2" xfId="10226" xr:uid="{00000000-0005-0000-0000-000021180000}"/>
    <cellStyle name="Normal 2 2 8 4 2 3 2 3" xfId="11901" xr:uid="{00000000-0005-0000-0000-000022180000}"/>
    <cellStyle name="Normal 2 2 8 4 2 3 2 4" xfId="8551" xr:uid="{00000000-0005-0000-0000-000023180000}"/>
    <cellStyle name="Normal 2 2 8 4 2 3 3" xfId="5909" xr:uid="{00000000-0005-0000-0000-000024180000}"/>
    <cellStyle name="Normal 2 2 8 4 2 3 3 2" xfId="9259" xr:uid="{00000000-0005-0000-0000-000025180000}"/>
    <cellStyle name="Normal 2 2 8 4 2 3 4" xfId="10934" xr:uid="{00000000-0005-0000-0000-000026180000}"/>
    <cellStyle name="Normal 2 2 8 4 2 3 5" xfId="7584" xr:uid="{00000000-0005-0000-0000-000027180000}"/>
    <cellStyle name="Normal 2 2 8 4 2 4" xfId="4470" xr:uid="{00000000-0005-0000-0000-000028180000}"/>
    <cellStyle name="Normal 2 2 8 4 2 4 2" xfId="6145" xr:uid="{00000000-0005-0000-0000-000029180000}"/>
    <cellStyle name="Normal 2 2 8 4 2 4 2 2" xfId="9495" xr:uid="{00000000-0005-0000-0000-00002A180000}"/>
    <cellStyle name="Normal 2 2 8 4 2 4 3" xfId="11170" xr:uid="{00000000-0005-0000-0000-00002B180000}"/>
    <cellStyle name="Normal 2 2 8 4 2 4 4" xfId="7820" xr:uid="{00000000-0005-0000-0000-00002C180000}"/>
    <cellStyle name="Normal 2 2 8 4 2 5" xfId="4729" xr:uid="{00000000-0005-0000-0000-00002D180000}"/>
    <cellStyle name="Normal 2 2 8 4 2 5 2" xfId="6404" xr:uid="{00000000-0005-0000-0000-00002E180000}"/>
    <cellStyle name="Normal 2 2 8 4 2 5 2 2" xfId="9754" xr:uid="{00000000-0005-0000-0000-00002F180000}"/>
    <cellStyle name="Normal 2 2 8 4 2 5 3" xfId="11429" xr:uid="{00000000-0005-0000-0000-000030180000}"/>
    <cellStyle name="Normal 2 2 8 4 2 5 4" xfId="8079" xr:uid="{00000000-0005-0000-0000-000031180000}"/>
    <cellStyle name="Normal 2 2 8 4 2 6" xfId="5437" xr:uid="{00000000-0005-0000-0000-000032180000}"/>
    <cellStyle name="Normal 2 2 8 4 2 6 2" xfId="8787" xr:uid="{00000000-0005-0000-0000-000033180000}"/>
    <cellStyle name="Normal 2 2 8 4 2 7" xfId="10462" xr:uid="{00000000-0005-0000-0000-000034180000}"/>
    <cellStyle name="Normal 2 2 8 4 2 8" xfId="7112" xr:uid="{00000000-0005-0000-0000-000035180000}"/>
    <cellStyle name="Normal 2 2 8 4 3" xfId="3880" xr:uid="{00000000-0005-0000-0000-000036180000}"/>
    <cellStyle name="Normal 2 2 8 4 3 2" xfId="4847" xr:uid="{00000000-0005-0000-0000-000037180000}"/>
    <cellStyle name="Normal 2 2 8 4 3 2 2" xfId="6522" xr:uid="{00000000-0005-0000-0000-000038180000}"/>
    <cellStyle name="Normal 2 2 8 4 3 2 2 2" xfId="9872" xr:uid="{00000000-0005-0000-0000-000039180000}"/>
    <cellStyle name="Normal 2 2 8 4 3 2 3" xfId="11547" xr:uid="{00000000-0005-0000-0000-00003A180000}"/>
    <cellStyle name="Normal 2 2 8 4 3 2 4" xfId="8197" xr:uid="{00000000-0005-0000-0000-00003B180000}"/>
    <cellStyle name="Normal 2 2 8 4 3 3" xfId="5555" xr:uid="{00000000-0005-0000-0000-00003C180000}"/>
    <cellStyle name="Normal 2 2 8 4 3 3 2" xfId="8905" xr:uid="{00000000-0005-0000-0000-00003D180000}"/>
    <cellStyle name="Normal 2 2 8 4 3 4" xfId="10580" xr:uid="{00000000-0005-0000-0000-00003E180000}"/>
    <cellStyle name="Normal 2 2 8 4 3 5" xfId="7230" xr:uid="{00000000-0005-0000-0000-00003F180000}"/>
    <cellStyle name="Normal 2 2 8 4 4" xfId="4116" xr:uid="{00000000-0005-0000-0000-000040180000}"/>
    <cellStyle name="Normal 2 2 8 4 4 2" xfId="5083" xr:uid="{00000000-0005-0000-0000-000041180000}"/>
    <cellStyle name="Normal 2 2 8 4 4 2 2" xfId="6758" xr:uid="{00000000-0005-0000-0000-000042180000}"/>
    <cellStyle name="Normal 2 2 8 4 4 2 2 2" xfId="10108" xr:uid="{00000000-0005-0000-0000-000043180000}"/>
    <cellStyle name="Normal 2 2 8 4 4 2 3" xfId="11783" xr:uid="{00000000-0005-0000-0000-000044180000}"/>
    <cellStyle name="Normal 2 2 8 4 4 2 4" xfId="8433" xr:uid="{00000000-0005-0000-0000-000045180000}"/>
    <cellStyle name="Normal 2 2 8 4 4 3" xfId="5791" xr:uid="{00000000-0005-0000-0000-000046180000}"/>
    <cellStyle name="Normal 2 2 8 4 4 3 2" xfId="9141" xr:uid="{00000000-0005-0000-0000-000047180000}"/>
    <cellStyle name="Normal 2 2 8 4 4 4" xfId="10816" xr:uid="{00000000-0005-0000-0000-000048180000}"/>
    <cellStyle name="Normal 2 2 8 4 4 5" xfId="7466" xr:uid="{00000000-0005-0000-0000-000049180000}"/>
    <cellStyle name="Normal 2 2 8 4 5" xfId="4352" xr:uid="{00000000-0005-0000-0000-00004A180000}"/>
    <cellStyle name="Normal 2 2 8 4 5 2" xfId="6027" xr:uid="{00000000-0005-0000-0000-00004B180000}"/>
    <cellStyle name="Normal 2 2 8 4 5 2 2" xfId="9377" xr:uid="{00000000-0005-0000-0000-00004C180000}"/>
    <cellStyle name="Normal 2 2 8 4 5 3" xfId="11052" xr:uid="{00000000-0005-0000-0000-00004D180000}"/>
    <cellStyle name="Normal 2 2 8 4 5 4" xfId="7702" xr:uid="{00000000-0005-0000-0000-00004E180000}"/>
    <cellStyle name="Normal 2 2 8 4 6" xfId="4611" xr:uid="{00000000-0005-0000-0000-00004F180000}"/>
    <cellStyle name="Normal 2 2 8 4 6 2" xfId="6286" xr:uid="{00000000-0005-0000-0000-000050180000}"/>
    <cellStyle name="Normal 2 2 8 4 6 2 2" xfId="9636" xr:uid="{00000000-0005-0000-0000-000051180000}"/>
    <cellStyle name="Normal 2 2 8 4 6 3" xfId="11311" xr:uid="{00000000-0005-0000-0000-000052180000}"/>
    <cellStyle name="Normal 2 2 8 4 6 4" xfId="7961" xr:uid="{00000000-0005-0000-0000-000053180000}"/>
    <cellStyle name="Normal 2 2 8 4 7" xfId="5319" xr:uid="{00000000-0005-0000-0000-000054180000}"/>
    <cellStyle name="Normal 2 2 8 4 7 2" xfId="8669" xr:uid="{00000000-0005-0000-0000-000055180000}"/>
    <cellStyle name="Normal 2 2 8 4 8" xfId="10344" xr:uid="{00000000-0005-0000-0000-000056180000}"/>
    <cellStyle name="Normal 2 2 8 4 9" xfId="6994" xr:uid="{00000000-0005-0000-0000-000057180000}"/>
    <cellStyle name="Normal 2 2 8 5" xfId="3667" xr:uid="{00000000-0005-0000-0000-000058180000}"/>
    <cellStyle name="Normal 2 2 8 5 2" xfId="3785" xr:uid="{00000000-0005-0000-0000-000059180000}"/>
    <cellStyle name="Normal 2 2 8 5 2 2" xfId="4021" xr:uid="{00000000-0005-0000-0000-00005A180000}"/>
    <cellStyle name="Normal 2 2 8 5 2 2 2" xfId="4988" xr:uid="{00000000-0005-0000-0000-00005B180000}"/>
    <cellStyle name="Normal 2 2 8 5 2 2 2 2" xfId="6663" xr:uid="{00000000-0005-0000-0000-00005C180000}"/>
    <cellStyle name="Normal 2 2 8 5 2 2 2 2 2" xfId="10013" xr:uid="{00000000-0005-0000-0000-00005D180000}"/>
    <cellStyle name="Normal 2 2 8 5 2 2 2 3" xfId="11688" xr:uid="{00000000-0005-0000-0000-00005E180000}"/>
    <cellStyle name="Normal 2 2 8 5 2 2 2 4" xfId="8338" xr:uid="{00000000-0005-0000-0000-00005F180000}"/>
    <cellStyle name="Normal 2 2 8 5 2 2 3" xfId="5696" xr:uid="{00000000-0005-0000-0000-000060180000}"/>
    <cellStyle name="Normal 2 2 8 5 2 2 3 2" xfId="9046" xr:uid="{00000000-0005-0000-0000-000061180000}"/>
    <cellStyle name="Normal 2 2 8 5 2 2 4" xfId="10721" xr:uid="{00000000-0005-0000-0000-000062180000}"/>
    <cellStyle name="Normal 2 2 8 5 2 2 5" xfId="7371" xr:uid="{00000000-0005-0000-0000-000063180000}"/>
    <cellStyle name="Normal 2 2 8 5 2 3" xfId="4257" xr:uid="{00000000-0005-0000-0000-000064180000}"/>
    <cellStyle name="Normal 2 2 8 5 2 3 2" xfId="5224" xr:uid="{00000000-0005-0000-0000-000065180000}"/>
    <cellStyle name="Normal 2 2 8 5 2 3 2 2" xfId="6899" xr:uid="{00000000-0005-0000-0000-000066180000}"/>
    <cellStyle name="Normal 2 2 8 5 2 3 2 2 2" xfId="10249" xr:uid="{00000000-0005-0000-0000-000067180000}"/>
    <cellStyle name="Normal 2 2 8 5 2 3 2 3" xfId="11924" xr:uid="{00000000-0005-0000-0000-000068180000}"/>
    <cellStyle name="Normal 2 2 8 5 2 3 2 4" xfId="8574" xr:uid="{00000000-0005-0000-0000-000069180000}"/>
    <cellStyle name="Normal 2 2 8 5 2 3 3" xfId="5932" xr:uid="{00000000-0005-0000-0000-00006A180000}"/>
    <cellStyle name="Normal 2 2 8 5 2 3 3 2" xfId="9282" xr:uid="{00000000-0005-0000-0000-00006B180000}"/>
    <cellStyle name="Normal 2 2 8 5 2 3 4" xfId="10957" xr:uid="{00000000-0005-0000-0000-00006C180000}"/>
    <cellStyle name="Normal 2 2 8 5 2 3 5" xfId="7607" xr:uid="{00000000-0005-0000-0000-00006D180000}"/>
    <cellStyle name="Normal 2 2 8 5 2 4" xfId="4493" xr:uid="{00000000-0005-0000-0000-00006E180000}"/>
    <cellStyle name="Normal 2 2 8 5 2 4 2" xfId="6168" xr:uid="{00000000-0005-0000-0000-00006F180000}"/>
    <cellStyle name="Normal 2 2 8 5 2 4 2 2" xfId="9518" xr:uid="{00000000-0005-0000-0000-000070180000}"/>
    <cellStyle name="Normal 2 2 8 5 2 4 3" xfId="11193" xr:uid="{00000000-0005-0000-0000-000071180000}"/>
    <cellStyle name="Normal 2 2 8 5 2 4 4" xfId="7843" xr:uid="{00000000-0005-0000-0000-000072180000}"/>
    <cellStyle name="Normal 2 2 8 5 2 5" xfId="4752" xr:uid="{00000000-0005-0000-0000-000073180000}"/>
    <cellStyle name="Normal 2 2 8 5 2 5 2" xfId="6427" xr:uid="{00000000-0005-0000-0000-000074180000}"/>
    <cellStyle name="Normal 2 2 8 5 2 5 2 2" xfId="9777" xr:uid="{00000000-0005-0000-0000-000075180000}"/>
    <cellStyle name="Normal 2 2 8 5 2 5 3" xfId="11452" xr:uid="{00000000-0005-0000-0000-000076180000}"/>
    <cellStyle name="Normal 2 2 8 5 2 5 4" xfId="8102" xr:uid="{00000000-0005-0000-0000-000077180000}"/>
    <cellStyle name="Normal 2 2 8 5 2 6" xfId="5460" xr:uid="{00000000-0005-0000-0000-000078180000}"/>
    <cellStyle name="Normal 2 2 8 5 2 6 2" xfId="8810" xr:uid="{00000000-0005-0000-0000-000079180000}"/>
    <cellStyle name="Normal 2 2 8 5 2 7" xfId="10485" xr:uid="{00000000-0005-0000-0000-00007A180000}"/>
    <cellStyle name="Normal 2 2 8 5 2 8" xfId="7135" xr:uid="{00000000-0005-0000-0000-00007B180000}"/>
    <cellStyle name="Normal 2 2 8 5 3" xfId="3903" xr:uid="{00000000-0005-0000-0000-00007C180000}"/>
    <cellStyle name="Normal 2 2 8 5 3 2" xfId="4870" xr:uid="{00000000-0005-0000-0000-00007D180000}"/>
    <cellStyle name="Normal 2 2 8 5 3 2 2" xfId="6545" xr:uid="{00000000-0005-0000-0000-00007E180000}"/>
    <cellStyle name="Normal 2 2 8 5 3 2 2 2" xfId="9895" xr:uid="{00000000-0005-0000-0000-00007F180000}"/>
    <cellStyle name="Normal 2 2 8 5 3 2 3" xfId="11570" xr:uid="{00000000-0005-0000-0000-000080180000}"/>
    <cellStyle name="Normal 2 2 8 5 3 2 4" xfId="8220" xr:uid="{00000000-0005-0000-0000-000081180000}"/>
    <cellStyle name="Normal 2 2 8 5 3 3" xfId="5578" xr:uid="{00000000-0005-0000-0000-000082180000}"/>
    <cellStyle name="Normal 2 2 8 5 3 3 2" xfId="8928" xr:uid="{00000000-0005-0000-0000-000083180000}"/>
    <cellStyle name="Normal 2 2 8 5 3 4" xfId="10603" xr:uid="{00000000-0005-0000-0000-000084180000}"/>
    <cellStyle name="Normal 2 2 8 5 3 5" xfId="7253" xr:uid="{00000000-0005-0000-0000-000085180000}"/>
    <cellStyle name="Normal 2 2 8 5 4" xfId="4139" xr:uid="{00000000-0005-0000-0000-000086180000}"/>
    <cellStyle name="Normal 2 2 8 5 4 2" xfId="5106" xr:uid="{00000000-0005-0000-0000-000087180000}"/>
    <cellStyle name="Normal 2 2 8 5 4 2 2" xfId="6781" xr:uid="{00000000-0005-0000-0000-000088180000}"/>
    <cellStyle name="Normal 2 2 8 5 4 2 2 2" xfId="10131" xr:uid="{00000000-0005-0000-0000-000089180000}"/>
    <cellStyle name="Normal 2 2 8 5 4 2 3" xfId="11806" xr:uid="{00000000-0005-0000-0000-00008A180000}"/>
    <cellStyle name="Normal 2 2 8 5 4 2 4" xfId="8456" xr:uid="{00000000-0005-0000-0000-00008B180000}"/>
    <cellStyle name="Normal 2 2 8 5 4 3" xfId="5814" xr:uid="{00000000-0005-0000-0000-00008C180000}"/>
    <cellStyle name="Normal 2 2 8 5 4 3 2" xfId="9164" xr:uid="{00000000-0005-0000-0000-00008D180000}"/>
    <cellStyle name="Normal 2 2 8 5 4 4" xfId="10839" xr:uid="{00000000-0005-0000-0000-00008E180000}"/>
    <cellStyle name="Normal 2 2 8 5 4 5" xfId="7489" xr:uid="{00000000-0005-0000-0000-00008F180000}"/>
    <cellStyle name="Normal 2 2 8 5 5" xfId="4375" xr:uid="{00000000-0005-0000-0000-000090180000}"/>
    <cellStyle name="Normal 2 2 8 5 5 2" xfId="6050" xr:uid="{00000000-0005-0000-0000-000091180000}"/>
    <cellStyle name="Normal 2 2 8 5 5 2 2" xfId="9400" xr:uid="{00000000-0005-0000-0000-000092180000}"/>
    <cellStyle name="Normal 2 2 8 5 5 3" xfId="11075" xr:uid="{00000000-0005-0000-0000-000093180000}"/>
    <cellStyle name="Normal 2 2 8 5 5 4" xfId="7725" xr:uid="{00000000-0005-0000-0000-000094180000}"/>
    <cellStyle name="Normal 2 2 8 5 6" xfId="4634" xr:uid="{00000000-0005-0000-0000-000095180000}"/>
    <cellStyle name="Normal 2 2 8 5 6 2" xfId="6309" xr:uid="{00000000-0005-0000-0000-000096180000}"/>
    <cellStyle name="Normal 2 2 8 5 6 2 2" xfId="9659" xr:uid="{00000000-0005-0000-0000-000097180000}"/>
    <cellStyle name="Normal 2 2 8 5 6 3" xfId="11334" xr:uid="{00000000-0005-0000-0000-000098180000}"/>
    <cellStyle name="Normal 2 2 8 5 6 4" xfId="7984" xr:uid="{00000000-0005-0000-0000-000099180000}"/>
    <cellStyle name="Normal 2 2 8 5 7" xfId="5342" xr:uid="{00000000-0005-0000-0000-00009A180000}"/>
    <cellStyle name="Normal 2 2 8 5 7 2" xfId="8692" xr:uid="{00000000-0005-0000-0000-00009B180000}"/>
    <cellStyle name="Normal 2 2 8 5 8" xfId="10367" xr:uid="{00000000-0005-0000-0000-00009C180000}"/>
    <cellStyle name="Normal 2 2 8 5 9" xfId="7017" xr:uid="{00000000-0005-0000-0000-00009D180000}"/>
    <cellStyle name="Normal 2 2 8 6" xfId="3691" xr:uid="{00000000-0005-0000-0000-00009E180000}"/>
    <cellStyle name="Normal 2 2 8 6 2" xfId="3809" xr:uid="{00000000-0005-0000-0000-00009F180000}"/>
    <cellStyle name="Normal 2 2 8 6 2 2" xfId="4045" xr:uid="{00000000-0005-0000-0000-0000A0180000}"/>
    <cellStyle name="Normal 2 2 8 6 2 2 2" xfId="5012" xr:uid="{00000000-0005-0000-0000-0000A1180000}"/>
    <cellStyle name="Normal 2 2 8 6 2 2 2 2" xfId="6687" xr:uid="{00000000-0005-0000-0000-0000A2180000}"/>
    <cellStyle name="Normal 2 2 8 6 2 2 2 2 2" xfId="10037" xr:uid="{00000000-0005-0000-0000-0000A3180000}"/>
    <cellStyle name="Normal 2 2 8 6 2 2 2 3" xfId="11712" xr:uid="{00000000-0005-0000-0000-0000A4180000}"/>
    <cellStyle name="Normal 2 2 8 6 2 2 2 4" xfId="8362" xr:uid="{00000000-0005-0000-0000-0000A5180000}"/>
    <cellStyle name="Normal 2 2 8 6 2 2 3" xfId="5720" xr:uid="{00000000-0005-0000-0000-0000A6180000}"/>
    <cellStyle name="Normal 2 2 8 6 2 2 3 2" xfId="9070" xr:uid="{00000000-0005-0000-0000-0000A7180000}"/>
    <cellStyle name="Normal 2 2 8 6 2 2 4" xfId="10745" xr:uid="{00000000-0005-0000-0000-0000A8180000}"/>
    <cellStyle name="Normal 2 2 8 6 2 2 5" xfId="7395" xr:uid="{00000000-0005-0000-0000-0000A9180000}"/>
    <cellStyle name="Normal 2 2 8 6 2 3" xfId="4281" xr:uid="{00000000-0005-0000-0000-0000AA180000}"/>
    <cellStyle name="Normal 2 2 8 6 2 3 2" xfId="5248" xr:uid="{00000000-0005-0000-0000-0000AB180000}"/>
    <cellStyle name="Normal 2 2 8 6 2 3 2 2" xfId="6923" xr:uid="{00000000-0005-0000-0000-0000AC180000}"/>
    <cellStyle name="Normal 2 2 8 6 2 3 2 2 2" xfId="10273" xr:uid="{00000000-0005-0000-0000-0000AD180000}"/>
    <cellStyle name="Normal 2 2 8 6 2 3 2 3" xfId="11948" xr:uid="{00000000-0005-0000-0000-0000AE180000}"/>
    <cellStyle name="Normal 2 2 8 6 2 3 2 4" xfId="8598" xr:uid="{00000000-0005-0000-0000-0000AF180000}"/>
    <cellStyle name="Normal 2 2 8 6 2 3 3" xfId="5956" xr:uid="{00000000-0005-0000-0000-0000B0180000}"/>
    <cellStyle name="Normal 2 2 8 6 2 3 3 2" xfId="9306" xr:uid="{00000000-0005-0000-0000-0000B1180000}"/>
    <cellStyle name="Normal 2 2 8 6 2 3 4" xfId="10981" xr:uid="{00000000-0005-0000-0000-0000B2180000}"/>
    <cellStyle name="Normal 2 2 8 6 2 3 5" xfId="7631" xr:uid="{00000000-0005-0000-0000-0000B3180000}"/>
    <cellStyle name="Normal 2 2 8 6 2 4" xfId="4517" xr:uid="{00000000-0005-0000-0000-0000B4180000}"/>
    <cellStyle name="Normal 2 2 8 6 2 4 2" xfId="6192" xr:uid="{00000000-0005-0000-0000-0000B5180000}"/>
    <cellStyle name="Normal 2 2 8 6 2 4 2 2" xfId="9542" xr:uid="{00000000-0005-0000-0000-0000B6180000}"/>
    <cellStyle name="Normal 2 2 8 6 2 4 3" xfId="11217" xr:uid="{00000000-0005-0000-0000-0000B7180000}"/>
    <cellStyle name="Normal 2 2 8 6 2 4 4" xfId="7867" xr:uid="{00000000-0005-0000-0000-0000B8180000}"/>
    <cellStyle name="Normal 2 2 8 6 2 5" xfId="4776" xr:uid="{00000000-0005-0000-0000-0000B9180000}"/>
    <cellStyle name="Normal 2 2 8 6 2 5 2" xfId="6451" xr:uid="{00000000-0005-0000-0000-0000BA180000}"/>
    <cellStyle name="Normal 2 2 8 6 2 5 2 2" xfId="9801" xr:uid="{00000000-0005-0000-0000-0000BB180000}"/>
    <cellStyle name="Normal 2 2 8 6 2 5 3" xfId="11476" xr:uid="{00000000-0005-0000-0000-0000BC180000}"/>
    <cellStyle name="Normal 2 2 8 6 2 5 4" xfId="8126" xr:uid="{00000000-0005-0000-0000-0000BD180000}"/>
    <cellStyle name="Normal 2 2 8 6 2 6" xfId="5484" xr:uid="{00000000-0005-0000-0000-0000BE180000}"/>
    <cellStyle name="Normal 2 2 8 6 2 6 2" xfId="8834" xr:uid="{00000000-0005-0000-0000-0000BF180000}"/>
    <cellStyle name="Normal 2 2 8 6 2 7" xfId="10509" xr:uid="{00000000-0005-0000-0000-0000C0180000}"/>
    <cellStyle name="Normal 2 2 8 6 2 8" xfId="7159" xr:uid="{00000000-0005-0000-0000-0000C1180000}"/>
    <cellStyle name="Normal 2 2 8 6 3" xfId="3927" xr:uid="{00000000-0005-0000-0000-0000C2180000}"/>
    <cellStyle name="Normal 2 2 8 6 3 2" xfId="4894" xr:uid="{00000000-0005-0000-0000-0000C3180000}"/>
    <cellStyle name="Normal 2 2 8 6 3 2 2" xfId="6569" xr:uid="{00000000-0005-0000-0000-0000C4180000}"/>
    <cellStyle name="Normal 2 2 8 6 3 2 2 2" xfId="9919" xr:uid="{00000000-0005-0000-0000-0000C5180000}"/>
    <cellStyle name="Normal 2 2 8 6 3 2 3" xfId="11594" xr:uid="{00000000-0005-0000-0000-0000C6180000}"/>
    <cellStyle name="Normal 2 2 8 6 3 2 4" xfId="8244" xr:uid="{00000000-0005-0000-0000-0000C7180000}"/>
    <cellStyle name="Normal 2 2 8 6 3 3" xfId="5602" xr:uid="{00000000-0005-0000-0000-0000C8180000}"/>
    <cellStyle name="Normal 2 2 8 6 3 3 2" xfId="8952" xr:uid="{00000000-0005-0000-0000-0000C9180000}"/>
    <cellStyle name="Normal 2 2 8 6 3 4" xfId="10627" xr:uid="{00000000-0005-0000-0000-0000CA180000}"/>
    <cellStyle name="Normal 2 2 8 6 3 5" xfId="7277" xr:uid="{00000000-0005-0000-0000-0000CB180000}"/>
    <cellStyle name="Normal 2 2 8 6 4" xfId="4163" xr:uid="{00000000-0005-0000-0000-0000CC180000}"/>
    <cellStyle name="Normal 2 2 8 6 4 2" xfId="5130" xr:uid="{00000000-0005-0000-0000-0000CD180000}"/>
    <cellStyle name="Normal 2 2 8 6 4 2 2" xfId="6805" xr:uid="{00000000-0005-0000-0000-0000CE180000}"/>
    <cellStyle name="Normal 2 2 8 6 4 2 2 2" xfId="10155" xr:uid="{00000000-0005-0000-0000-0000CF180000}"/>
    <cellStyle name="Normal 2 2 8 6 4 2 3" xfId="11830" xr:uid="{00000000-0005-0000-0000-0000D0180000}"/>
    <cellStyle name="Normal 2 2 8 6 4 2 4" xfId="8480" xr:uid="{00000000-0005-0000-0000-0000D1180000}"/>
    <cellStyle name="Normal 2 2 8 6 4 3" xfId="5838" xr:uid="{00000000-0005-0000-0000-0000D2180000}"/>
    <cellStyle name="Normal 2 2 8 6 4 3 2" xfId="9188" xr:uid="{00000000-0005-0000-0000-0000D3180000}"/>
    <cellStyle name="Normal 2 2 8 6 4 4" xfId="10863" xr:uid="{00000000-0005-0000-0000-0000D4180000}"/>
    <cellStyle name="Normal 2 2 8 6 4 5" xfId="7513" xr:uid="{00000000-0005-0000-0000-0000D5180000}"/>
    <cellStyle name="Normal 2 2 8 6 5" xfId="4399" xr:uid="{00000000-0005-0000-0000-0000D6180000}"/>
    <cellStyle name="Normal 2 2 8 6 5 2" xfId="6074" xr:uid="{00000000-0005-0000-0000-0000D7180000}"/>
    <cellStyle name="Normal 2 2 8 6 5 2 2" xfId="9424" xr:uid="{00000000-0005-0000-0000-0000D8180000}"/>
    <cellStyle name="Normal 2 2 8 6 5 3" xfId="11099" xr:uid="{00000000-0005-0000-0000-0000D9180000}"/>
    <cellStyle name="Normal 2 2 8 6 5 4" xfId="7749" xr:uid="{00000000-0005-0000-0000-0000DA180000}"/>
    <cellStyle name="Normal 2 2 8 6 6" xfId="4658" xr:uid="{00000000-0005-0000-0000-0000DB180000}"/>
    <cellStyle name="Normal 2 2 8 6 6 2" xfId="6333" xr:uid="{00000000-0005-0000-0000-0000DC180000}"/>
    <cellStyle name="Normal 2 2 8 6 6 2 2" xfId="9683" xr:uid="{00000000-0005-0000-0000-0000DD180000}"/>
    <cellStyle name="Normal 2 2 8 6 6 3" xfId="11358" xr:uid="{00000000-0005-0000-0000-0000DE180000}"/>
    <cellStyle name="Normal 2 2 8 6 6 4" xfId="8008" xr:uid="{00000000-0005-0000-0000-0000DF180000}"/>
    <cellStyle name="Normal 2 2 8 6 7" xfId="5366" xr:uid="{00000000-0005-0000-0000-0000E0180000}"/>
    <cellStyle name="Normal 2 2 8 6 7 2" xfId="8716" xr:uid="{00000000-0005-0000-0000-0000E1180000}"/>
    <cellStyle name="Normal 2 2 8 6 8" xfId="10391" xr:uid="{00000000-0005-0000-0000-0000E2180000}"/>
    <cellStyle name="Normal 2 2 8 6 9" xfId="7041" xr:uid="{00000000-0005-0000-0000-0000E3180000}"/>
    <cellStyle name="Normal 2 2 8 7" xfId="3715" xr:uid="{00000000-0005-0000-0000-0000E4180000}"/>
    <cellStyle name="Normal 2 2 8 7 2" xfId="3833" xr:uid="{00000000-0005-0000-0000-0000E5180000}"/>
    <cellStyle name="Normal 2 2 8 7 2 2" xfId="4069" xr:uid="{00000000-0005-0000-0000-0000E6180000}"/>
    <cellStyle name="Normal 2 2 8 7 2 2 2" xfId="5036" xr:uid="{00000000-0005-0000-0000-0000E7180000}"/>
    <cellStyle name="Normal 2 2 8 7 2 2 2 2" xfId="6711" xr:uid="{00000000-0005-0000-0000-0000E8180000}"/>
    <cellStyle name="Normal 2 2 8 7 2 2 2 2 2" xfId="10061" xr:uid="{00000000-0005-0000-0000-0000E9180000}"/>
    <cellStyle name="Normal 2 2 8 7 2 2 2 3" xfId="11736" xr:uid="{00000000-0005-0000-0000-0000EA180000}"/>
    <cellStyle name="Normal 2 2 8 7 2 2 2 4" xfId="8386" xr:uid="{00000000-0005-0000-0000-0000EB180000}"/>
    <cellStyle name="Normal 2 2 8 7 2 2 3" xfId="5744" xr:uid="{00000000-0005-0000-0000-0000EC180000}"/>
    <cellStyle name="Normal 2 2 8 7 2 2 3 2" xfId="9094" xr:uid="{00000000-0005-0000-0000-0000ED180000}"/>
    <cellStyle name="Normal 2 2 8 7 2 2 4" xfId="10769" xr:uid="{00000000-0005-0000-0000-0000EE180000}"/>
    <cellStyle name="Normal 2 2 8 7 2 2 5" xfId="7419" xr:uid="{00000000-0005-0000-0000-0000EF180000}"/>
    <cellStyle name="Normal 2 2 8 7 2 3" xfId="4305" xr:uid="{00000000-0005-0000-0000-0000F0180000}"/>
    <cellStyle name="Normal 2 2 8 7 2 3 2" xfId="5272" xr:uid="{00000000-0005-0000-0000-0000F1180000}"/>
    <cellStyle name="Normal 2 2 8 7 2 3 2 2" xfId="6947" xr:uid="{00000000-0005-0000-0000-0000F2180000}"/>
    <cellStyle name="Normal 2 2 8 7 2 3 2 2 2" xfId="10297" xr:uid="{00000000-0005-0000-0000-0000F3180000}"/>
    <cellStyle name="Normal 2 2 8 7 2 3 2 3" xfId="11972" xr:uid="{00000000-0005-0000-0000-0000F4180000}"/>
    <cellStyle name="Normal 2 2 8 7 2 3 2 4" xfId="8622" xr:uid="{00000000-0005-0000-0000-0000F5180000}"/>
    <cellStyle name="Normal 2 2 8 7 2 3 3" xfId="5980" xr:uid="{00000000-0005-0000-0000-0000F6180000}"/>
    <cellStyle name="Normal 2 2 8 7 2 3 3 2" xfId="9330" xr:uid="{00000000-0005-0000-0000-0000F7180000}"/>
    <cellStyle name="Normal 2 2 8 7 2 3 4" xfId="11005" xr:uid="{00000000-0005-0000-0000-0000F8180000}"/>
    <cellStyle name="Normal 2 2 8 7 2 3 5" xfId="7655" xr:uid="{00000000-0005-0000-0000-0000F9180000}"/>
    <cellStyle name="Normal 2 2 8 7 2 4" xfId="4541" xr:uid="{00000000-0005-0000-0000-0000FA180000}"/>
    <cellStyle name="Normal 2 2 8 7 2 4 2" xfId="6216" xr:uid="{00000000-0005-0000-0000-0000FB180000}"/>
    <cellStyle name="Normal 2 2 8 7 2 4 2 2" xfId="9566" xr:uid="{00000000-0005-0000-0000-0000FC180000}"/>
    <cellStyle name="Normal 2 2 8 7 2 4 3" xfId="11241" xr:uid="{00000000-0005-0000-0000-0000FD180000}"/>
    <cellStyle name="Normal 2 2 8 7 2 4 4" xfId="7891" xr:uid="{00000000-0005-0000-0000-0000FE180000}"/>
    <cellStyle name="Normal 2 2 8 7 2 5" xfId="4800" xr:uid="{00000000-0005-0000-0000-0000FF180000}"/>
    <cellStyle name="Normal 2 2 8 7 2 5 2" xfId="6475" xr:uid="{00000000-0005-0000-0000-000000190000}"/>
    <cellStyle name="Normal 2 2 8 7 2 5 2 2" xfId="9825" xr:uid="{00000000-0005-0000-0000-000001190000}"/>
    <cellStyle name="Normal 2 2 8 7 2 5 3" xfId="11500" xr:uid="{00000000-0005-0000-0000-000002190000}"/>
    <cellStyle name="Normal 2 2 8 7 2 5 4" xfId="8150" xr:uid="{00000000-0005-0000-0000-000003190000}"/>
    <cellStyle name="Normal 2 2 8 7 2 6" xfId="5508" xr:uid="{00000000-0005-0000-0000-000004190000}"/>
    <cellStyle name="Normal 2 2 8 7 2 6 2" xfId="8858" xr:uid="{00000000-0005-0000-0000-000005190000}"/>
    <cellStyle name="Normal 2 2 8 7 2 7" xfId="10533" xr:uid="{00000000-0005-0000-0000-000006190000}"/>
    <cellStyle name="Normal 2 2 8 7 2 8" xfId="7183" xr:uid="{00000000-0005-0000-0000-000007190000}"/>
    <cellStyle name="Normal 2 2 8 7 3" xfId="3951" xr:uid="{00000000-0005-0000-0000-000008190000}"/>
    <cellStyle name="Normal 2 2 8 7 3 2" xfId="4918" xr:uid="{00000000-0005-0000-0000-000009190000}"/>
    <cellStyle name="Normal 2 2 8 7 3 2 2" xfId="6593" xr:uid="{00000000-0005-0000-0000-00000A190000}"/>
    <cellStyle name="Normal 2 2 8 7 3 2 2 2" xfId="9943" xr:uid="{00000000-0005-0000-0000-00000B190000}"/>
    <cellStyle name="Normal 2 2 8 7 3 2 3" xfId="11618" xr:uid="{00000000-0005-0000-0000-00000C190000}"/>
    <cellStyle name="Normal 2 2 8 7 3 2 4" xfId="8268" xr:uid="{00000000-0005-0000-0000-00000D190000}"/>
    <cellStyle name="Normal 2 2 8 7 3 3" xfId="5626" xr:uid="{00000000-0005-0000-0000-00000E190000}"/>
    <cellStyle name="Normal 2 2 8 7 3 3 2" xfId="8976" xr:uid="{00000000-0005-0000-0000-00000F190000}"/>
    <cellStyle name="Normal 2 2 8 7 3 4" xfId="10651" xr:uid="{00000000-0005-0000-0000-000010190000}"/>
    <cellStyle name="Normal 2 2 8 7 3 5" xfId="7301" xr:uid="{00000000-0005-0000-0000-000011190000}"/>
    <cellStyle name="Normal 2 2 8 7 4" xfId="4187" xr:uid="{00000000-0005-0000-0000-000012190000}"/>
    <cellStyle name="Normal 2 2 8 7 4 2" xfId="5154" xr:uid="{00000000-0005-0000-0000-000013190000}"/>
    <cellStyle name="Normal 2 2 8 7 4 2 2" xfId="6829" xr:uid="{00000000-0005-0000-0000-000014190000}"/>
    <cellStyle name="Normal 2 2 8 7 4 2 2 2" xfId="10179" xr:uid="{00000000-0005-0000-0000-000015190000}"/>
    <cellStyle name="Normal 2 2 8 7 4 2 3" xfId="11854" xr:uid="{00000000-0005-0000-0000-000016190000}"/>
    <cellStyle name="Normal 2 2 8 7 4 2 4" xfId="8504" xr:uid="{00000000-0005-0000-0000-000017190000}"/>
    <cellStyle name="Normal 2 2 8 7 4 3" xfId="5862" xr:uid="{00000000-0005-0000-0000-000018190000}"/>
    <cellStyle name="Normal 2 2 8 7 4 3 2" xfId="9212" xr:uid="{00000000-0005-0000-0000-000019190000}"/>
    <cellStyle name="Normal 2 2 8 7 4 4" xfId="10887" xr:uid="{00000000-0005-0000-0000-00001A190000}"/>
    <cellStyle name="Normal 2 2 8 7 4 5" xfId="7537" xr:uid="{00000000-0005-0000-0000-00001B190000}"/>
    <cellStyle name="Normal 2 2 8 7 5" xfId="4423" xr:uid="{00000000-0005-0000-0000-00001C190000}"/>
    <cellStyle name="Normal 2 2 8 7 5 2" xfId="6098" xr:uid="{00000000-0005-0000-0000-00001D190000}"/>
    <cellStyle name="Normal 2 2 8 7 5 2 2" xfId="9448" xr:uid="{00000000-0005-0000-0000-00001E190000}"/>
    <cellStyle name="Normal 2 2 8 7 5 3" xfId="11123" xr:uid="{00000000-0005-0000-0000-00001F190000}"/>
    <cellStyle name="Normal 2 2 8 7 5 4" xfId="7773" xr:uid="{00000000-0005-0000-0000-000020190000}"/>
    <cellStyle name="Normal 2 2 8 7 6" xfId="4682" xr:uid="{00000000-0005-0000-0000-000021190000}"/>
    <cellStyle name="Normal 2 2 8 7 6 2" xfId="6357" xr:uid="{00000000-0005-0000-0000-000022190000}"/>
    <cellStyle name="Normal 2 2 8 7 6 2 2" xfId="9707" xr:uid="{00000000-0005-0000-0000-000023190000}"/>
    <cellStyle name="Normal 2 2 8 7 6 3" xfId="11382" xr:uid="{00000000-0005-0000-0000-000024190000}"/>
    <cellStyle name="Normal 2 2 8 7 6 4" xfId="8032" xr:uid="{00000000-0005-0000-0000-000025190000}"/>
    <cellStyle name="Normal 2 2 8 7 7" xfId="5390" xr:uid="{00000000-0005-0000-0000-000026190000}"/>
    <cellStyle name="Normal 2 2 8 7 7 2" xfId="8740" xr:uid="{00000000-0005-0000-0000-000027190000}"/>
    <cellStyle name="Normal 2 2 8 7 8" xfId="10415" xr:uid="{00000000-0005-0000-0000-000028190000}"/>
    <cellStyle name="Normal 2 2 8 7 9" xfId="7065" xr:uid="{00000000-0005-0000-0000-000029190000}"/>
    <cellStyle name="Normal 2 2 8 8" xfId="3739" xr:uid="{00000000-0005-0000-0000-00002A190000}"/>
    <cellStyle name="Normal 2 2 8 8 2" xfId="3975" xr:uid="{00000000-0005-0000-0000-00002B190000}"/>
    <cellStyle name="Normal 2 2 8 8 2 2" xfId="4942" xr:uid="{00000000-0005-0000-0000-00002C190000}"/>
    <cellStyle name="Normal 2 2 8 8 2 2 2" xfId="6617" xr:uid="{00000000-0005-0000-0000-00002D190000}"/>
    <cellStyle name="Normal 2 2 8 8 2 2 2 2" xfId="9967" xr:uid="{00000000-0005-0000-0000-00002E190000}"/>
    <cellStyle name="Normal 2 2 8 8 2 2 3" xfId="11642" xr:uid="{00000000-0005-0000-0000-00002F190000}"/>
    <cellStyle name="Normal 2 2 8 8 2 2 4" xfId="8292" xr:uid="{00000000-0005-0000-0000-000030190000}"/>
    <cellStyle name="Normal 2 2 8 8 2 3" xfId="5650" xr:uid="{00000000-0005-0000-0000-000031190000}"/>
    <cellStyle name="Normal 2 2 8 8 2 3 2" xfId="9000" xr:uid="{00000000-0005-0000-0000-000032190000}"/>
    <cellStyle name="Normal 2 2 8 8 2 4" xfId="10675" xr:uid="{00000000-0005-0000-0000-000033190000}"/>
    <cellStyle name="Normal 2 2 8 8 2 5" xfId="7325" xr:uid="{00000000-0005-0000-0000-000034190000}"/>
    <cellStyle name="Normal 2 2 8 8 3" xfId="4211" xr:uid="{00000000-0005-0000-0000-000035190000}"/>
    <cellStyle name="Normal 2 2 8 8 3 2" xfId="5178" xr:uid="{00000000-0005-0000-0000-000036190000}"/>
    <cellStyle name="Normal 2 2 8 8 3 2 2" xfId="6853" xr:uid="{00000000-0005-0000-0000-000037190000}"/>
    <cellStyle name="Normal 2 2 8 8 3 2 2 2" xfId="10203" xr:uid="{00000000-0005-0000-0000-000038190000}"/>
    <cellStyle name="Normal 2 2 8 8 3 2 3" xfId="11878" xr:uid="{00000000-0005-0000-0000-000039190000}"/>
    <cellStyle name="Normal 2 2 8 8 3 2 4" xfId="8528" xr:uid="{00000000-0005-0000-0000-00003A190000}"/>
    <cellStyle name="Normal 2 2 8 8 3 3" xfId="5886" xr:uid="{00000000-0005-0000-0000-00003B190000}"/>
    <cellStyle name="Normal 2 2 8 8 3 3 2" xfId="9236" xr:uid="{00000000-0005-0000-0000-00003C190000}"/>
    <cellStyle name="Normal 2 2 8 8 3 4" xfId="10911" xr:uid="{00000000-0005-0000-0000-00003D190000}"/>
    <cellStyle name="Normal 2 2 8 8 3 5" xfId="7561" xr:uid="{00000000-0005-0000-0000-00003E190000}"/>
    <cellStyle name="Normal 2 2 8 8 4" xfId="4447" xr:uid="{00000000-0005-0000-0000-00003F190000}"/>
    <cellStyle name="Normal 2 2 8 8 4 2" xfId="6122" xr:uid="{00000000-0005-0000-0000-000040190000}"/>
    <cellStyle name="Normal 2 2 8 8 4 2 2" xfId="9472" xr:uid="{00000000-0005-0000-0000-000041190000}"/>
    <cellStyle name="Normal 2 2 8 8 4 3" xfId="11147" xr:uid="{00000000-0005-0000-0000-000042190000}"/>
    <cellStyle name="Normal 2 2 8 8 4 4" xfId="7797" xr:uid="{00000000-0005-0000-0000-000043190000}"/>
    <cellStyle name="Normal 2 2 8 8 5" xfId="4706" xr:uid="{00000000-0005-0000-0000-000044190000}"/>
    <cellStyle name="Normal 2 2 8 8 5 2" xfId="6381" xr:uid="{00000000-0005-0000-0000-000045190000}"/>
    <cellStyle name="Normal 2 2 8 8 5 2 2" xfId="9731" xr:uid="{00000000-0005-0000-0000-000046190000}"/>
    <cellStyle name="Normal 2 2 8 8 5 3" xfId="11406" xr:uid="{00000000-0005-0000-0000-000047190000}"/>
    <cellStyle name="Normal 2 2 8 8 5 4" xfId="8056" xr:uid="{00000000-0005-0000-0000-000048190000}"/>
    <cellStyle name="Normal 2 2 8 8 6" xfId="5414" xr:uid="{00000000-0005-0000-0000-000049190000}"/>
    <cellStyle name="Normal 2 2 8 8 6 2" xfId="8764" xr:uid="{00000000-0005-0000-0000-00004A190000}"/>
    <cellStyle name="Normal 2 2 8 8 7" xfId="10439" xr:uid="{00000000-0005-0000-0000-00004B190000}"/>
    <cellStyle name="Normal 2 2 8 8 8" xfId="7089" xr:uid="{00000000-0005-0000-0000-00004C190000}"/>
    <cellStyle name="Normal 2 2 8 9" xfId="3857" xr:uid="{00000000-0005-0000-0000-00004D190000}"/>
    <cellStyle name="Normal 2 2 8 9 2" xfId="4824" xr:uid="{00000000-0005-0000-0000-00004E190000}"/>
    <cellStyle name="Normal 2 2 8 9 2 2" xfId="6499" xr:uid="{00000000-0005-0000-0000-00004F190000}"/>
    <cellStyle name="Normal 2 2 8 9 2 2 2" xfId="9849" xr:uid="{00000000-0005-0000-0000-000050190000}"/>
    <cellStyle name="Normal 2 2 8 9 2 3" xfId="11524" xr:uid="{00000000-0005-0000-0000-000051190000}"/>
    <cellStyle name="Normal 2 2 8 9 2 4" xfId="8174" xr:uid="{00000000-0005-0000-0000-000052190000}"/>
    <cellStyle name="Normal 2 2 8 9 3" xfId="5532" xr:uid="{00000000-0005-0000-0000-000053190000}"/>
    <cellStyle name="Normal 2 2 8 9 3 2" xfId="8882" xr:uid="{00000000-0005-0000-0000-000054190000}"/>
    <cellStyle name="Normal 2 2 8 9 4" xfId="10557" xr:uid="{00000000-0005-0000-0000-000055190000}"/>
    <cellStyle name="Normal 2 2 8 9 5" xfId="7207" xr:uid="{00000000-0005-0000-0000-000056190000}"/>
    <cellStyle name="Normal 2 2 9" xfId="2670" xr:uid="{00000000-0005-0000-0000-00006E0A0000}"/>
    <cellStyle name="Normal 2 20" xfId="3657" xr:uid="{00000000-0005-0000-0000-000058190000}"/>
    <cellStyle name="Normal 2 20 2" xfId="3775" xr:uid="{00000000-0005-0000-0000-000059190000}"/>
    <cellStyle name="Normal 2 20 2 2" xfId="4011" xr:uid="{00000000-0005-0000-0000-00005A190000}"/>
    <cellStyle name="Normal 2 20 2 2 2" xfId="4978" xr:uid="{00000000-0005-0000-0000-00005B190000}"/>
    <cellStyle name="Normal 2 20 2 2 2 2" xfId="6653" xr:uid="{00000000-0005-0000-0000-00005C190000}"/>
    <cellStyle name="Normal 2 20 2 2 2 2 2" xfId="10003" xr:uid="{00000000-0005-0000-0000-00005D190000}"/>
    <cellStyle name="Normal 2 20 2 2 2 3" xfId="11678" xr:uid="{00000000-0005-0000-0000-00005E190000}"/>
    <cellStyle name="Normal 2 20 2 2 2 4" xfId="8328" xr:uid="{00000000-0005-0000-0000-00005F190000}"/>
    <cellStyle name="Normal 2 20 2 2 3" xfId="5686" xr:uid="{00000000-0005-0000-0000-000060190000}"/>
    <cellStyle name="Normal 2 20 2 2 3 2" xfId="9036" xr:uid="{00000000-0005-0000-0000-000061190000}"/>
    <cellStyle name="Normal 2 20 2 2 4" xfId="10711" xr:uid="{00000000-0005-0000-0000-000062190000}"/>
    <cellStyle name="Normal 2 20 2 2 5" xfId="7361" xr:uid="{00000000-0005-0000-0000-000063190000}"/>
    <cellStyle name="Normal 2 20 2 3" xfId="4247" xr:uid="{00000000-0005-0000-0000-000064190000}"/>
    <cellStyle name="Normal 2 20 2 3 2" xfId="5214" xr:uid="{00000000-0005-0000-0000-000065190000}"/>
    <cellStyle name="Normal 2 20 2 3 2 2" xfId="6889" xr:uid="{00000000-0005-0000-0000-000066190000}"/>
    <cellStyle name="Normal 2 20 2 3 2 2 2" xfId="10239" xr:uid="{00000000-0005-0000-0000-000067190000}"/>
    <cellStyle name="Normal 2 20 2 3 2 3" xfId="11914" xr:uid="{00000000-0005-0000-0000-000068190000}"/>
    <cellStyle name="Normal 2 20 2 3 2 4" xfId="8564" xr:uid="{00000000-0005-0000-0000-000069190000}"/>
    <cellStyle name="Normal 2 20 2 3 3" xfId="5922" xr:uid="{00000000-0005-0000-0000-00006A190000}"/>
    <cellStyle name="Normal 2 20 2 3 3 2" xfId="9272" xr:uid="{00000000-0005-0000-0000-00006B190000}"/>
    <cellStyle name="Normal 2 20 2 3 4" xfId="10947" xr:uid="{00000000-0005-0000-0000-00006C190000}"/>
    <cellStyle name="Normal 2 20 2 3 5" xfId="7597" xr:uid="{00000000-0005-0000-0000-00006D190000}"/>
    <cellStyle name="Normal 2 20 2 4" xfId="4483" xr:uid="{00000000-0005-0000-0000-00006E190000}"/>
    <cellStyle name="Normal 2 20 2 4 2" xfId="6158" xr:uid="{00000000-0005-0000-0000-00006F190000}"/>
    <cellStyle name="Normal 2 20 2 4 2 2" xfId="9508" xr:uid="{00000000-0005-0000-0000-000070190000}"/>
    <cellStyle name="Normal 2 20 2 4 3" xfId="11183" xr:uid="{00000000-0005-0000-0000-000071190000}"/>
    <cellStyle name="Normal 2 20 2 4 4" xfId="7833" xr:uid="{00000000-0005-0000-0000-000072190000}"/>
    <cellStyle name="Normal 2 20 2 5" xfId="4742" xr:uid="{00000000-0005-0000-0000-000073190000}"/>
    <cellStyle name="Normal 2 20 2 5 2" xfId="6417" xr:uid="{00000000-0005-0000-0000-000074190000}"/>
    <cellStyle name="Normal 2 20 2 5 2 2" xfId="9767" xr:uid="{00000000-0005-0000-0000-000075190000}"/>
    <cellStyle name="Normal 2 20 2 5 3" xfId="11442" xr:uid="{00000000-0005-0000-0000-000076190000}"/>
    <cellStyle name="Normal 2 20 2 5 4" xfId="8092" xr:uid="{00000000-0005-0000-0000-000077190000}"/>
    <cellStyle name="Normal 2 20 2 6" xfId="5450" xr:uid="{00000000-0005-0000-0000-000078190000}"/>
    <cellStyle name="Normal 2 20 2 6 2" xfId="8800" xr:uid="{00000000-0005-0000-0000-000079190000}"/>
    <cellStyle name="Normal 2 20 2 7" xfId="10475" xr:uid="{00000000-0005-0000-0000-00007A190000}"/>
    <cellStyle name="Normal 2 20 2 8" xfId="7125" xr:uid="{00000000-0005-0000-0000-00007B190000}"/>
    <cellStyle name="Normal 2 20 3" xfId="3893" xr:uid="{00000000-0005-0000-0000-00007C190000}"/>
    <cellStyle name="Normal 2 20 3 2" xfId="4860" xr:uid="{00000000-0005-0000-0000-00007D190000}"/>
    <cellStyle name="Normal 2 20 3 2 2" xfId="6535" xr:uid="{00000000-0005-0000-0000-00007E190000}"/>
    <cellStyle name="Normal 2 20 3 2 2 2" xfId="9885" xr:uid="{00000000-0005-0000-0000-00007F190000}"/>
    <cellStyle name="Normal 2 20 3 2 3" xfId="11560" xr:uid="{00000000-0005-0000-0000-000080190000}"/>
    <cellStyle name="Normal 2 20 3 2 4" xfId="8210" xr:uid="{00000000-0005-0000-0000-000081190000}"/>
    <cellStyle name="Normal 2 20 3 3" xfId="5568" xr:uid="{00000000-0005-0000-0000-000082190000}"/>
    <cellStyle name="Normal 2 20 3 3 2" xfId="8918" xr:uid="{00000000-0005-0000-0000-000083190000}"/>
    <cellStyle name="Normal 2 20 3 4" xfId="10593" xr:uid="{00000000-0005-0000-0000-000084190000}"/>
    <cellStyle name="Normal 2 20 3 5" xfId="7243" xr:uid="{00000000-0005-0000-0000-000085190000}"/>
    <cellStyle name="Normal 2 20 4" xfId="4129" xr:uid="{00000000-0005-0000-0000-000086190000}"/>
    <cellStyle name="Normal 2 20 4 2" xfId="5096" xr:uid="{00000000-0005-0000-0000-000087190000}"/>
    <cellStyle name="Normal 2 20 4 2 2" xfId="6771" xr:uid="{00000000-0005-0000-0000-000088190000}"/>
    <cellStyle name="Normal 2 20 4 2 2 2" xfId="10121" xr:uid="{00000000-0005-0000-0000-000089190000}"/>
    <cellStyle name="Normal 2 20 4 2 3" xfId="11796" xr:uid="{00000000-0005-0000-0000-00008A190000}"/>
    <cellStyle name="Normal 2 20 4 2 4" xfId="8446" xr:uid="{00000000-0005-0000-0000-00008B190000}"/>
    <cellStyle name="Normal 2 20 4 3" xfId="5804" xr:uid="{00000000-0005-0000-0000-00008C190000}"/>
    <cellStyle name="Normal 2 20 4 3 2" xfId="9154" xr:uid="{00000000-0005-0000-0000-00008D190000}"/>
    <cellStyle name="Normal 2 20 4 4" xfId="10829" xr:uid="{00000000-0005-0000-0000-00008E190000}"/>
    <cellStyle name="Normal 2 20 4 5" xfId="7479" xr:uid="{00000000-0005-0000-0000-00008F190000}"/>
    <cellStyle name="Normal 2 20 5" xfId="4365" xr:uid="{00000000-0005-0000-0000-000090190000}"/>
    <cellStyle name="Normal 2 20 5 2" xfId="6040" xr:uid="{00000000-0005-0000-0000-000091190000}"/>
    <cellStyle name="Normal 2 20 5 2 2" xfId="9390" xr:uid="{00000000-0005-0000-0000-000092190000}"/>
    <cellStyle name="Normal 2 20 5 3" xfId="11065" xr:uid="{00000000-0005-0000-0000-000093190000}"/>
    <cellStyle name="Normal 2 20 5 4" xfId="7715" xr:uid="{00000000-0005-0000-0000-000094190000}"/>
    <cellStyle name="Normal 2 20 6" xfId="4624" xr:uid="{00000000-0005-0000-0000-000095190000}"/>
    <cellStyle name="Normal 2 20 6 2" xfId="6299" xr:uid="{00000000-0005-0000-0000-000096190000}"/>
    <cellStyle name="Normal 2 20 6 2 2" xfId="9649" xr:uid="{00000000-0005-0000-0000-000097190000}"/>
    <cellStyle name="Normal 2 20 6 3" xfId="11324" xr:uid="{00000000-0005-0000-0000-000098190000}"/>
    <cellStyle name="Normal 2 20 6 4" xfId="7974" xr:uid="{00000000-0005-0000-0000-000099190000}"/>
    <cellStyle name="Normal 2 20 7" xfId="5332" xr:uid="{00000000-0005-0000-0000-00009A190000}"/>
    <cellStyle name="Normal 2 20 7 2" xfId="8682" xr:uid="{00000000-0005-0000-0000-00009B190000}"/>
    <cellStyle name="Normal 2 20 8" xfId="10357" xr:uid="{00000000-0005-0000-0000-00009C190000}"/>
    <cellStyle name="Normal 2 20 9" xfId="7007" xr:uid="{00000000-0005-0000-0000-00009D190000}"/>
    <cellStyle name="Normal 2 21" xfId="3681" xr:uid="{00000000-0005-0000-0000-00009E190000}"/>
    <cellStyle name="Normal 2 21 2" xfId="3799" xr:uid="{00000000-0005-0000-0000-00009F190000}"/>
    <cellStyle name="Normal 2 21 2 2" xfId="4035" xr:uid="{00000000-0005-0000-0000-0000A0190000}"/>
    <cellStyle name="Normal 2 21 2 2 2" xfId="5002" xr:uid="{00000000-0005-0000-0000-0000A1190000}"/>
    <cellStyle name="Normal 2 21 2 2 2 2" xfId="6677" xr:uid="{00000000-0005-0000-0000-0000A2190000}"/>
    <cellStyle name="Normal 2 21 2 2 2 2 2" xfId="10027" xr:uid="{00000000-0005-0000-0000-0000A3190000}"/>
    <cellStyle name="Normal 2 21 2 2 2 3" xfId="11702" xr:uid="{00000000-0005-0000-0000-0000A4190000}"/>
    <cellStyle name="Normal 2 21 2 2 2 4" xfId="8352" xr:uid="{00000000-0005-0000-0000-0000A5190000}"/>
    <cellStyle name="Normal 2 21 2 2 3" xfId="5710" xr:uid="{00000000-0005-0000-0000-0000A6190000}"/>
    <cellStyle name="Normal 2 21 2 2 3 2" xfId="9060" xr:uid="{00000000-0005-0000-0000-0000A7190000}"/>
    <cellStyle name="Normal 2 21 2 2 4" xfId="10735" xr:uid="{00000000-0005-0000-0000-0000A8190000}"/>
    <cellStyle name="Normal 2 21 2 2 5" xfId="7385" xr:uid="{00000000-0005-0000-0000-0000A9190000}"/>
    <cellStyle name="Normal 2 21 2 3" xfId="4271" xr:uid="{00000000-0005-0000-0000-0000AA190000}"/>
    <cellStyle name="Normal 2 21 2 3 2" xfId="5238" xr:uid="{00000000-0005-0000-0000-0000AB190000}"/>
    <cellStyle name="Normal 2 21 2 3 2 2" xfId="6913" xr:uid="{00000000-0005-0000-0000-0000AC190000}"/>
    <cellStyle name="Normal 2 21 2 3 2 2 2" xfId="10263" xr:uid="{00000000-0005-0000-0000-0000AD190000}"/>
    <cellStyle name="Normal 2 21 2 3 2 3" xfId="11938" xr:uid="{00000000-0005-0000-0000-0000AE190000}"/>
    <cellStyle name="Normal 2 21 2 3 2 4" xfId="8588" xr:uid="{00000000-0005-0000-0000-0000AF190000}"/>
    <cellStyle name="Normal 2 21 2 3 3" xfId="5946" xr:uid="{00000000-0005-0000-0000-0000B0190000}"/>
    <cellStyle name="Normal 2 21 2 3 3 2" xfId="9296" xr:uid="{00000000-0005-0000-0000-0000B1190000}"/>
    <cellStyle name="Normal 2 21 2 3 4" xfId="10971" xr:uid="{00000000-0005-0000-0000-0000B2190000}"/>
    <cellStyle name="Normal 2 21 2 3 5" xfId="7621" xr:uid="{00000000-0005-0000-0000-0000B3190000}"/>
    <cellStyle name="Normal 2 21 2 4" xfId="4507" xr:uid="{00000000-0005-0000-0000-0000B4190000}"/>
    <cellStyle name="Normal 2 21 2 4 2" xfId="6182" xr:uid="{00000000-0005-0000-0000-0000B5190000}"/>
    <cellStyle name="Normal 2 21 2 4 2 2" xfId="9532" xr:uid="{00000000-0005-0000-0000-0000B6190000}"/>
    <cellStyle name="Normal 2 21 2 4 3" xfId="11207" xr:uid="{00000000-0005-0000-0000-0000B7190000}"/>
    <cellStyle name="Normal 2 21 2 4 4" xfId="7857" xr:uid="{00000000-0005-0000-0000-0000B8190000}"/>
    <cellStyle name="Normal 2 21 2 5" xfId="4766" xr:uid="{00000000-0005-0000-0000-0000B9190000}"/>
    <cellStyle name="Normal 2 21 2 5 2" xfId="6441" xr:uid="{00000000-0005-0000-0000-0000BA190000}"/>
    <cellStyle name="Normal 2 21 2 5 2 2" xfId="9791" xr:uid="{00000000-0005-0000-0000-0000BB190000}"/>
    <cellStyle name="Normal 2 21 2 5 3" xfId="11466" xr:uid="{00000000-0005-0000-0000-0000BC190000}"/>
    <cellStyle name="Normal 2 21 2 5 4" xfId="8116" xr:uid="{00000000-0005-0000-0000-0000BD190000}"/>
    <cellStyle name="Normal 2 21 2 6" xfId="5474" xr:uid="{00000000-0005-0000-0000-0000BE190000}"/>
    <cellStyle name="Normal 2 21 2 6 2" xfId="8824" xr:uid="{00000000-0005-0000-0000-0000BF190000}"/>
    <cellStyle name="Normal 2 21 2 7" xfId="10499" xr:uid="{00000000-0005-0000-0000-0000C0190000}"/>
    <cellStyle name="Normal 2 21 2 8" xfId="7149" xr:uid="{00000000-0005-0000-0000-0000C1190000}"/>
    <cellStyle name="Normal 2 21 3" xfId="3917" xr:uid="{00000000-0005-0000-0000-0000C2190000}"/>
    <cellStyle name="Normal 2 21 3 2" xfId="4884" xr:uid="{00000000-0005-0000-0000-0000C3190000}"/>
    <cellStyle name="Normal 2 21 3 2 2" xfId="6559" xr:uid="{00000000-0005-0000-0000-0000C4190000}"/>
    <cellStyle name="Normal 2 21 3 2 2 2" xfId="9909" xr:uid="{00000000-0005-0000-0000-0000C5190000}"/>
    <cellStyle name="Normal 2 21 3 2 3" xfId="11584" xr:uid="{00000000-0005-0000-0000-0000C6190000}"/>
    <cellStyle name="Normal 2 21 3 2 4" xfId="8234" xr:uid="{00000000-0005-0000-0000-0000C7190000}"/>
    <cellStyle name="Normal 2 21 3 3" xfId="5592" xr:uid="{00000000-0005-0000-0000-0000C8190000}"/>
    <cellStyle name="Normal 2 21 3 3 2" xfId="8942" xr:uid="{00000000-0005-0000-0000-0000C9190000}"/>
    <cellStyle name="Normal 2 21 3 4" xfId="10617" xr:uid="{00000000-0005-0000-0000-0000CA190000}"/>
    <cellStyle name="Normal 2 21 3 5" xfId="7267" xr:uid="{00000000-0005-0000-0000-0000CB190000}"/>
    <cellStyle name="Normal 2 21 4" xfId="4153" xr:uid="{00000000-0005-0000-0000-0000CC190000}"/>
    <cellStyle name="Normal 2 21 4 2" xfId="5120" xr:uid="{00000000-0005-0000-0000-0000CD190000}"/>
    <cellStyle name="Normal 2 21 4 2 2" xfId="6795" xr:uid="{00000000-0005-0000-0000-0000CE190000}"/>
    <cellStyle name="Normal 2 21 4 2 2 2" xfId="10145" xr:uid="{00000000-0005-0000-0000-0000CF190000}"/>
    <cellStyle name="Normal 2 21 4 2 3" xfId="11820" xr:uid="{00000000-0005-0000-0000-0000D0190000}"/>
    <cellStyle name="Normal 2 21 4 2 4" xfId="8470" xr:uid="{00000000-0005-0000-0000-0000D1190000}"/>
    <cellStyle name="Normal 2 21 4 3" xfId="5828" xr:uid="{00000000-0005-0000-0000-0000D2190000}"/>
    <cellStyle name="Normal 2 21 4 3 2" xfId="9178" xr:uid="{00000000-0005-0000-0000-0000D3190000}"/>
    <cellStyle name="Normal 2 21 4 4" xfId="10853" xr:uid="{00000000-0005-0000-0000-0000D4190000}"/>
    <cellStyle name="Normal 2 21 4 5" xfId="7503" xr:uid="{00000000-0005-0000-0000-0000D5190000}"/>
    <cellStyle name="Normal 2 21 5" xfId="4389" xr:uid="{00000000-0005-0000-0000-0000D6190000}"/>
    <cellStyle name="Normal 2 21 5 2" xfId="6064" xr:uid="{00000000-0005-0000-0000-0000D7190000}"/>
    <cellStyle name="Normal 2 21 5 2 2" xfId="9414" xr:uid="{00000000-0005-0000-0000-0000D8190000}"/>
    <cellStyle name="Normal 2 21 5 3" xfId="11089" xr:uid="{00000000-0005-0000-0000-0000D9190000}"/>
    <cellStyle name="Normal 2 21 5 4" xfId="7739" xr:uid="{00000000-0005-0000-0000-0000DA190000}"/>
    <cellStyle name="Normal 2 21 6" xfId="4648" xr:uid="{00000000-0005-0000-0000-0000DB190000}"/>
    <cellStyle name="Normal 2 21 6 2" xfId="6323" xr:uid="{00000000-0005-0000-0000-0000DC190000}"/>
    <cellStyle name="Normal 2 21 6 2 2" xfId="9673" xr:uid="{00000000-0005-0000-0000-0000DD190000}"/>
    <cellStyle name="Normal 2 21 6 3" xfId="11348" xr:uid="{00000000-0005-0000-0000-0000DE190000}"/>
    <cellStyle name="Normal 2 21 6 4" xfId="7998" xr:uid="{00000000-0005-0000-0000-0000DF190000}"/>
    <cellStyle name="Normal 2 21 7" xfId="5356" xr:uid="{00000000-0005-0000-0000-0000E0190000}"/>
    <cellStyle name="Normal 2 21 7 2" xfId="8706" xr:uid="{00000000-0005-0000-0000-0000E1190000}"/>
    <cellStyle name="Normal 2 21 8" xfId="10381" xr:uid="{00000000-0005-0000-0000-0000E2190000}"/>
    <cellStyle name="Normal 2 21 9" xfId="7031" xr:uid="{00000000-0005-0000-0000-0000E3190000}"/>
    <cellStyle name="Normal 2 22" xfId="3705" xr:uid="{00000000-0005-0000-0000-0000E4190000}"/>
    <cellStyle name="Normal 2 22 2" xfId="3823" xr:uid="{00000000-0005-0000-0000-0000E5190000}"/>
    <cellStyle name="Normal 2 22 2 2" xfId="4059" xr:uid="{00000000-0005-0000-0000-0000E6190000}"/>
    <cellStyle name="Normal 2 22 2 2 2" xfId="5026" xr:uid="{00000000-0005-0000-0000-0000E7190000}"/>
    <cellStyle name="Normal 2 22 2 2 2 2" xfId="6701" xr:uid="{00000000-0005-0000-0000-0000E8190000}"/>
    <cellStyle name="Normal 2 22 2 2 2 2 2" xfId="10051" xr:uid="{00000000-0005-0000-0000-0000E9190000}"/>
    <cellStyle name="Normal 2 22 2 2 2 3" xfId="11726" xr:uid="{00000000-0005-0000-0000-0000EA190000}"/>
    <cellStyle name="Normal 2 22 2 2 2 4" xfId="8376" xr:uid="{00000000-0005-0000-0000-0000EB190000}"/>
    <cellStyle name="Normal 2 22 2 2 3" xfId="5734" xr:uid="{00000000-0005-0000-0000-0000EC190000}"/>
    <cellStyle name="Normal 2 22 2 2 3 2" xfId="9084" xr:uid="{00000000-0005-0000-0000-0000ED190000}"/>
    <cellStyle name="Normal 2 22 2 2 4" xfId="10759" xr:uid="{00000000-0005-0000-0000-0000EE190000}"/>
    <cellStyle name="Normal 2 22 2 2 5" xfId="7409" xr:uid="{00000000-0005-0000-0000-0000EF190000}"/>
    <cellStyle name="Normal 2 22 2 3" xfId="4295" xr:uid="{00000000-0005-0000-0000-0000F0190000}"/>
    <cellStyle name="Normal 2 22 2 3 2" xfId="5262" xr:uid="{00000000-0005-0000-0000-0000F1190000}"/>
    <cellStyle name="Normal 2 22 2 3 2 2" xfId="6937" xr:uid="{00000000-0005-0000-0000-0000F2190000}"/>
    <cellStyle name="Normal 2 22 2 3 2 2 2" xfId="10287" xr:uid="{00000000-0005-0000-0000-0000F3190000}"/>
    <cellStyle name="Normal 2 22 2 3 2 3" xfId="11962" xr:uid="{00000000-0005-0000-0000-0000F4190000}"/>
    <cellStyle name="Normal 2 22 2 3 2 4" xfId="8612" xr:uid="{00000000-0005-0000-0000-0000F5190000}"/>
    <cellStyle name="Normal 2 22 2 3 3" xfId="5970" xr:uid="{00000000-0005-0000-0000-0000F6190000}"/>
    <cellStyle name="Normal 2 22 2 3 3 2" xfId="9320" xr:uid="{00000000-0005-0000-0000-0000F7190000}"/>
    <cellStyle name="Normal 2 22 2 3 4" xfId="10995" xr:uid="{00000000-0005-0000-0000-0000F8190000}"/>
    <cellStyle name="Normal 2 22 2 3 5" xfId="7645" xr:uid="{00000000-0005-0000-0000-0000F9190000}"/>
    <cellStyle name="Normal 2 22 2 4" xfId="4531" xr:uid="{00000000-0005-0000-0000-0000FA190000}"/>
    <cellStyle name="Normal 2 22 2 4 2" xfId="6206" xr:uid="{00000000-0005-0000-0000-0000FB190000}"/>
    <cellStyle name="Normal 2 22 2 4 2 2" xfId="9556" xr:uid="{00000000-0005-0000-0000-0000FC190000}"/>
    <cellStyle name="Normal 2 22 2 4 3" xfId="11231" xr:uid="{00000000-0005-0000-0000-0000FD190000}"/>
    <cellStyle name="Normal 2 22 2 4 4" xfId="7881" xr:uid="{00000000-0005-0000-0000-0000FE190000}"/>
    <cellStyle name="Normal 2 22 2 5" xfId="4790" xr:uid="{00000000-0005-0000-0000-0000FF190000}"/>
    <cellStyle name="Normal 2 22 2 5 2" xfId="6465" xr:uid="{00000000-0005-0000-0000-0000001A0000}"/>
    <cellStyle name="Normal 2 22 2 5 2 2" xfId="9815" xr:uid="{00000000-0005-0000-0000-0000011A0000}"/>
    <cellStyle name="Normal 2 22 2 5 3" xfId="11490" xr:uid="{00000000-0005-0000-0000-0000021A0000}"/>
    <cellStyle name="Normal 2 22 2 5 4" xfId="8140" xr:uid="{00000000-0005-0000-0000-0000031A0000}"/>
    <cellStyle name="Normal 2 22 2 6" xfId="5498" xr:uid="{00000000-0005-0000-0000-0000041A0000}"/>
    <cellStyle name="Normal 2 22 2 6 2" xfId="8848" xr:uid="{00000000-0005-0000-0000-0000051A0000}"/>
    <cellStyle name="Normal 2 22 2 7" xfId="10523" xr:uid="{00000000-0005-0000-0000-0000061A0000}"/>
    <cellStyle name="Normal 2 22 2 8" xfId="7173" xr:uid="{00000000-0005-0000-0000-0000071A0000}"/>
    <cellStyle name="Normal 2 22 3" xfId="3941" xr:uid="{00000000-0005-0000-0000-0000081A0000}"/>
    <cellStyle name="Normal 2 22 3 2" xfId="4908" xr:uid="{00000000-0005-0000-0000-0000091A0000}"/>
    <cellStyle name="Normal 2 22 3 2 2" xfId="6583" xr:uid="{00000000-0005-0000-0000-00000A1A0000}"/>
    <cellStyle name="Normal 2 22 3 2 2 2" xfId="9933" xr:uid="{00000000-0005-0000-0000-00000B1A0000}"/>
    <cellStyle name="Normal 2 22 3 2 3" xfId="11608" xr:uid="{00000000-0005-0000-0000-00000C1A0000}"/>
    <cellStyle name="Normal 2 22 3 2 4" xfId="8258" xr:uid="{00000000-0005-0000-0000-00000D1A0000}"/>
    <cellStyle name="Normal 2 22 3 3" xfId="5616" xr:uid="{00000000-0005-0000-0000-00000E1A0000}"/>
    <cellStyle name="Normal 2 22 3 3 2" xfId="8966" xr:uid="{00000000-0005-0000-0000-00000F1A0000}"/>
    <cellStyle name="Normal 2 22 3 4" xfId="10641" xr:uid="{00000000-0005-0000-0000-0000101A0000}"/>
    <cellStyle name="Normal 2 22 3 5" xfId="7291" xr:uid="{00000000-0005-0000-0000-0000111A0000}"/>
    <cellStyle name="Normal 2 22 4" xfId="4177" xr:uid="{00000000-0005-0000-0000-0000121A0000}"/>
    <cellStyle name="Normal 2 22 4 2" xfId="5144" xr:uid="{00000000-0005-0000-0000-0000131A0000}"/>
    <cellStyle name="Normal 2 22 4 2 2" xfId="6819" xr:uid="{00000000-0005-0000-0000-0000141A0000}"/>
    <cellStyle name="Normal 2 22 4 2 2 2" xfId="10169" xr:uid="{00000000-0005-0000-0000-0000151A0000}"/>
    <cellStyle name="Normal 2 22 4 2 3" xfId="11844" xr:uid="{00000000-0005-0000-0000-0000161A0000}"/>
    <cellStyle name="Normal 2 22 4 2 4" xfId="8494" xr:uid="{00000000-0005-0000-0000-0000171A0000}"/>
    <cellStyle name="Normal 2 22 4 3" xfId="5852" xr:uid="{00000000-0005-0000-0000-0000181A0000}"/>
    <cellStyle name="Normal 2 22 4 3 2" xfId="9202" xr:uid="{00000000-0005-0000-0000-0000191A0000}"/>
    <cellStyle name="Normal 2 22 4 4" xfId="10877" xr:uid="{00000000-0005-0000-0000-00001A1A0000}"/>
    <cellStyle name="Normal 2 22 4 5" xfId="7527" xr:uid="{00000000-0005-0000-0000-00001B1A0000}"/>
    <cellStyle name="Normal 2 22 5" xfId="4413" xr:uid="{00000000-0005-0000-0000-00001C1A0000}"/>
    <cellStyle name="Normal 2 22 5 2" xfId="6088" xr:uid="{00000000-0005-0000-0000-00001D1A0000}"/>
    <cellStyle name="Normal 2 22 5 2 2" xfId="9438" xr:uid="{00000000-0005-0000-0000-00001E1A0000}"/>
    <cellStyle name="Normal 2 22 5 3" xfId="11113" xr:uid="{00000000-0005-0000-0000-00001F1A0000}"/>
    <cellStyle name="Normal 2 22 5 4" xfId="7763" xr:uid="{00000000-0005-0000-0000-0000201A0000}"/>
    <cellStyle name="Normal 2 22 6" xfId="4672" xr:uid="{00000000-0005-0000-0000-0000211A0000}"/>
    <cellStyle name="Normal 2 22 6 2" xfId="6347" xr:uid="{00000000-0005-0000-0000-0000221A0000}"/>
    <cellStyle name="Normal 2 22 6 2 2" xfId="9697" xr:uid="{00000000-0005-0000-0000-0000231A0000}"/>
    <cellStyle name="Normal 2 22 6 3" xfId="11372" xr:uid="{00000000-0005-0000-0000-0000241A0000}"/>
    <cellStyle name="Normal 2 22 6 4" xfId="8022" xr:uid="{00000000-0005-0000-0000-0000251A0000}"/>
    <cellStyle name="Normal 2 22 7" xfId="5380" xr:uid="{00000000-0005-0000-0000-0000261A0000}"/>
    <cellStyle name="Normal 2 22 7 2" xfId="8730" xr:uid="{00000000-0005-0000-0000-0000271A0000}"/>
    <cellStyle name="Normal 2 22 8" xfId="10405" xr:uid="{00000000-0005-0000-0000-0000281A0000}"/>
    <cellStyle name="Normal 2 22 9" xfId="7055" xr:uid="{00000000-0005-0000-0000-0000291A0000}"/>
    <cellStyle name="Normal 2 23" xfId="3729" xr:uid="{00000000-0005-0000-0000-00002A1A0000}"/>
    <cellStyle name="Normal 2 23 2" xfId="3965" xr:uid="{00000000-0005-0000-0000-00002B1A0000}"/>
    <cellStyle name="Normal 2 23 2 2" xfId="4932" xr:uid="{00000000-0005-0000-0000-00002C1A0000}"/>
    <cellStyle name="Normal 2 23 2 2 2" xfId="6607" xr:uid="{00000000-0005-0000-0000-00002D1A0000}"/>
    <cellStyle name="Normal 2 23 2 2 2 2" xfId="9957" xr:uid="{00000000-0005-0000-0000-00002E1A0000}"/>
    <cellStyle name="Normal 2 23 2 2 3" xfId="11632" xr:uid="{00000000-0005-0000-0000-00002F1A0000}"/>
    <cellStyle name="Normal 2 23 2 2 4" xfId="8282" xr:uid="{00000000-0005-0000-0000-0000301A0000}"/>
    <cellStyle name="Normal 2 23 2 3" xfId="5640" xr:uid="{00000000-0005-0000-0000-0000311A0000}"/>
    <cellStyle name="Normal 2 23 2 3 2" xfId="8990" xr:uid="{00000000-0005-0000-0000-0000321A0000}"/>
    <cellStyle name="Normal 2 23 2 4" xfId="10665" xr:uid="{00000000-0005-0000-0000-0000331A0000}"/>
    <cellStyle name="Normal 2 23 2 5" xfId="7315" xr:uid="{00000000-0005-0000-0000-0000341A0000}"/>
    <cellStyle name="Normal 2 23 3" xfId="4201" xr:uid="{00000000-0005-0000-0000-0000351A0000}"/>
    <cellStyle name="Normal 2 23 3 2" xfId="5168" xr:uid="{00000000-0005-0000-0000-0000361A0000}"/>
    <cellStyle name="Normal 2 23 3 2 2" xfId="6843" xr:uid="{00000000-0005-0000-0000-0000371A0000}"/>
    <cellStyle name="Normal 2 23 3 2 2 2" xfId="10193" xr:uid="{00000000-0005-0000-0000-0000381A0000}"/>
    <cellStyle name="Normal 2 23 3 2 3" xfId="11868" xr:uid="{00000000-0005-0000-0000-0000391A0000}"/>
    <cellStyle name="Normal 2 23 3 2 4" xfId="8518" xr:uid="{00000000-0005-0000-0000-00003A1A0000}"/>
    <cellStyle name="Normal 2 23 3 3" xfId="5876" xr:uid="{00000000-0005-0000-0000-00003B1A0000}"/>
    <cellStyle name="Normal 2 23 3 3 2" xfId="9226" xr:uid="{00000000-0005-0000-0000-00003C1A0000}"/>
    <cellStyle name="Normal 2 23 3 4" xfId="10901" xr:uid="{00000000-0005-0000-0000-00003D1A0000}"/>
    <cellStyle name="Normal 2 23 3 5" xfId="7551" xr:uid="{00000000-0005-0000-0000-00003E1A0000}"/>
    <cellStyle name="Normal 2 23 4" xfId="4437" xr:uid="{00000000-0005-0000-0000-00003F1A0000}"/>
    <cellStyle name="Normal 2 23 4 2" xfId="6112" xr:uid="{00000000-0005-0000-0000-0000401A0000}"/>
    <cellStyle name="Normal 2 23 4 2 2" xfId="9462" xr:uid="{00000000-0005-0000-0000-0000411A0000}"/>
    <cellStyle name="Normal 2 23 4 3" xfId="11137" xr:uid="{00000000-0005-0000-0000-0000421A0000}"/>
    <cellStyle name="Normal 2 23 4 4" xfId="7787" xr:uid="{00000000-0005-0000-0000-0000431A0000}"/>
    <cellStyle name="Normal 2 23 5" xfId="4696" xr:uid="{00000000-0005-0000-0000-0000441A0000}"/>
    <cellStyle name="Normal 2 23 5 2" xfId="6371" xr:uid="{00000000-0005-0000-0000-0000451A0000}"/>
    <cellStyle name="Normal 2 23 5 2 2" xfId="9721" xr:uid="{00000000-0005-0000-0000-0000461A0000}"/>
    <cellStyle name="Normal 2 23 5 3" xfId="11396" xr:uid="{00000000-0005-0000-0000-0000471A0000}"/>
    <cellStyle name="Normal 2 23 5 4" xfId="8046" xr:uid="{00000000-0005-0000-0000-0000481A0000}"/>
    <cellStyle name="Normal 2 23 6" xfId="5404" xr:uid="{00000000-0005-0000-0000-0000491A0000}"/>
    <cellStyle name="Normal 2 23 6 2" xfId="8754" xr:uid="{00000000-0005-0000-0000-00004A1A0000}"/>
    <cellStyle name="Normal 2 23 7" xfId="10429" xr:uid="{00000000-0005-0000-0000-00004B1A0000}"/>
    <cellStyle name="Normal 2 23 8" xfId="7079" xr:uid="{00000000-0005-0000-0000-00004C1A0000}"/>
    <cellStyle name="Normal 2 24" xfId="3847" xr:uid="{00000000-0005-0000-0000-00004D1A0000}"/>
    <cellStyle name="Normal 2 24 2" xfId="4814" xr:uid="{00000000-0005-0000-0000-00004E1A0000}"/>
    <cellStyle name="Normal 2 24 2 2" xfId="6489" xr:uid="{00000000-0005-0000-0000-00004F1A0000}"/>
    <cellStyle name="Normal 2 24 2 2 2" xfId="9839" xr:uid="{00000000-0005-0000-0000-0000501A0000}"/>
    <cellStyle name="Normal 2 24 2 3" xfId="11514" xr:uid="{00000000-0005-0000-0000-0000511A0000}"/>
    <cellStyle name="Normal 2 24 2 4" xfId="8164" xr:uid="{00000000-0005-0000-0000-0000521A0000}"/>
    <cellStyle name="Normal 2 24 3" xfId="5522" xr:uid="{00000000-0005-0000-0000-0000531A0000}"/>
    <cellStyle name="Normal 2 24 3 2" xfId="8872" xr:uid="{00000000-0005-0000-0000-0000541A0000}"/>
    <cellStyle name="Normal 2 24 4" xfId="10547" xr:uid="{00000000-0005-0000-0000-0000551A0000}"/>
    <cellStyle name="Normal 2 24 5" xfId="7197" xr:uid="{00000000-0005-0000-0000-0000561A0000}"/>
    <cellStyle name="Normal 2 25" xfId="4083" xr:uid="{00000000-0005-0000-0000-0000571A0000}"/>
    <cellStyle name="Normal 2 25 2" xfId="5050" xr:uid="{00000000-0005-0000-0000-0000581A0000}"/>
    <cellStyle name="Normal 2 25 2 2" xfId="6725" xr:uid="{00000000-0005-0000-0000-0000591A0000}"/>
    <cellStyle name="Normal 2 25 2 2 2" xfId="10075" xr:uid="{00000000-0005-0000-0000-00005A1A0000}"/>
    <cellStyle name="Normal 2 25 2 3" xfId="11750" xr:uid="{00000000-0005-0000-0000-00005B1A0000}"/>
    <cellStyle name="Normal 2 25 2 4" xfId="8400" xr:uid="{00000000-0005-0000-0000-00005C1A0000}"/>
    <cellStyle name="Normal 2 25 3" xfId="5758" xr:uid="{00000000-0005-0000-0000-00005D1A0000}"/>
    <cellStyle name="Normal 2 25 3 2" xfId="9108" xr:uid="{00000000-0005-0000-0000-00005E1A0000}"/>
    <cellStyle name="Normal 2 25 4" xfId="10783" xr:uid="{00000000-0005-0000-0000-00005F1A0000}"/>
    <cellStyle name="Normal 2 25 5" xfId="7433" xr:uid="{00000000-0005-0000-0000-0000601A0000}"/>
    <cellStyle name="Normal 2 26" xfId="4319" xr:uid="{00000000-0005-0000-0000-0000611A0000}"/>
    <cellStyle name="Normal 2 26 2" xfId="4578" xr:uid="{00000000-0005-0000-0000-0000621A0000}"/>
    <cellStyle name="Normal 2 26 2 2" xfId="6253" xr:uid="{00000000-0005-0000-0000-0000631A0000}"/>
    <cellStyle name="Normal 2 26 2 2 2" xfId="9603" xr:uid="{00000000-0005-0000-0000-0000641A0000}"/>
    <cellStyle name="Normal 2 26 2 3" xfId="11278" xr:uid="{00000000-0005-0000-0000-0000651A0000}"/>
    <cellStyle name="Normal 2 26 2 4" xfId="7928" xr:uid="{00000000-0005-0000-0000-0000661A0000}"/>
    <cellStyle name="Normal 2 26 3" xfId="5994" xr:uid="{00000000-0005-0000-0000-0000671A0000}"/>
    <cellStyle name="Normal 2 26 3 2" xfId="9344" xr:uid="{00000000-0005-0000-0000-0000681A0000}"/>
    <cellStyle name="Normal 2 26 4" xfId="11019" xr:uid="{00000000-0005-0000-0000-0000691A0000}"/>
    <cellStyle name="Normal 2 26 5" xfId="7669" xr:uid="{00000000-0005-0000-0000-00006A1A0000}"/>
    <cellStyle name="Normal 2 27" xfId="4555" xr:uid="{00000000-0005-0000-0000-00006B1A0000}"/>
    <cellStyle name="Normal 2 27 2" xfId="6230" xr:uid="{00000000-0005-0000-0000-00006C1A0000}"/>
    <cellStyle name="Normal 2 27 2 2" xfId="9580" xr:uid="{00000000-0005-0000-0000-00006D1A0000}"/>
    <cellStyle name="Normal 2 27 3" xfId="11255" xr:uid="{00000000-0005-0000-0000-00006E1A0000}"/>
    <cellStyle name="Normal 2 27 4" xfId="7905" xr:uid="{00000000-0005-0000-0000-00006F1A0000}"/>
    <cellStyle name="Normal 2 28" xfId="5286" xr:uid="{00000000-0005-0000-0000-0000701A0000}"/>
    <cellStyle name="Normal 2 28 2" xfId="8636" xr:uid="{00000000-0005-0000-0000-0000711A0000}"/>
    <cellStyle name="Normal 2 29" xfId="10311" xr:uid="{00000000-0005-0000-0000-0000721A0000}"/>
    <cellStyle name="Normal 2 3" xfId="2671" xr:uid="{00000000-0005-0000-0000-00006F0A0000}"/>
    <cellStyle name="Normal 2 3 10" xfId="2672" xr:uid="{00000000-0005-0000-0000-0000700A0000}"/>
    <cellStyle name="Normal 2 3 11" xfId="2673" xr:uid="{00000000-0005-0000-0000-0000710A0000}"/>
    <cellStyle name="Normal 2 3 11 2" xfId="2674" xr:uid="{00000000-0005-0000-0000-0000720A0000}"/>
    <cellStyle name="Normal 2 3 12" xfId="2675" xr:uid="{00000000-0005-0000-0000-0000730A0000}"/>
    <cellStyle name="Normal 2 3 2" xfId="2676" xr:uid="{00000000-0005-0000-0000-0000740A0000}"/>
    <cellStyle name="Normal 2 3 2 2" xfId="2677" xr:uid="{00000000-0005-0000-0000-0000750A0000}"/>
    <cellStyle name="Normal 2 3 2 2 2" xfId="2678" xr:uid="{00000000-0005-0000-0000-0000760A0000}"/>
    <cellStyle name="Normal 2 3 2 2 2 2" xfId="2679" xr:uid="{00000000-0005-0000-0000-0000770A0000}"/>
    <cellStyle name="Normal 2 3 2 2 2 3" xfId="2680" xr:uid="{00000000-0005-0000-0000-0000780A0000}"/>
    <cellStyle name="Normal 2 3 2 2 3" xfId="2681" xr:uid="{00000000-0005-0000-0000-0000790A0000}"/>
    <cellStyle name="Normal 2 3 2 2 4" xfId="2682" xr:uid="{00000000-0005-0000-0000-00007A0A0000}"/>
    <cellStyle name="Normal 2 3 2 3" xfId="2683" xr:uid="{00000000-0005-0000-0000-00007B0A0000}"/>
    <cellStyle name="Normal 2 3 2 4" xfId="2684" xr:uid="{00000000-0005-0000-0000-00007C0A0000}"/>
    <cellStyle name="Normal 2 3 3" xfId="2685" xr:uid="{00000000-0005-0000-0000-00007D0A0000}"/>
    <cellStyle name="Normal 2 3 3 2" xfId="2686" xr:uid="{00000000-0005-0000-0000-00007E0A0000}"/>
    <cellStyle name="Normal 2 3 3 2 2" xfId="2687" xr:uid="{00000000-0005-0000-0000-00007F0A0000}"/>
    <cellStyle name="Normal 2 3 3 2 2 2" xfId="2688" xr:uid="{00000000-0005-0000-0000-0000800A0000}"/>
    <cellStyle name="Normal 2 3 3 2 2 3" xfId="2689" xr:uid="{00000000-0005-0000-0000-0000810A0000}"/>
    <cellStyle name="Normal 2 3 3 2 3" xfId="2690" xr:uid="{00000000-0005-0000-0000-0000820A0000}"/>
    <cellStyle name="Normal 2 3 3 2 4" xfId="2691" xr:uid="{00000000-0005-0000-0000-0000830A0000}"/>
    <cellStyle name="Normal 2 3 3 3" xfId="2692" xr:uid="{00000000-0005-0000-0000-0000840A0000}"/>
    <cellStyle name="Normal 2 3 3 4" xfId="2693" xr:uid="{00000000-0005-0000-0000-0000850A0000}"/>
    <cellStyle name="Normal 2 3 4" xfId="2694" xr:uid="{00000000-0005-0000-0000-0000860A0000}"/>
    <cellStyle name="Normal 2 3 4 2" xfId="2695" xr:uid="{00000000-0005-0000-0000-0000870A0000}"/>
    <cellStyle name="Normal 2 3 4 2 2" xfId="2696" xr:uid="{00000000-0005-0000-0000-0000880A0000}"/>
    <cellStyle name="Normal 2 3 4 2 3" xfId="2697" xr:uid="{00000000-0005-0000-0000-0000890A0000}"/>
    <cellStyle name="Normal 2 3 4 3" xfId="2698" xr:uid="{00000000-0005-0000-0000-00008A0A0000}"/>
    <cellStyle name="Normal 2 3 4 4" xfId="2699" xr:uid="{00000000-0005-0000-0000-00008B0A0000}"/>
    <cellStyle name="Normal 2 3 5" xfId="2700" xr:uid="{00000000-0005-0000-0000-00008C0A0000}"/>
    <cellStyle name="Normal 2 3 5 2" xfId="2701" xr:uid="{00000000-0005-0000-0000-00008D0A0000}"/>
    <cellStyle name="Normal 2 3 5 2 2" xfId="2702" xr:uid="{00000000-0005-0000-0000-00008E0A0000}"/>
    <cellStyle name="Normal 2 3 5 2 3" xfId="2703" xr:uid="{00000000-0005-0000-0000-00008F0A0000}"/>
    <cellStyle name="Normal 2 3 5 3" xfId="2704" xr:uid="{00000000-0005-0000-0000-0000900A0000}"/>
    <cellStyle name="Normal 2 3 5 4" xfId="2705" xr:uid="{00000000-0005-0000-0000-0000910A0000}"/>
    <cellStyle name="Normal 2 3 6" xfId="2706" xr:uid="{00000000-0005-0000-0000-0000920A0000}"/>
    <cellStyle name="Normal 2 3 6 2" xfId="2707" xr:uid="{00000000-0005-0000-0000-0000930A0000}"/>
    <cellStyle name="Normal 2 3 6 2 2" xfId="2708" xr:uid="{00000000-0005-0000-0000-0000940A0000}"/>
    <cellStyle name="Normal 2 3 6 2 3" xfId="2709" xr:uid="{00000000-0005-0000-0000-0000950A0000}"/>
    <cellStyle name="Normal 2 3 6 3" xfId="2710" xr:uid="{00000000-0005-0000-0000-0000960A0000}"/>
    <cellStyle name="Normal 2 3 6 4" xfId="2711" xr:uid="{00000000-0005-0000-0000-0000970A0000}"/>
    <cellStyle name="Normal 2 3 7" xfId="2712" xr:uid="{00000000-0005-0000-0000-0000980A0000}"/>
    <cellStyle name="Normal 2 3 7 2" xfId="2713" xr:uid="{00000000-0005-0000-0000-0000990A0000}"/>
    <cellStyle name="Normal 2 3 7 2 2" xfId="2714" xr:uid="{00000000-0005-0000-0000-00009A0A0000}"/>
    <cellStyle name="Normal 2 3 7 2 3" xfId="2715" xr:uid="{00000000-0005-0000-0000-00009B0A0000}"/>
    <cellStyle name="Normal 2 3 7 3" xfId="2716" xr:uid="{00000000-0005-0000-0000-00009C0A0000}"/>
    <cellStyle name="Normal 2 3 7 4" xfId="2717" xr:uid="{00000000-0005-0000-0000-00009D0A0000}"/>
    <cellStyle name="Normal 2 3 8" xfId="2718" xr:uid="{00000000-0005-0000-0000-00009E0A0000}"/>
    <cellStyle name="Normal 2 3 8 2" xfId="2719" xr:uid="{00000000-0005-0000-0000-00009F0A0000}"/>
    <cellStyle name="Normal 2 3 8 2 2" xfId="2720" xr:uid="{00000000-0005-0000-0000-0000A00A0000}"/>
    <cellStyle name="Normal 2 3 9" xfId="2721" xr:uid="{00000000-0005-0000-0000-0000A10A0000}"/>
    <cellStyle name="Normal 2 3 9 2" xfId="2722" xr:uid="{00000000-0005-0000-0000-0000A20A0000}"/>
    <cellStyle name="Normal 2 3 9 2 2" xfId="2723" xr:uid="{00000000-0005-0000-0000-0000A30A0000}"/>
    <cellStyle name="Normal 2 3 9 2 2 2" xfId="2724" xr:uid="{00000000-0005-0000-0000-0000A40A0000}"/>
    <cellStyle name="Normal 2 3 9 3" xfId="2725" xr:uid="{00000000-0005-0000-0000-0000A50A0000}"/>
    <cellStyle name="Normal 2 30" xfId="6961" xr:uid="{00000000-0005-0000-0000-00007D1A0000}"/>
    <cellStyle name="Normal 2 31" xfId="3399" xr:uid="{00000000-0005-0000-0000-0000090D0000}"/>
    <cellStyle name="Normal 2 4" xfId="2726" xr:uid="{00000000-0005-0000-0000-0000A60A0000}"/>
    <cellStyle name="Normal 2 4 2" xfId="2727" xr:uid="{00000000-0005-0000-0000-0000A70A0000}"/>
    <cellStyle name="Normal 2 4 2 2" xfId="2728" xr:uid="{00000000-0005-0000-0000-0000A80A0000}"/>
    <cellStyle name="Normal 2 4 2 3" xfId="2729" xr:uid="{00000000-0005-0000-0000-0000A90A0000}"/>
    <cellStyle name="Normal 2 4 2 3 2" xfId="2730" xr:uid="{00000000-0005-0000-0000-0000AA0A0000}"/>
    <cellStyle name="Normal 2 4 2 3 2 2" xfId="2731" xr:uid="{00000000-0005-0000-0000-0000AB0A0000}"/>
    <cellStyle name="Normal 2 4 2 3 3" xfId="2732" xr:uid="{00000000-0005-0000-0000-0000AC0A0000}"/>
    <cellStyle name="Normal 2 4 3" xfId="2733" xr:uid="{00000000-0005-0000-0000-0000AD0A0000}"/>
    <cellStyle name="Normal 2 4 3 2" xfId="2734" xr:uid="{00000000-0005-0000-0000-0000AE0A0000}"/>
    <cellStyle name="Normal 2 4 3 3" xfId="2735" xr:uid="{00000000-0005-0000-0000-0000AF0A0000}"/>
    <cellStyle name="Normal 2 4 3 3 2" xfId="2736" xr:uid="{00000000-0005-0000-0000-0000B00A0000}"/>
    <cellStyle name="Normal 2 4 3 4" xfId="2737" xr:uid="{00000000-0005-0000-0000-0000B10A0000}"/>
    <cellStyle name="Normal 2 4 4" xfId="2738" xr:uid="{00000000-0005-0000-0000-0000B20A0000}"/>
    <cellStyle name="Normal 2 4 5" xfId="2739" xr:uid="{00000000-0005-0000-0000-0000B30A0000}"/>
    <cellStyle name="Normal 2 4 5 10" xfId="4567" xr:uid="{00000000-0005-0000-0000-0000861A0000}"/>
    <cellStyle name="Normal 2 4 5 10 2" xfId="6242" xr:uid="{00000000-0005-0000-0000-0000871A0000}"/>
    <cellStyle name="Normal 2 4 5 10 2 2" xfId="9592" xr:uid="{00000000-0005-0000-0000-0000881A0000}"/>
    <cellStyle name="Normal 2 4 5 10 3" xfId="11267" xr:uid="{00000000-0005-0000-0000-0000891A0000}"/>
    <cellStyle name="Normal 2 4 5 10 4" xfId="7917" xr:uid="{00000000-0005-0000-0000-00008A1A0000}"/>
    <cellStyle name="Normal 2 4 5 11" xfId="5298" xr:uid="{00000000-0005-0000-0000-00008B1A0000}"/>
    <cellStyle name="Normal 2 4 5 11 2" xfId="8648" xr:uid="{00000000-0005-0000-0000-00008C1A0000}"/>
    <cellStyle name="Normal 2 4 5 12" xfId="10323" xr:uid="{00000000-0005-0000-0000-00008D1A0000}"/>
    <cellStyle name="Normal 2 4 5 13" xfId="6973" xr:uid="{00000000-0005-0000-0000-00008E1A0000}"/>
    <cellStyle name="Normal 2 4 5 14" xfId="3413" xr:uid="{00000000-0005-0000-0000-0000851A0000}"/>
    <cellStyle name="Normal 2 4 5 2" xfId="3646" xr:uid="{00000000-0005-0000-0000-00008F1A0000}"/>
    <cellStyle name="Normal 2 4 5 2 2" xfId="3764" xr:uid="{00000000-0005-0000-0000-0000901A0000}"/>
    <cellStyle name="Normal 2 4 5 2 2 2" xfId="4000" xr:uid="{00000000-0005-0000-0000-0000911A0000}"/>
    <cellStyle name="Normal 2 4 5 2 2 2 2" xfId="4967" xr:uid="{00000000-0005-0000-0000-0000921A0000}"/>
    <cellStyle name="Normal 2 4 5 2 2 2 2 2" xfId="6642" xr:uid="{00000000-0005-0000-0000-0000931A0000}"/>
    <cellStyle name="Normal 2 4 5 2 2 2 2 2 2" xfId="9992" xr:uid="{00000000-0005-0000-0000-0000941A0000}"/>
    <cellStyle name="Normal 2 4 5 2 2 2 2 3" xfId="11667" xr:uid="{00000000-0005-0000-0000-0000951A0000}"/>
    <cellStyle name="Normal 2 4 5 2 2 2 2 4" xfId="8317" xr:uid="{00000000-0005-0000-0000-0000961A0000}"/>
    <cellStyle name="Normal 2 4 5 2 2 2 3" xfId="5675" xr:uid="{00000000-0005-0000-0000-0000971A0000}"/>
    <cellStyle name="Normal 2 4 5 2 2 2 3 2" xfId="9025" xr:uid="{00000000-0005-0000-0000-0000981A0000}"/>
    <cellStyle name="Normal 2 4 5 2 2 2 4" xfId="10700" xr:uid="{00000000-0005-0000-0000-0000991A0000}"/>
    <cellStyle name="Normal 2 4 5 2 2 2 5" xfId="7350" xr:uid="{00000000-0005-0000-0000-00009A1A0000}"/>
    <cellStyle name="Normal 2 4 5 2 2 3" xfId="4236" xr:uid="{00000000-0005-0000-0000-00009B1A0000}"/>
    <cellStyle name="Normal 2 4 5 2 2 3 2" xfId="5203" xr:uid="{00000000-0005-0000-0000-00009C1A0000}"/>
    <cellStyle name="Normal 2 4 5 2 2 3 2 2" xfId="6878" xr:uid="{00000000-0005-0000-0000-00009D1A0000}"/>
    <cellStyle name="Normal 2 4 5 2 2 3 2 2 2" xfId="10228" xr:uid="{00000000-0005-0000-0000-00009E1A0000}"/>
    <cellStyle name="Normal 2 4 5 2 2 3 2 3" xfId="11903" xr:uid="{00000000-0005-0000-0000-00009F1A0000}"/>
    <cellStyle name="Normal 2 4 5 2 2 3 2 4" xfId="8553" xr:uid="{00000000-0005-0000-0000-0000A01A0000}"/>
    <cellStyle name="Normal 2 4 5 2 2 3 3" xfId="5911" xr:uid="{00000000-0005-0000-0000-0000A11A0000}"/>
    <cellStyle name="Normal 2 4 5 2 2 3 3 2" xfId="9261" xr:uid="{00000000-0005-0000-0000-0000A21A0000}"/>
    <cellStyle name="Normal 2 4 5 2 2 3 4" xfId="10936" xr:uid="{00000000-0005-0000-0000-0000A31A0000}"/>
    <cellStyle name="Normal 2 4 5 2 2 3 5" xfId="7586" xr:uid="{00000000-0005-0000-0000-0000A41A0000}"/>
    <cellStyle name="Normal 2 4 5 2 2 4" xfId="4472" xr:uid="{00000000-0005-0000-0000-0000A51A0000}"/>
    <cellStyle name="Normal 2 4 5 2 2 4 2" xfId="6147" xr:uid="{00000000-0005-0000-0000-0000A61A0000}"/>
    <cellStyle name="Normal 2 4 5 2 2 4 2 2" xfId="9497" xr:uid="{00000000-0005-0000-0000-0000A71A0000}"/>
    <cellStyle name="Normal 2 4 5 2 2 4 3" xfId="11172" xr:uid="{00000000-0005-0000-0000-0000A81A0000}"/>
    <cellStyle name="Normal 2 4 5 2 2 4 4" xfId="7822" xr:uid="{00000000-0005-0000-0000-0000A91A0000}"/>
    <cellStyle name="Normal 2 4 5 2 2 5" xfId="4731" xr:uid="{00000000-0005-0000-0000-0000AA1A0000}"/>
    <cellStyle name="Normal 2 4 5 2 2 5 2" xfId="6406" xr:uid="{00000000-0005-0000-0000-0000AB1A0000}"/>
    <cellStyle name="Normal 2 4 5 2 2 5 2 2" xfId="9756" xr:uid="{00000000-0005-0000-0000-0000AC1A0000}"/>
    <cellStyle name="Normal 2 4 5 2 2 5 3" xfId="11431" xr:uid="{00000000-0005-0000-0000-0000AD1A0000}"/>
    <cellStyle name="Normal 2 4 5 2 2 5 4" xfId="8081" xr:uid="{00000000-0005-0000-0000-0000AE1A0000}"/>
    <cellStyle name="Normal 2 4 5 2 2 6" xfId="5439" xr:uid="{00000000-0005-0000-0000-0000AF1A0000}"/>
    <cellStyle name="Normal 2 4 5 2 2 6 2" xfId="8789" xr:uid="{00000000-0005-0000-0000-0000B01A0000}"/>
    <cellStyle name="Normal 2 4 5 2 2 7" xfId="10464" xr:uid="{00000000-0005-0000-0000-0000B11A0000}"/>
    <cellStyle name="Normal 2 4 5 2 2 8" xfId="7114" xr:uid="{00000000-0005-0000-0000-0000B21A0000}"/>
    <cellStyle name="Normal 2 4 5 2 3" xfId="3882" xr:uid="{00000000-0005-0000-0000-0000B31A0000}"/>
    <cellStyle name="Normal 2 4 5 2 3 2" xfId="4849" xr:uid="{00000000-0005-0000-0000-0000B41A0000}"/>
    <cellStyle name="Normal 2 4 5 2 3 2 2" xfId="6524" xr:uid="{00000000-0005-0000-0000-0000B51A0000}"/>
    <cellStyle name="Normal 2 4 5 2 3 2 2 2" xfId="9874" xr:uid="{00000000-0005-0000-0000-0000B61A0000}"/>
    <cellStyle name="Normal 2 4 5 2 3 2 3" xfId="11549" xr:uid="{00000000-0005-0000-0000-0000B71A0000}"/>
    <cellStyle name="Normal 2 4 5 2 3 2 4" xfId="8199" xr:uid="{00000000-0005-0000-0000-0000B81A0000}"/>
    <cellStyle name="Normal 2 4 5 2 3 3" xfId="5557" xr:uid="{00000000-0005-0000-0000-0000B91A0000}"/>
    <cellStyle name="Normal 2 4 5 2 3 3 2" xfId="8907" xr:uid="{00000000-0005-0000-0000-0000BA1A0000}"/>
    <cellStyle name="Normal 2 4 5 2 3 4" xfId="10582" xr:uid="{00000000-0005-0000-0000-0000BB1A0000}"/>
    <cellStyle name="Normal 2 4 5 2 3 5" xfId="7232" xr:uid="{00000000-0005-0000-0000-0000BC1A0000}"/>
    <cellStyle name="Normal 2 4 5 2 4" xfId="4118" xr:uid="{00000000-0005-0000-0000-0000BD1A0000}"/>
    <cellStyle name="Normal 2 4 5 2 4 2" xfId="5085" xr:uid="{00000000-0005-0000-0000-0000BE1A0000}"/>
    <cellStyle name="Normal 2 4 5 2 4 2 2" xfId="6760" xr:uid="{00000000-0005-0000-0000-0000BF1A0000}"/>
    <cellStyle name="Normal 2 4 5 2 4 2 2 2" xfId="10110" xr:uid="{00000000-0005-0000-0000-0000C01A0000}"/>
    <cellStyle name="Normal 2 4 5 2 4 2 3" xfId="11785" xr:uid="{00000000-0005-0000-0000-0000C11A0000}"/>
    <cellStyle name="Normal 2 4 5 2 4 2 4" xfId="8435" xr:uid="{00000000-0005-0000-0000-0000C21A0000}"/>
    <cellStyle name="Normal 2 4 5 2 4 3" xfId="5793" xr:uid="{00000000-0005-0000-0000-0000C31A0000}"/>
    <cellStyle name="Normal 2 4 5 2 4 3 2" xfId="9143" xr:uid="{00000000-0005-0000-0000-0000C41A0000}"/>
    <cellStyle name="Normal 2 4 5 2 4 4" xfId="10818" xr:uid="{00000000-0005-0000-0000-0000C51A0000}"/>
    <cellStyle name="Normal 2 4 5 2 4 5" xfId="7468" xr:uid="{00000000-0005-0000-0000-0000C61A0000}"/>
    <cellStyle name="Normal 2 4 5 2 5" xfId="4354" xr:uid="{00000000-0005-0000-0000-0000C71A0000}"/>
    <cellStyle name="Normal 2 4 5 2 5 2" xfId="6029" xr:uid="{00000000-0005-0000-0000-0000C81A0000}"/>
    <cellStyle name="Normal 2 4 5 2 5 2 2" xfId="9379" xr:uid="{00000000-0005-0000-0000-0000C91A0000}"/>
    <cellStyle name="Normal 2 4 5 2 5 3" xfId="11054" xr:uid="{00000000-0005-0000-0000-0000CA1A0000}"/>
    <cellStyle name="Normal 2 4 5 2 5 4" xfId="7704" xr:uid="{00000000-0005-0000-0000-0000CB1A0000}"/>
    <cellStyle name="Normal 2 4 5 2 6" xfId="4613" xr:uid="{00000000-0005-0000-0000-0000CC1A0000}"/>
    <cellStyle name="Normal 2 4 5 2 6 2" xfId="6288" xr:uid="{00000000-0005-0000-0000-0000CD1A0000}"/>
    <cellStyle name="Normal 2 4 5 2 6 2 2" xfId="9638" xr:uid="{00000000-0005-0000-0000-0000CE1A0000}"/>
    <cellStyle name="Normal 2 4 5 2 6 3" xfId="11313" xr:uid="{00000000-0005-0000-0000-0000CF1A0000}"/>
    <cellStyle name="Normal 2 4 5 2 6 4" xfId="7963" xr:uid="{00000000-0005-0000-0000-0000D01A0000}"/>
    <cellStyle name="Normal 2 4 5 2 7" xfId="5321" xr:uid="{00000000-0005-0000-0000-0000D11A0000}"/>
    <cellStyle name="Normal 2 4 5 2 7 2" xfId="8671" xr:uid="{00000000-0005-0000-0000-0000D21A0000}"/>
    <cellStyle name="Normal 2 4 5 2 8" xfId="10346" xr:uid="{00000000-0005-0000-0000-0000D31A0000}"/>
    <cellStyle name="Normal 2 4 5 2 9" xfId="6996" xr:uid="{00000000-0005-0000-0000-0000D41A0000}"/>
    <cellStyle name="Normal 2 4 5 3" xfId="3669" xr:uid="{00000000-0005-0000-0000-0000D51A0000}"/>
    <cellStyle name="Normal 2 4 5 3 2" xfId="3787" xr:uid="{00000000-0005-0000-0000-0000D61A0000}"/>
    <cellStyle name="Normal 2 4 5 3 2 2" xfId="4023" xr:uid="{00000000-0005-0000-0000-0000D71A0000}"/>
    <cellStyle name="Normal 2 4 5 3 2 2 2" xfId="4990" xr:uid="{00000000-0005-0000-0000-0000D81A0000}"/>
    <cellStyle name="Normal 2 4 5 3 2 2 2 2" xfId="6665" xr:uid="{00000000-0005-0000-0000-0000D91A0000}"/>
    <cellStyle name="Normal 2 4 5 3 2 2 2 2 2" xfId="10015" xr:uid="{00000000-0005-0000-0000-0000DA1A0000}"/>
    <cellStyle name="Normal 2 4 5 3 2 2 2 3" xfId="11690" xr:uid="{00000000-0005-0000-0000-0000DB1A0000}"/>
    <cellStyle name="Normal 2 4 5 3 2 2 2 4" xfId="8340" xr:uid="{00000000-0005-0000-0000-0000DC1A0000}"/>
    <cellStyle name="Normal 2 4 5 3 2 2 3" xfId="5698" xr:uid="{00000000-0005-0000-0000-0000DD1A0000}"/>
    <cellStyle name="Normal 2 4 5 3 2 2 3 2" xfId="9048" xr:uid="{00000000-0005-0000-0000-0000DE1A0000}"/>
    <cellStyle name="Normal 2 4 5 3 2 2 4" xfId="10723" xr:uid="{00000000-0005-0000-0000-0000DF1A0000}"/>
    <cellStyle name="Normal 2 4 5 3 2 2 5" xfId="7373" xr:uid="{00000000-0005-0000-0000-0000E01A0000}"/>
    <cellStyle name="Normal 2 4 5 3 2 3" xfId="4259" xr:uid="{00000000-0005-0000-0000-0000E11A0000}"/>
    <cellStyle name="Normal 2 4 5 3 2 3 2" xfId="5226" xr:uid="{00000000-0005-0000-0000-0000E21A0000}"/>
    <cellStyle name="Normal 2 4 5 3 2 3 2 2" xfId="6901" xr:uid="{00000000-0005-0000-0000-0000E31A0000}"/>
    <cellStyle name="Normal 2 4 5 3 2 3 2 2 2" xfId="10251" xr:uid="{00000000-0005-0000-0000-0000E41A0000}"/>
    <cellStyle name="Normal 2 4 5 3 2 3 2 3" xfId="11926" xr:uid="{00000000-0005-0000-0000-0000E51A0000}"/>
    <cellStyle name="Normal 2 4 5 3 2 3 2 4" xfId="8576" xr:uid="{00000000-0005-0000-0000-0000E61A0000}"/>
    <cellStyle name="Normal 2 4 5 3 2 3 3" xfId="5934" xr:uid="{00000000-0005-0000-0000-0000E71A0000}"/>
    <cellStyle name="Normal 2 4 5 3 2 3 3 2" xfId="9284" xr:uid="{00000000-0005-0000-0000-0000E81A0000}"/>
    <cellStyle name="Normal 2 4 5 3 2 3 4" xfId="10959" xr:uid="{00000000-0005-0000-0000-0000E91A0000}"/>
    <cellStyle name="Normal 2 4 5 3 2 3 5" xfId="7609" xr:uid="{00000000-0005-0000-0000-0000EA1A0000}"/>
    <cellStyle name="Normal 2 4 5 3 2 4" xfId="4495" xr:uid="{00000000-0005-0000-0000-0000EB1A0000}"/>
    <cellStyle name="Normal 2 4 5 3 2 4 2" xfId="6170" xr:uid="{00000000-0005-0000-0000-0000EC1A0000}"/>
    <cellStyle name="Normal 2 4 5 3 2 4 2 2" xfId="9520" xr:uid="{00000000-0005-0000-0000-0000ED1A0000}"/>
    <cellStyle name="Normal 2 4 5 3 2 4 3" xfId="11195" xr:uid="{00000000-0005-0000-0000-0000EE1A0000}"/>
    <cellStyle name="Normal 2 4 5 3 2 4 4" xfId="7845" xr:uid="{00000000-0005-0000-0000-0000EF1A0000}"/>
    <cellStyle name="Normal 2 4 5 3 2 5" xfId="4754" xr:uid="{00000000-0005-0000-0000-0000F01A0000}"/>
    <cellStyle name="Normal 2 4 5 3 2 5 2" xfId="6429" xr:uid="{00000000-0005-0000-0000-0000F11A0000}"/>
    <cellStyle name="Normal 2 4 5 3 2 5 2 2" xfId="9779" xr:uid="{00000000-0005-0000-0000-0000F21A0000}"/>
    <cellStyle name="Normal 2 4 5 3 2 5 3" xfId="11454" xr:uid="{00000000-0005-0000-0000-0000F31A0000}"/>
    <cellStyle name="Normal 2 4 5 3 2 5 4" xfId="8104" xr:uid="{00000000-0005-0000-0000-0000F41A0000}"/>
    <cellStyle name="Normal 2 4 5 3 2 6" xfId="5462" xr:uid="{00000000-0005-0000-0000-0000F51A0000}"/>
    <cellStyle name="Normal 2 4 5 3 2 6 2" xfId="8812" xr:uid="{00000000-0005-0000-0000-0000F61A0000}"/>
    <cellStyle name="Normal 2 4 5 3 2 7" xfId="10487" xr:uid="{00000000-0005-0000-0000-0000F71A0000}"/>
    <cellStyle name="Normal 2 4 5 3 2 8" xfId="7137" xr:uid="{00000000-0005-0000-0000-0000F81A0000}"/>
    <cellStyle name="Normal 2 4 5 3 3" xfId="3905" xr:uid="{00000000-0005-0000-0000-0000F91A0000}"/>
    <cellStyle name="Normal 2 4 5 3 3 2" xfId="4872" xr:uid="{00000000-0005-0000-0000-0000FA1A0000}"/>
    <cellStyle name="Normal 2 4 5 3 3 2 2" xfId="6547" xr:uid="{00000000-0005-0000-0000-0000FB1A0000}"/>
    <cellStyle name="Normal 2 4 5 3 3 2 2 2" xfId="9897" xr:uid="{00000000-0005-0000-0000-0000FC1A0000}"/>
    <cellStyle name="Normal 2 4 5 3 3 2 3" xfId="11572" xr:uid="{00000000-0005-0000-0000-0000FD1A0000}"/>
    <cellStyle name="Normal 2 4 5 3 3 2 4" xfId="8222" xr:uid="{00000000-0005-0000-0000-0000FE1A0000}"/>
    <cellStyle name="Normal 2 4 5 3 3 3" xfId="5580" xr:uid="{00000000-0005-0000-0000-0000FF1A0000}"/>
    <cellStyle name="Normal 2 4 5 3 3 3 2" xfId="8930" xr:uid="{00000000-0005-0000-0000-0000001B0000}"/>
    <cellStyle name="Normal 2 4 5 3 3 4" xfId="10605" xr:uid="{00000000-0005-0000-0000-0000011B0000}"/>
    <cellStyle name="Normal 2 4 5 3 3 5" xfId="7255" xr:uid="{00000000-0005-0000-0000-0000021B0000}"/>
    <cellStyle name="Normal 2 4 5 3 4" xfId="4141" xr:uid="{00000000-0005-0000-0000-0000031B0000}"/>
    <cellStyle name="Normal 2 4 5 3 4 2" xfId="5108" xr:uid="{00000000-0005-0000-0000-0000041B0000}"/>
    <cellStyle name="Normal 2 4 5 3 4 2 2" xfId="6783" xr:uid="{00000000-0005-0000-0000-0000051B0000}"/>
    <cellStyle name="Normal 2 4 5 3 4 2 2 2" xfId="10133" xr:uid="{00000000-0005-0000-0000-0000061B0000}"/>
    <cellStyle name="Normal 2 4 5 3 4 2 3" xfId="11808" xr:uid="{00000000-0005-0000-0000-0000071B0000}"/>
    <cellStyle name="Normal 2 4 5 3 4 2 4" xfId="8458" xr:uid="{00000000-0005-0000-0000-0000081B0000}"/>
    <cellStyle name="Normal 2 4 5 3 4 3" xfId="5816" xr:uid="{00000000-0005-0000-0000-0000091B0000}"/>
    <cellStyle name="Normal 2 4 5 3 4 3 2" xfId="9166" xr:uid="{00000000-0005-0000-0000-00000A1B0000}"/>
    <cellStyle name="Normal 2 4 5 3 4 4" xfId="10841" xr:uid="{00000000-0005-0000-0000-00000B1B0000}"/>
    <cellStyle name="Normal 2 4 5 3 4 5" xfId="7491" xr:uid="{00000000-0005-0000-0000-00000C1B0000}"/>
    <cellStyle name="Normal 2 4 5 3 5" xfId="4377" xr:uid="{00000000-0005-0000-0000-00000D1B0000}"/>
    <cellStyle name="Normal 2 4 5 3 5 2" xfId="6052" xr:uid="{00000000-0005-0000-0000-00000E1B0000}"/>
    <cellStyle name="Normal 2 4 5 3 5 2 2" xfId="9402" xr:uid="{00000000-0005-0000-0000-00000F1B0000}"/>
    <cellStyle name="Normal 2 4 5 3 5 3" xfId="11077" xr:uid="{00000000-0005-0000-0000-0000101B0000}"/>
    <cellStyle name="Normal 2 4 5 3 5 4" xfId="7727" xr:uid="{00000000-0005-0000-0000-0000111B0000}"/>
    <cellStyle name="Normal 2 4 5 3 6" xfId="4636" xr:uid="{00000000-0005-0000-0000-0000121B0000}"/>
    <cellStyle name="Normal 2 4 5 3 6 2" xfId="6311" xr:uid="{00000000-0005-0000-0000-0000131B0000}"/>
    <cellStyle name="Normal 2 4 5 3 6 2 2" xfId="9661" xr:uid="{00000000-0005-0000-0000-0000141B0000}"/>
    <cellStyle name="Normal 2 4 5 3 6 3" xfId="11336" xr:uid="{00000000-0005-0000-0000-0000151B0000}"/>
    <cellStyle name="Normal 2 4 5 3 6 4" xfId="7986" xr:uid="{00000000-0005-0000-0000-0000161B0000}"/>
    <cellStyle name="Normal 2 4 5 3 7" xfId="5344" xr:uid="{00000000-0005-0000-0000-0000171B0000}"/>
    <cellStyle name="Normal 2 4 5 3 7 2" xfId="8694" xr:uid="{00000000-0005-0000-0000-0000181B0000}"/>
    <cellStyle name="Normal 2 4 5 3 8" xfId="10369" xr:uid="{00000000-0005-0000-0000-0000191B0000}"/>
    <cellStyle name="Normal 2 4 5 3 9" xfId="7019" xr:uid="{00000000-0005-0000-0000-00001A1B0000}"/>
    <cellStyle name="Normal 2 4 5 4" xfId="3693" xr:uid="{00000000-0005-0000-0000-00001B1B0000}"/>
    <cellStyle name="Normal 2 4 5 4 2" xfId="3811" xr:uid="{00000000-0005-0000-0000-00001C1B0000}"/>
    <cellStyle name="Normal 2 4 5 4 2 2" xfId="4047" xr:uid="{00000000-0005-0000-0000-00001D1B0000}"/>
    <cellStyle name="Normal 2 4 5 4 2 2 2" xfId="5014" xr:uid="{00000000-0005-0000-0000-00001E1B0000}"/>
    <cellStyle name="Normal 2 4 5 4 2 2 2 2" xfId="6689" xr:uid="{00000000-0005-0000-0000-00001F1B0000}"/>
    <cellStyle name="Normal 2 4 5 4 2 2 2 2 2" xfId="10039" xr:uid="{00000000-0005-0000-0000-0000201B0000}"/>
    <cellStyle name="Normal 2 4 5 4 2 2 2 3" xfId="11714" xr:uid="{00000000-0005-0000-0000-0000211B0000}"/>
    <cellStyle name="Normal 2 4 5 4 2 2 2 4" xfId="8364" xr:uid="{00000000-0005-0000-0000-0000221B0000}"/>
    <cellStyle name="Normal 2 4 5 4 2 2 3" xfId="5722" xr:uid="{00000000-0005-0000-0000-0000231B0000}"/>
    <cellStyle name="Normal 2 4 5 4 2 2 3 2" xfId="9072" xr:uid="{00000000-0005-0000-0000-0000241B0000}"/>
    <cellStyle name="Normal 2 4 5 4 2 2 4" xfId="10747" xr:uid="{00000000-0005-0000-0000-0000251B0000}"/>
    <cellStyle name="Normal 2 4 5 4 2 2 5" xfId="7397" xr:uid="{00000000-0005-0000-0000-0000261B0000}"/>
    <cellStyle name="Normal 2 4 5 4 2 3" xfId="4283" xr:uid="{00000000-0005-0000-0000-0000271B0000}"/>
    <cellStyle name="Normal 2 4 5 4 2 3 2" xfId="5250" xr:uid="{00000000-0005-0000-0000-0000281B0000}"/>
    <cellStyle name="Normal 2 4 5 4 2 3 2 2" xfId="6925" xr:uid="{00000000-0005-0000-0000-0000291B0000}"/>
    <cellStyle name="Normal 2 4 5 4 2 3 2 2 2" xfId="10275" xr:uid="{00000000-0005-0000-0000-00002A1B0000}"/>
    <cellStyle name="Normal 2 4 5 4 2 3 2 3" xfId="11950" xr:uid="{00000000-0005-0000-0000-00002B1B0000}"/>
    <cellStyle name="Normal 2 4 5 4 2 3 2 4" xfId="8600" xr:uid="{00000000-0005-0000-0000-00002C1B0000}"/>
    <cellStyle name="Normal 2 4 5 4 2 3 3" xfId="5958" xr:uid="{00000000-0005-0000-0000-00002D1B0000}"/>
    <cellStyle name="Normal 2 4 5 4 2 3 3 2" xfId="9308" xr:uid="{00000000-0005-0000-0000-00002E1B0000}"/>
    <cellStyle name="Normal 2 4 5 4 2 3 4" xfId="10983" xr:uid="{00000000-0005-0000-0000-00002F1B0000}"/>
    <cellStyle name="Normal 2 4 5 4 2 3 5" xfId="7633" xr:uid="{00000000-0005-0000-0000-0000301B0000}"/>
    <cellStyle name="Normal 2 4 5 4 2 4" xfId="4519" xr:uid="{00000000-0005-0000-0000-0000311B0000}"/>
    <cellStyle name="Normal 2 4 5 4 2 4 2" xfId="6194" xr:uid="{00000000-0005-0000-0000-0000321B0000}"/>
    <cellStyle name="Normal 2 4 5 4 2 4 2 2" xfId="9544" xr:uid="{00000000-0005-0000-0000-0000331B0000}"/>
    <cellStyle name="Normal 2 4 5 4 2 4 3" xfId="11219" xr:uid="{00000000-0005-0000-0000-0000341B0000}"/>
    <cellStyle name="Normal 2 4 5 4 2 4 4" xfId="7869" xr:uid="{00000000-0005-0000-0000-0000351B0000}"/>
    <cellStyle name="Normal 2 4 5 4 2 5" xfId="4778" xr:uid="{00000000-0005-0000-0000-0000361B0000}"/>
    <cellStyle name="Normal 2 4 5 4 2 5 2" xfId="6453" xr:uid="{00000000-0005-0000-0000-0000371B0000}"/>
    <cellStyle name="Normal 2 4 5 4 2 5 2 2" xfId="9803" xr:uid="{00000000-0005-0000-0000-0000381B0000}"/>
    <cellStyle name="Normal 2 4 5 4 2 5 3" xfId="11478" xr:uid="{00000000-0005-0000-0000-0000391B0000}"/>
    <cellStyle name="Normal 2 4 5 4 2 5 4" xfId="8128" xr:uid="{00000000-0005-0000-0000-00003A1B0000}"/>
    <cellStyle name="Normal 2 4 5 4 2 6" xfId="5486" xr:uid="{00000000-0005-0000-0000-00003B1B0000}"/>
    <cellStyle name="Normal 2 4 5 4 2 6 2" xfId="8836" xr:uid="{00000000-0005-0000-0000-00003C1B0000}"/>
    <cellStyle name="Normal 2 4 5 4 2 7" xfId="10511" xr:uid="{00000000-0005-0000-0000-00003D1B0000}"/>
    <cellStyle name="Normal 2 4 5 4 2 8" xfId="7161" xr:uid="{00000000-0005-0000-0000-00003E1B0000}"/>
    <cellStyle name="Normal 2 4 5 4 3" xfId="3929" xr:uid="{00000000-0005-0000-0000-00003F1B0000}"/>
    <cellStyle name="Normal 2 4 5 4 3 2" xfId="4896" xr:uid="{00000000-0005-0000-0000-0000401B0000}"/>
    <cellStyle name="Normal 2 4 5 4 3 2 2" xfId="6571" xr:uid="{00000000-0005-0000-0000-0000411B0000}"/>
    <cellStyle name="Normal 2 4 5 4 3 2 2 2" xfId="9921" xr:uid="{00000000-0005-0000-0000-0000421B0000}"/>
    <cellStyle name="Normal 2 4 5 4 3 2 3" xfId="11596" xr:uid="{00000000-0005-0000-0000-0000431B0000}"/>
    <cellStyle name="Normal 2 4 5 4 3 2 4" xfId="8246" xr:uid="{00000000-0005-0000-0000-0000441B0000}"/>
    <cellStyle name="Normal 2 4 5 4 3 3" xfId="5604" xr:uid="{00000000-0005-0000-0000-0000451B0000}"/>
    <cellStyle name="Normal 2 4 5 4 3 3 2" xfId="8954" xr:uid="{00000000-0005-0000-0000-0000461B0000}"/>
    <cellStyle name="Normal 2 4 5 4 3 4" xfId="10629" xr:uid="{00000000-0005-0000-0000-0000471B0000}"/>
    <cellStyle name="Normal 2 4 5 4 3 5" xfId="7279" xr:uid="{00000000-0005-0000-0000-0000481B0000}"/>
    <cellStyle name="Normal 2 4 5 4 4" xfId="4165" xr:uid="{00000000-0005-0000-0000-0000491B0000}"/>
    <cellStyle name="Normal 2 4 5 4 4 2" xfId="5132" xr:uid="{00000000-0005-0000-0000-00004A1B0000}"/>
    <cellStyle name="Normal 2 4 5 4 4 2 2" xfId="6807" xr:uid="{00000000-0005-0000-0000-00004B1B0000}"/>
    <cellStyle name="Normal 2 4 5 4 4 2 2 2" xfId="10157" xr:uid="{00000000-0005-0000-0000-00004C1B0000}"/>
    <cellStyle name="Normal 2 4 5 4 4 2 3" xfId="11832" xr:uid="{00000000-0005-0000-0000-00004D1B0000}"/>
    <cellStyle name="Normal 2 4 5 4 4 2 4" xfId="8482" xr:uid="{00000000-0005-0000-0000-00004E1B0000}"/>
    <cellStyle name="Normal 2 4 5 4 4 3" xfId="5840" xr:uid="{00000000-0005-0000-0000-00004F1B0000}"/>
    <cellStyle name="Normal 2 4 5 4 4 3 2" xfId="9190" xr:uid="{00000000-0005-0000-0000-0000501B0000}"/>
    <cellStyle name="Normal 2 4 5 4 4 4" xfId="10865" xr:uid="{00000000-0005-0000-0000-0000511B0000}"/>
    <cellStyle name="Normal 2 4 5 4 4 5" xfId="7515" xr:uid="{00000000-0005-0000-0000-0000521B0000}"/>
    <cellStyle name="Normal 2 4 5 4 5" xfId="4401" xr:uid="{00000000-0005-0000-0000-0000531B0000}"/>
    <cellStyle name="Normal 2 4 5 4 5 2" xfId="6076" xr:uid="{00000000-0005-0000-0000-0000541B0000}"/>
    <cellStyle name="Normal 2 4 5 4 5 2 2" xfId="9426" xr:uid="{00000000-0005-0000-0000-0000551B0000}"/>
    <cellStyle name="Normal 2 4 5 4 5 3" xfId="11101" xr:uid="{00000000-0005-0000-0000-0000561B0000}"/>
    <cellStyle name="Normal 2 4 5 4 5 4" xfId="7751" xr:uid="{00000000-0005-0000-0000-0000571B0000}"/>
    <cellStyle name="Normal 2 4 5 4 6" xfId="4660" xr:uid="{00000000-0005-0000-0000-0000581B0000}"/>
    <cellStyle name="Normal 2 4 5 4 6 2" xfId="6335" xr:uid="{00000000-0005-0000-0000-0000591B0000}"/>
    <cellStyle name="Normal 2 4 5 4 6 2 2" xfId="9685" xr:uid="{00000000-0005-0000-0000-00005A1B0000}"/>
    <cellStyle name="Normal 2 4 5 4 6 3" xfId="11360" xr:uid="{00000000-0005-0000-0000-00005B1B0000}"/>
    <cellStyle name="Normal 2 4 5 4 6 4" xfId="8010" xr:uid="{00000000-0005-0000-0000-00005C1B0000}"/>
    <cellStyle name="Normal 2 4 5 4 7" xfId="5368" xr:uid="{00000000-0005-0000-0000-00005D1B0000}"/>
    <cellStyle name="Normal 2 4 5 4 7 2" xfId="8718" xr:uid="{00000000-0005-0000-0000-00005E1B0000}"/>
    <cellStyle name="Normal 2 4 5 4 8" xfId="10393" xr:uid="{00000000-0005-0000-0000-00005F1B0000}"/>
    <cellStyle name="Normal 2 4 5 4 9" xfId="7043" xr:uid="{00000000-0005-0000-0000-0000601B0000}"/>
    <cellStyle name="Normal 2 4 5 5" xfId="3717" xr:uid="{00000000-0005-0000-0000-0000611B0000}"/>
    <cellStyle name="Normal 2 4 5 5 2" xfId="3835" xr:uid="{00000000-0005-0000-0000-0000621B0000}"/>
    <cellStyle name="Normal 2 4 5 5 2 2" xfId="4071" xr:uid="{00000000-0005-0000-0000-0000631B0000}"/>
    <cellStyle name="Normal 2 4 5 5 2 2 2" xfId="5038" xr:uid="{00000000-0005-0000-0000-0000641B0000}"/>
    <cellStyle name="Normal 2 4 5 5 2 2 2 2" xfId="6713" xr:uid="{00000000-0005-0000-0000-0000651B0000}"/>
    <cellStyle name="Normal 2 4 5 5 2 2 2 2 2" xfId="10063" xr:uid="{00000000-0005-0000-0000-0000661B0000}"/>
    <cellStyle name="Normal 2 4 5 5 2 2 2 3" xfId="11738" xr:uid="{00000000-0005-0000-0000-0000671B0000}"/>
    <cellStyle name="Normal 2 4 5 5 2 2 2 4" xfId="8388" xr:uid="{00000000-0005-0000-0000-0000681B0000}"/>
    <cellStyle name="Normal 2 4 5 5 2 2 3" xfId="5746" xr:uid="{00000000-0005-0000-0000-0000691B0000}"/>
    <cellStyle name="Normal 2 4 5 5 2 2 3 2" xfId="9096" xr:uid="{00000000-0005-0000-0000-00006A1B0000}"/>
    <cellStyle name="Normal 2 4 5 5 2 2 4" xfId="10771" xr:uid="{00000000-0005-0000-0000-00006B1B0000}"/>
    <cellStyle name="Normal 2 4 5 5 2 2 5" xfId="7421" xr:uid="{00000000-0005-0000-0000-00006C1B0000}"/>
    <cellStyle name="Normal 2 4 5 5 2 3" xfId="4307" xr:uid="{00000000-0005-0000-0000-00006D1B0000}"/>
    <cellStyle name="Normal 2 4 5 5 2 3 2" xfId="5274" xr:uid="{00000000-0005-0000-0000-00006E1B0000}"/>
    <cellStyle name="Normal 2 4 5 5 2 3 2 2" xfId="6949" xr:uid="{00000000-0005-0000-0000-00006F1B0000}"/>
    <cellStyle name="Normal 2 4 5 5 2 3 2 2 2" xfId="10299" xr:uid="{00000000-0005-0000-0000-0000701B0000}"/>
    <cellStyle name="Normal 2 4 5 5 2 3 2 3" xfId="11974" xr:uid="{00000000-0005-0000-0000-0000711B0000}"/>
    <cellStyle name="Normal 2 4 5 5 2 3 2 4" xfId="8624" xr:uid="{00000000-0005-0000-0000-0000721B0000}"/>
    <cellStyle name="Normal 2 4 5 5 2 3 3" xfId="5982" xr:uid="{00000000-0005-0000-0000-0000731B0000}"/>
    <cellStyle name="Normal 2 4 5 5 2 3 3 2" xfId="9332" xr:uid="{00000000-0005-0000-0000-0000741B0000}"/>
    <cellStyle name="Normal 2 4 5 5 2 3 4" xfId="11007" xr:uid="{00000000-0005-0000-0000-0000751B0000}"/>
    <cellStyle name="Normal 2 4 5 5 2 3 5" xfId="7657" xr:uid="{00000000-0005-0000-0000-0000761B0000}"/>
    <cellStyle name="Normal 2 4 5 5 2 4" xfId="4543" xr:uid="{00000000-0005-0000-0000-0000771B0000}"/>
    <cellStyle name="Normal 2 4 5 5 2 4 2" xfId="6218" xr:uid="{00000000-0005-0000-0000-0000781B0000}"/>
    <cellStyle name="Normal 2 4 5 5 2 4 2 2" xfId="9568" xr:uid="{00000000-0005-0000-0000-0000791B0000}"/>
    <cellStyle name="Normal 2 4 5 5 2 4 3" xfId="11243" xr:uid="{00000000-0005-0000-0000-00007A1B0000}"/>
    <cellStyle name="Normal 2 4 5 5 2 4 4" xfId="7893" xr:uid="{00000000-0005-0000-0000-00007B1B0000}"/>
    <cellStyle name="Normal 2 4 5 5 2 5" xfId="4802" xr:uid="{00000000-0005-0000-0000-00007C1B0000}"/>
    <cellStyle name="Normal 2 4 5 5 2 5 2" xfId="6477" xr:uid="{00000000-0005-0000-0000-00007D1B0000}"/>
    <cellStyle name="Normal 2 4 5 5 2 5 2 2" xfId="9827" xr:uid="{00000000-0005-0000-0000-00007E1B0000}"/>
    <cellStyle name="Normal 2 4 5 5 2 5 3" xfId="11502" xr:uid="{00000000-0005-0000-0000-00007F1B0000}"/>
    <cellStyle name="Normal 2 4 5 5 2 5 4" xfId="8152" xr:uid="{00000000-0005-0000-0000-0000801B0000}"/>
    <cellStyle name="Normal 2 4 5 5 2 6" xfId="5510" xr:uid="{00000000-0005-0000-0000-0000811B0000}"/>
    <cellStyle name="Normal 2 4 5 5 2 6 2" xfId="8860" xr:uid="{00000000-0005-0000-0000-0000821B0000}"/>
    <cellStyle name="Normal 2 4 5 5 2 7" xfId="10535" xr:uid="{00000000-0005-0000-0000-0000831B0000}"/>
    <cellStyle name="Normal 2 4 5 5 2 8" xfId="7185" xr:uid="{00000000-0005-0000-0000-0000841B0000}"/>
    <cellStyle name="Normal 2 4 5 5 3" xfId="3953" xr:uid="{00000000-0005-0000-0000-0000851B0000}"/>
    <cellStyle name="Normal 2 4 5 5 3 2" xfId="4920" xr:uid="{00000000-0005-0000-0000-0000861B0000}"/>
    <cellStyle name="Normal 2 4 5 5 3 2 2" xfId="6595" xr:uid="{00000000-0005-0000-0000-0000871B0000}"/>
    <cellStyle name="Normal 2 4 5 5 3 2 2 2" xfId="9945" xr:uid="{00000000-0005-0000-0000-0000881B0000}"/>
    <cellStyle name="Normal 2 4 5 5 3 2 3" xfId="11620" xr:uid="{00000000-0005-0000-0000-0000891B0000}"/>
    <cellStyle name="Normal 2 4 5 5 3 2 4" xfId="8270" xr:uid="{00000000-0005-0000-0000-00008A1B0000}"/>
    <cellStyle name="Normal 2 4 5 5 3 3" xfId="5628" xr:uid="{00000000-0005-0000-0000-00008B1B0000}"/>
    <cellStyle name="Normal 2 4 5 5 3 3 2" xfId="8978" xr:uid="{00000000-0005-0000-0000-00008C1B0000}"/>
    <cellStyle name="Normal 2 4 5 5 3 4" xfId="10653" xr:uid="{00000000-0005-0000-0000-00008D1B0000}"/>
    <cellStyle name="Normal 2 4 5 5 3 5" xfId="7303" xr:uid="{00000000-0005-0000-0000-00008E1B0000}"/>
    <cellStyle name="Normal 2 4 5 5 4" xfId="4189" xr:uid="{00000000-0005-0000-0000-00008F1B0000}"/>
    <cellStyle name="Normal 2 4 5 5 4 2" xfId="5156" xr:uid="{00000000-0005-0000-0000-0000901B0000}"/>
    <cellStyle name="Normal 2 4 5 5 4 2 2" xfId="6831" xr:uid="{00000000-0005-0000-0000-0000911B0000}"/>
    <cellStyle name="Normal 2 4 5 5 4 2 2 2" xfId="10181" xr:uid="{00000000-0005-0000-0000-0000921B0000}"/>
    <cellStyle name="Normal 2 4 5 5 4 2 3" xfId="11856" xr:uid="{00000000-0005-0000-0000-0000931B0000}"/>
    <cellStyle name="Normal 2 4 5 5 4 2 4" xfId="8506" xr:uid="{00000000-0005-0000-0000-0000941B0000}"/>
    <cellStyle name="Normal 2 4 5 5 4 3" xfId="5864" xr:uid="{00000000-0005-0000-0000-0000951B0000}"/>
    <cellStyle name="Normal 2 4 5 5 4 3 2" xfId="9214" xr:uid="{00000000-0005-0000-0000-0000961B0000}"/>
    <cellStyle name="Normal 2 4 5 5 4 4" xfId="10889" xr:uid="{00000000-0005-0000-0000-0000971B0000}"/>
    <cellStyle name="Normal 2 4 5 5 4 5" xfId="7539" xr:uid="{00000000-0005-0000-0000-0000981B0000}"/>
    <cellStyle name="Normal 2 4 5 5 5" xfId="4425" xr:uid="{00000000-0005-0000-0000-0000991B0000}"/>
    <cellStyle name="Normal 2 4 5 5 5 2" xfId="6100" xr:uid="{00000000-0005-0000-0000-00009A1B0000}"/>
    <cellStyle name="Normal 2 4 5 5 5 2 2" xfId="9450" xr:uid="{00000000-0005-0000-0000-00009B1B0000}"/>
    <cellStyle name="Normal 2 4 5 5 5 3" xfId="11125" xr:uid="{00000000-0005-0000-0000-00009C1B0000}"/>
    <cellStyle name="Normal 2 4 5 5 5 4" xfId="7775" xr:uid="{00000000-0005-0000-0000-00009D1B0000}"/>
    <cellStyle name="Normal 2 4 5 5 6" xfId="4684" xr:uid="{00000000-0005-0000-0000-00009E1B0000}"/>
    <cellStyle name="Normal 2 4 5 5 6 2" xfId="6359" xr:uid="{00000000-0005-0000-0000-00009F1B0000}"/>
    <cellStyle name="Normal 2 4 5 5 6 2 2" xfId="9709" xr:uid="{00000000-0005-0000-0000-0000A01B0000}"/>
    <cellStyle name="Normal 2 4 5 5 6 3" xfId="11384" xr:uid="{00000000-0005-0000-0000-0000A11B0000}"/>
    <cellStyle name="Normal 2 4 5 5 6 4" xfId="8034" xr:uid="{00000000-0005-0000-0000-0000A21B0000}"/>
    <cellStyle name="Normal 2 4 5 5 7" xfId="5392" xr:uid="{00000000-0005-0000-0000-0000A31B0000}"/>
    <cellStyle name="Normal 2 4 5 5 7 2" xfId="8742" xr:uid="{00000000-0005-0000-0000-0000A41B0000}"/>
    <cellStyle name="Normal 2 4 5 5 8" xfId="10417" xr:uid="{00000000-0005-0000-0000-0000A51B0000}"/>
    <cellStyle name="Normal 2 4 5 5 9" xfId="7067" xr:uid="{00000000-0005-0000-0000-0000A61B0000}"/>
    <cellStyle name="Normal 2 4 5 6" xfId="3741" xr:uid="{00000000-0005-0000-0000-0000A71B0000}"/>
    <cellStyle name="Normal 2 4 5 6 2" xfId="3977" xr:uid="{00000000-0005-0000-0000-0000A81B0000}"/>
    <cellStyle name="Normal 2 4 5 6 2 2" xfId="4944" xr:uid="{00000000-0005-0000-0000-0000A91B0000}"/>
    <cellStyle name="Normal 2 4 5 6 2 2 2" xfId="6619" xr:uid="{00000000-0005-0000-0000-0000AA1B0000}"/>
    <cellStyle name="Normal 2 4 5 6 2 2 2 2" xfId="9969" xr:uid="{00000000-0005-0000-0000-0000AB1B0000}"/>
    <cellStyle name="Normal 2 4 5 6 2 2 3" xfId="11644" xr:uid="{00000000-0005-0000-0000-0000AC1B0000}"/>
    <cellStyle name="Normal 2 4 5 6 2 2 4" xfId="8294" xr:uid="{00000000-0005-0000-0000-0000AD1B0000}"/>
    <cellStyle name="Normal 2 4 5 6 2 3" xfId="5652" xr:uid="{00000000-0005-0000-0000-0000AE1B0000}"/>
    <cellStyle name="Normal 2 4 5 6 2 3 2" xfId="9002" xr:uid="{00000000-0005-0000-0000-0000AF1B0000}"/>
    <cellStyle name="Normal 2 4 5 6 2 4" xfId="10677" xr:uid="{00000000-0005-0000-0000-0000B01B0000}"/>
    <cellStyle name="Normal 2 4 5 6 2 5" xfId="7327" xr:uid="{00000000-0005-0000-0000-0000B11B0000}"/>
    <cellStyle name="Normal 2 4 5 6 3" xfId="4213" xr:uid="{00000000-0005-0000-0000-0000B21B0000}"/>
    <cellStyle name="Normal 2 4 5 6 3 2" xfId="5180" xr:uid="{00000000-0005-0000-0000-0000B31B0000}"/>
    <cellStyle name="Normal 2 4 5 6 3 2 2" xfId="6855" xr:uid="{00000000-0005-0000-0000-0000B41B0000}"/>
    <cellStyle name="Normal 2 4 5 6 3 2 2 2" xfId="10205" xr:uid="{00000000-0005-0000-0000-0000B51B0000}"/>
    <cellStyle name="Normal 2 4 5 6 3 2 3" xfId="11880" xr:uid="{00000000-0005-0000-0000-0000B61B0000}"/>
    <cellStyle name="Normal 2 4 5 6 3 2 4" xfId="8530" xr:uid="{00000000-0005-0000-0000-0000B71B0000}"/>
    <cellStyle name="Normal 2 4 5 6 3 3" xfId="5888" xr:uid="{00000000-0005-0000-0000-0000B81B0000}"/>
    <cellStyle name="Normal 2 4 5 6 3 3 2" xfId="9238" xr:uid="{00000000-0005-0000-0000-0000B91B0000}"/>
    <cellStyle name="Normal 2 4 5 6 3 4" xfId="10913" xr:uid="{00000000-0005-0000-0000-0000BA1B0000}"/>
    <cellStyle name="Normal 2 4 5 6 3 5" xfId="7563" xr:uid="{00000000-0005-0000-0000-0000BB1B0000}"/>
    <cellStyle name="Normal 2 4 5 6 4" xfId="4449" xr:uid="{00000000-0005-0000-0000-0000BC1B0000}"/>
    <cellStyle name="Normal 2 4 5 6 4 2" xfId="6124" xr:uid="{00000000-0005-0000-0000-0000BD1B0000}"/>
    <cellStyle name="Normal 2 4 5 6 4 2 2" xfId="9474" xr:uid="{00000000-0005-0000-0000-0000BE1B0000}"/>
    <cellStyle name="Normal 2 4 5 6 4 3" xfId="11149" xr:uid="{00000000-0005-0000-0000-0000BF1B0000}"/>
    <cellStyle name="Normal 2 4 5 6 4 4" xfId="7799" xr:uid="{00000000-0005-0000-0000-0000C01B0000}"/>
    <cellStyle name="Normal 2 4 5 6 5" xfId="4708" xr:uid="{00000000-0005-0000-0000-0000C11B0000}"/>
    <cellStyle name="Normal 2 4 5 6 5 2" xfId="6383" xr:uid="{00000000-0005-0000-0000-0000C21B0000}"/>
    <cellStyle name="Normal 2 4 5 6 5 2 2" xfId="9733" xr:uid="{00000000-0005-0000-0000-0000C31B0000}"/>
    <cellStyle name="Normal 2 4 5 6 5 3" xfId="11408" xr:uid="{00000000-0005-0000-0000-0000C41B0000}"/>
    <cellStyle name="Normal 2 4 5 6 5 4" xfId="8058" xr:uid="{00000000-0005-0000-0000-0000C51B0000}"/>
    <cellStyle name="Normal 2 4 5 6 6" xfId="5416" xr:uid="{00000000-0005-0000-0000-0000C61B0000}"/>
    <cellStyle name="Normal 2 4 5 6 6 2" xfId="8766" xr:uid="{00000000-0005-0000-0000-0000C71B0000}"/>
    <cellStyle name="Normal 2 4 5 6 7" xfId="10441" xr:uid="{00000000-0005-0000-0000-0000C81B0000}"/>
    <cellStyle name="Normal 2 4 5 6 8" xfId="7091" xr:uid="{00000000-0005-0000-0000-0000C91B0000}"/>
    <cellStyle name="Normal 2 4 5 7" xfId="3859" xr:uid="{00000000-0005-0000-0000-0000CA1B0000}"/>
    <cellStyle name="Normal 2 4 5 7 2" xfId="4826" xr:uid="{00000000-0005-0000-0000-0000CB1B0000}"/>
    <cellStyle name="Normal 2 4 5 7 2 2" xfId="6501" xr:uid="{00000000-0005-0000-0000-0000CC1B0000}"/>
    <cellStyle name="Normal 2 4 5 7 2 2 2" xfId="9851" xr:uid="{00000000-0005-0000-0000-0000CD1B0000}"/>
    <cellStyle name="Normal 2 4 5 7 2 3" xfId="11526" xr:uid="{00000000-0005-0000-0000-0000CE1B0000}"/>
    <cellStyle name="Normal 2 4 5 7 2 4" xfId="8176" xr:uid="{00000000-0005-0000-0000-0000CF1B0000}"/>
    <cellStyle name="Normal 2 4 5 7 3" xfId="5534" xr:uid="{00000000-0005-0000-0000-0000D01B0000}"/>
    <cellStyle name="Normal 2 4 5 7 3 2" xfId="8884" xr:uid="{00000000-0005-0000-0000-0000D11B0000}"/>
    <cellStyle name="Normal 2 4 5 7 4" xfId="10559" xr:uid="{00000000-0005-0000-0000-0000D21B0000}"/>
    <cellStyle name="Normal 2 4 5 7 5" xfId="7209" xr:uid="{00000000-0005-0000-0000-0000D31B0000}"/>
    <cellStyle name="Normal 2 4 5 8" xfId="4095" xr:uid="{00000000-0005-0000-0000-0000D41B0000}"/>
    <cellStyle name="Normal 2 4 5 8 2" xfId="5062" xr:uid="{00000000-0005-0000-0000-0000D51B0000}"/>
    <cellStyle name="Normal 2 4 5 8 2 2" xfId="6737" xr:uid="{00000000-0005-0000-0000-0000D61B0000}"/>
    <cellStyle name="Normal 2 4 5 8 2 2 2" xfId="10087" xr:uid="{00000000-0005-0000-0000-0000D71B0000}"/>
    <cellStyle name="Normal 2 4 5 8 2 3" xfId="11762" xr:uid="{00000000-0005-0000-0000-0000D81B0000}"/>
    <cellStyle name="Normal 2 4 5 8 2 4" xfId="8412" xr:uid="{00000000-0005-0000-0000-0000D91B0000}"/>
    <cellStyle name="Normal 2 4 5 8 3" xfId="5770" xr:uid="{00000000-0005-0000-0000-0000DA1B0000}"/>
    <cellStyle name="Normal 2 4 5 8 3 2" xfId="9120" xr:uid="{00000000-0005-0000-0000-0000DB1B0000}"/>
    <cellStyle name="Normal 2 4 5 8 4" xfId="10795" xr:uid="{00000000-0005-0000-0000-0000DC1B0000}"/>
    <cellStyle name="Normal 2 4 5 8 5" xfId="7445" xr:uid="{00000000-0005-0000-0000-0000DD1B0000}"/>
    <cellStyle name="Normal 2 4 5 9" xfId="4331" xr:uid="{00000000-0005-0000-0000-0000DE1B0000}"/>
    <cellStyle name="Normal 2 4 5 9 2" xfId="4590" xr:uid="{00000000-0005-0000-0000-0000DF1B0000}"/>
    <cellStyle name="Normal 2 4 5 9 2 2" xfId="6265" xr:uid="{00000000-0005-0000-0000-0000E01B0000}"/>
    <cellStyle name="Normal 2 4 5 9 2 2 2" xfId="9615" xr:uid="{00000000-0005-0000-0000-0000E11B0000}"/>
    <cellStyle name="Normal 2 4 5 9 2 3" xfId="11290" xr:uid="{00000000-0005-0000-0000-0000E21B0000}"/>
    <cellStyle name="Normal 2 4 5 9 2 4" xfId="7940" xr:uid="{00000000-0005-0000-0000-0000E31B0000}"/>
    <cellStyle name="Normal 2 4 5 9 3" xfId="6006" xr:uid="{00000000-0005-0000-0000-0000E41B0000}"/>
    <cellStyle name="Normal 2 4 5 9 3 2" xfId="9356" xr:uid="{00000000-0005-0000-0000-0000E51B0000}"/>
    <cellStyle name="Normal 2 4 5 9 4" xfId="11031" xr:uid="{00000000-0005-0000-0000-0000E61B0000}"/>
    <cellStyle name="Normal 2 4 5 9 5" xfId="7681" xr:uid="{00000000-0005-0000-0000-0000E71B0000}"/>
    <cellStyle name="Normal 2 4 6" xfId="2740" xr:uid="{00000000-0005-0000-0000-0000B40A0000}"/>
    <cellStyle name="Normal 2 4 7" xfId="2741" xr:uid="{00000000-0005-0000-0000-0000B50A0000}"/>
    <cellStyle name="Normal 2 5" xfId="2742" xr:uid="{00000000-0005-0000-0000-0000B60A0000}"/>
    <cellStyle name="Normal 2 5 2" xfId="2743" xr:uid="{00000000-0005-0000-0000-0000B70A0000}"/>
    <cellStyle name="Normal 2 5 2 2" xfId="2744" xr:uid="{00000000-0005-0000-0000-0000B80A0000}"/>
    <cellStyle name="Normal 2 5 2 3" xfId="2745" xr:uid="{00000000-0005-0000-0000-0000B90A0000}"/>
    <cellStyle name="Normal 2 5 3" xfId="2746" xr:uid="{00000000-0005-0000-0000-0000BA0A0000}"/>
    <cellStyle name="Normal 2 6" xfId="2747" xr:uid="{00000000-0005-0000-0000-0000BB0A0000}"/>
    <cellStyle name="Normal 2 6 2" xfId="2748" xr:uid="{00000000-0005-0000-0000-0000BC0A0000}"/>
    <cellStyle name="Normal 2 6 2 2" xfId="2749" xr:uid="{00000000-0005-0000-0000-0000BD0A0000}"/>
    <cellStyle name="Normal 2 6 2 2 2" xfId="2750" xr:uid="{00000000-0005-0000-0000-0000BE0A0000}"/>
    <cellStyle name="Normal 2 6 2 3" xfId="2751" xr:uid="{00000000-0005-0000-0000-0000BF0A0000}"/>
    <cellStyle name="Normal 2 6 3" xfId="2752" xr:uid="{00000000-0005-0000-0000-0000C00A0000}"/>
    <cellStyle name="Normal 2 6 4" xfId="2753" xr:uid="{00000000-0005-0000-0000-0000C10A0000}"/>
    <cellStyle name="Normal 2 6 4 2" xfId="2754" xr:uid="{00000000-0005-0000-0000-0000C20A0000}"/>
    <cellStyle name="Normal 2 6 5" xfId="2755" xr:uid="{00000000-0005-0000-0000-0000C30A0000}"/>
    <cellStyle name="Normal 2 6 6" xfId="2756" xr:uid="{00000000-0005-0000-0000-0000C40A0000}"/>
    <cellStyle name="Normal 2 7" xfId="2757" xr:uid="{00000000-0005-0000-0000-0000C50A0000}"/>
    <cellStyle name="Normal 2 7 2" xfId="2758" xr:uid="{00000000-0005-0000-0000-0000C60A0000}"/>
    <cellStyle name="Normal 2 7 2 2" xfId="2759" xr:uid="{00000000-0005-0000-0000-0000C70A0000}"/>
    <cellStyle name="Normal 2 7 3" xfId="2760" xr:uid="{00000000-0005-0000-0000-0000C80A0000}"/>
    <cellStyle name="Normal 2 8" xfId="2761" xr:uid="{00000000-0005-0000-0000-0000C90A0000}"/>
    <cellStyle name="Normal 2 8 10" xfId="4096" xr:uid="{00000000-0005-0000-0000-0000EE1B0000}"/>
    <cellStyle name="Normal 2 8 10 2" xfId="5063" xr:uid="{00000000-0005-0000-0000-0000EF1B0000}"/>
    <cellStyle name="Normal 2 8 10 2 2" xfId="6738" xr:uid="{00000000-0005-0000-0000-0000F01B0000}"/>
    <cellStyle name="Normal 2 8 10 2 2 2" xfId="10088" xr:uid="{00000000-0005-0000-0000-0000F11B0000}"/>
    <cellStyle name="Normal 2 8 10 2 3" xfId="11763" xr:uid="{00000000-0005-0000-0000-0000F21B0000}"/>
    <cellStyle name="Normal 2 8 10 2 4" xfId="8413" xr:uid="{00000000-0005-0000-0000-0000F31B0000}"/>
    <cellStyle name="Normal 2 8 10 3" xfId="5771" xr:uid="{00000000-0005-0000-0000-0000F41B0000}"/>
    <cellStyle name="Normal 2 8 10 3 2" xfId="9121" xr:uid="{00000000-0005-0000-0000-0000F51B0000}"/>
    <cellStyle name="Normal 2 8 10 4" xfId="10796" xr:uid="{00000000-0005-0000-0000-0000F61B0000}"/>
    <cellStyle name="Normal 2 8 10 5" xfId="7446" xr:uid="{00000000-0005-0000-0000-0000F71B0000}"/>
    <cellStyle name="Normal 2 8 11" xfId="4332" xr:uid="{00000000-0005-0000-0000-0000F81B0000}"/>
    <cellStyle name="Normal 2 8 11 2" xfId="4591" xr:uid="{00000000-0005-0000-0000-0000F91B0000}"/>
    <cellStyle name="Normal 2 8 11 2 2" xfId="6266" xr:uid="{00000000-0005-0000-0000-0000FA1B0000}"/>
    <cellStyle name="Normal 2 8 11 2 2 2" xfId="9616" xr:uid="{00000000-0005-0000-0000-0000FB1B0000}"/>
    <cellStyle name="Normal 2 8 11 2 3" xfId="11291" xr:uid="{00000000-0005-0000-0000-0000FC1B0000}"/>
    <cellStyle name="Normal 2 8 11 2 4" xfId="7941" xr:uid="{00000000-0005-0000-0000-0000FD1B0000}"/>
    <cellStyle name="Normal 2 8 11 3" xfId="6007" xr:uid="{00000000-0005-0000-0000-0000FE1B0000}"/>
    <cellStyle name="Normal 2 8 11 3 2" xfId="9357" xr:uid="{00000000-0005-0000-0000-0000FF1B0000}"/>
    <cellStyle name="Normal 2 8 11 4" xfId="11032" xr:uid="{00000000-0005-0000-0000-0000001C0000}"/>
    <cellStyle name="Normal 2 8 11 5" xfId="7682" xr:uid="{00000000-0005-0000-0000-0000011C0000}"/>
    <cellStyle name="Normal 2 8 12" xfId="4568" xr:uid="{00000000-0005-0000-0000-0000021C0000}"/>
    <cellStyle name="Normal 2 8 12 2" xfId="6243" xr:uid="{00000000-0005-0000-0000-0000031C0000}"/>
    <cellStyle name="Normal 2 8 12 2 2" xfId="9593" xr:uid="{00000000-0005-0000-0000-0000041C0000}"/>
    <cellStyle name="Normal 2 8 12 3" xfId="11268" xr:uid="{00000000-0005-0000-0000-0000051C0000}"/>
    <cellStyle name="Normal 2 8 12 4" xfId="7918" xr:uid="{00000000-0005-0000-0000-0000061C0000}"/>
    <cellStyle name="Normal 2 8 13" xfId="5299" xr:uid="{00000000-0005-0000-0000-0000071C0000}"/>
    <cellStyle name="Normal 2 8 13 2" xfId="8649" xr:uid="{00000000-0005-0000-0000-0000081C0000}"/>
    <cellStyle name="Normal 2 8 14" xfId="10324" xr:uid="{00000000-0005-0000-0000-0000091C0000}"/>
    <cellStyle name="Normal 2 8 15" xfId="6974" xr:uid="{00000000-0005-0000-0000-00000A1C0000}"/>
    <cellStyle name="Normal 2 8 16" xfId="3414" xr:uid="{00000000-0005-0000-0000-0000ED1B0000}"/>
    <cellStyle name="Normal 2 8 2" xfId="2762" xr:uid="{00000000-0005-0000-0000-0000CA0A0000}"/>
    <cellStyle name="Normal 2 8 2 2" xfId="2763" xr:uid="{00000000-0005-0000-0000-0000CB0A0000}"/>
    <cellStyle name="Normal 2 8 2 2 10" xfId="4569" xr:uid="{00000000-0005-0000-0000-00000D1C0000}"/>
    <cellStyle name="Normal 2 8 2 2 10 2" xfId="6244" xr:uid="{00000000-0005-0000-0000-00000E1C0000}"/>
    <cellStyle name="Normal 2 8 2 2 10 2 2" xfId="9594" xr:uid="{00000000-0005-0000-0000-00000F1C0000}"/>
    <cellStyle name="Normal 2 8 2 2 10 3" xfId="11269" xr:uid="{00000000-0005-0000-0000-0000101C0000}"/>
    <cellStyle name="Normal 2 8 2 2 10 4" xfId="7919" xr:uid="{00000000-0005-0000-0000-0000111C0000}"/>
    <cellStyle name="Normal 2 8 2 2 11" xfId="5300" xr:uid="{00000000-0005-0000-0000-0000121C0000}"/>
    <cellStyle name="Normal 2 8 2 2 11 2" xfId="8650" xr:uid="{00000000-0005-0000-0000-0000131C0000}"/>
    <cellStyle name="Normal 2 8 2 2 12" xfId="10325" xr:uid="{00000000-0005-0000-0000-0000141C0000}"/>
    <cellStyle name="Normal 2 8 2 2 13" xfId="6975" xr:uid="{00000000-0005-0000-0000-0000151C0000}"/>
    <cellStyle name="Normal 2 8 2 2 14" xfId="3415" xr:uid="{00000000-0005-0000-0000-00000C1C0000}"/>
    <cellStyle name="Normal 2 8 2 2 2" xfId="3648" xr:uid="{00000000-0005-0000-0000-0000161C0000}"/>
    <cellStyle name="Normal 2 8 2 2 2 2" xfId="3766" xr:uid="{00000000-0005-0000-0000-0000171C0000}"/>
    <cellStyle name="Normal 2 8 2 2 2 2 2" xfId="4002" xr:uid="{00000000-0005-0000-0000-0000181C0000}"/>
    <cellStyle name="Normal 2 8 2 2 2 2 2 2" xfId="4969" xr:uid="{00000000-0005-0000-0000-0000191C0000}"/>
    <cellStyle name="Normal 2 8 2 2 2 2 2 2 2" xfId="6644" xr:uid="{00000000-0005-0000-0000-00001A1C0000}"/>
    <cellStyle name="Normal 2 8 2 2 2 2 2 2 2 2" xfId="9994" xr:uid="{00000000-0005-0000-0000-00001B1C0000}"/>
    <cellStyle name="Normal 2 8 2 2 2 2 2 2 3" xfId="11669" xr:uid="{00000000-0005-0000-0000-00001C1C0000}"/>
    <cellStyle name="Normal 2 8 2 2 2 2 2 2 4" xfId="8319" xr:uid="{00000000-0005-0000-0000-00001D1C0000}"/>
    <cellStyle name="Normal 2 8 2 2 2 2 2 3" xfId="5677" xr:uid="{00000000-0005-0000-0000-00001E1C0000}"/>
    <cellStyle name="Normal 2 8 2 2 2 2 2 3 2" xfId="9027" xr:uid="{00000000-0005-0000-0000-00001F1C0000}"/>
    <cellStyle name="Normal 2 8 2 2 2 2 2 4" xfId="10702" xr:uid="{00000000-0005-0000-0000-0000201C0000}"/>
    <cellStyle name="Normal 2 8 2 2 2 2 2 5" xfId="7352" xr:uid="{00000000-0005-0000-0000-0000211C0000}"/>
    <cellStyle name="Normal 2 8 2 2 2 2 3" xfId="4238" xr:uid="{00000000-0005-0000-0000-0000221C0000}"/>
    <cellStyle name="Normal 2 8 2 2 2 2 3 2" xfId="5205" xr:uid="{00000000-0005-0000-0000-0000231C0000}"/>
    <cellStyle name="Normal 2 8 2 2 2 2 3 2 2" xfId="6880" xr:uid="{00000000-0005-0000-0000-0000241C0000}"/>
    <cellStyle name="Normal 2 8 2 2 2 2 3 2 2 2" xfId="10230" xr:uid="{00000000-0005-0000-0000-0000251C0000}"/>
    <cellStyle name="Normal 2 8 2 2 2 2 3 2 3" xfId="11905" xr:uid="{00000000-0005-0000-0000-0000261C0000}"/>
    <cellStyle name="Normal 2 8 2 2 2 2 3 2 4" xfId="8555" xr:uid="{00000000-0005-0000-0000-0000271C0000}"/>
    <cellStyle name="Normal 2 8 2 2 2 2 3 3" xfId="5913" xr:uid="{00000000-0005-0000-0000-0000281C0000}"/>
    <cellStyle name="Normal 2 8 2 2 2 2 3 3 2" xfId="9263" xr:uid="{00000000-0005-0000-0000-0000291C0000}"/>
    <cellStyle name="Normal 2 8 2 2 2 2 3 4" xfId="10938" xr:uid="{00000000-0005-0000-0000-00002A1C0000}"/>
    <cellStyle name="Normal 2 8 2 2 2 2 3 5" xfId="7588" xr:uid="{00000000-0005-0000-0000-00002B1C0000}"/>
    <cellStyle name="Normal 2 8 2 2 2 2 4" xfId="4474" xr:uid="{00000000-0005-0000-0000-00002C1C0000}"/>
    <cellStyle name="Normal 2 8 2 2 2 2 4 2" xfId="6149" xr:uid="{00000000-0005-0000-0000-00002D1C0000}"/>
    <cellStyle name="Normal 2 8 2 2 2 2 4 2 2" xfId="9499" xr:uid="{00000000-0005-0000-0000-00002E1C0000}"/>
    <cellStyle name="Normal 2 8 2 2 2 2 4 3" xfId="11174" xr:uid="{00000000-0005-0000-0000-00002F1C0000}"/>
    <cellStyle name="Normal 2 8 2 2 2 2 4 4" xfId="7824" xr:uid="{00000000-0005-0000-0000-0000301C0000}"/>
    <cellStyle name="Normal 2 8 2 2 2 2 5" xfId="4733" xr:uid="{00000000-0005-0000-0000-0000311C0000}"/>
    <cellStyle name="Normal 2 8 2 2 2 2 5 2" xfId="6408" xr:uid="{00000000-0005-0000-0000-0000321C0000}"/>
    <cellStyle name="Normal 2 8 2 2 2 2 5 2 2" xfId="9758" xr:uid="{00000000-0005-0000-0000-0000331C0000}"/>
    <cellStyle name="Normal 2 8 2 2 2 2 5 3" xfId="11433" xr:uid="{00000000-0005-0000-0000-0000341C0000}"/>
    <cellStyle name="Normal 2 8 2 2 2 2 5 4" xfId="8083" xr:uid="{00000000-0005-0000-0000-0000351C0000}"/>
    <cellStyle name="Normal 2 8 2 2 2 2 6" xfId="5441" xr:uid="{00000000-0005-0000-0000-0000361C0000}"/>
    <cellStyle name="Normal 2 8 2 2 2 2 6 2" xfId="8791" xr:uid="{00000000-0005-0000-0000-0000371C0000}"/>
    <cellStyle name="Normal 2 8 2 2 2 2 7" xfId="10466" xr:uid="{00000000-0005-0000-0000-0000381C0000}"/>
    <cellStyle name="Normal 2 8 2 2 2 2 8" xfId="7116" xr:uid="{00000000-0005-0000-0000-0000391C0000}"/>
    <cellStyle name="Normal 2 8 2 2 2 3" xfId="3884" xr:uid="{00000000-0005-0000-0000-00003A1C0000}"/>
    <cellStyle name="Normal 2 8 2 2 2 3 2" xfId="4851" xr:uid="{00000000-0005-0000-0000-00003B1C0000}"/>
    <cellStyle name="Normal 2 8 2 2 2 3 2 2" xfId="6526" xr:uid="{00000000-0005-0000-0000-00003C1C0000}"/>
    <cellStyle name="Normal 2 8 2 2 2 3 2 2 2" xfId="9876" xr:uid="{00000000-0005-0000-0000-00003D1C0000}"/>
    <cellStyle name="Normal 2 8 2 2 2 3 2 3" xfId="11551" xr:uid="{00000000-0005-0000-0000-00003E1C0000}"/>
    <cellStyle name="Normal 2 8 2 2 2 3 2 4" xfId="8201" xr:uid="{00000000-0005-0000-0000-00003F1C0000}"/>
    <cellStyle name="Normal 2 8 2 2 2 3 3" xfId="5559" xr:uid="{00000000-0005-0000-0000-0000401C0000}"/>
    <cellStyle name="Normal 2 8 2 2 2 3 3 2" xfId="8909" xr:uid="{00000000-0005-0000-0000-0000411C0000}"/>
    <cellStyle name="Normal 2 8 2 2 2 3 4" xfId="10584" xr:uid="{00000000-0005-0000-0000-0000421C0000}"/>
    <cellStyle name="Normal 2 8 2 2 2 3 5" xfId="7234" xr:uid="{00000000-0005-0000-0000-0000431C0000}"/>
    <cellStyle name="Normal 2 8 2 2 2 4" xfId="4120" xr:uid="{00000000-0005-0000-0000-0000441C0000}"/>
    <cellStyle name="Normal 2 8 2 2 2 4 2" xfId="5087" xr:uid="{00000000-0005-0000-0000-0000451C0000}"/>
    <cellStyle name="Normal 2 8 2 2 2 4 2 2" xfId="6762" xr:uid="{00000000-0005-0000-0000-0000461C0000}"/>
    <cellStyle name="Normal 2 8 2 2 2 4 2 2 2" xfId="10112" xr:uid="{00000000-0005-0000-0000-0000471C0000}"/>
    <cellStyle name="Normal 2 8 2 2 2 4 2 3" xfId="11787" xr:uid="{00000000-0005-0000-0000-0000481C0000}"/>
    <cellStyle name="Normal 2 8 2 2 2 4 2 4" xfId="8437" xr:uid="{00000000-0005-0000-0000-0000491C0000}"/>
    <cellStyle name="Normal 2 8 2 2 2 4 3" xfId="5795" xr:uid="{00000000-0005-0000-0000-00004A1C0000}"/>
    <cellStyle name="Normal 2 8 2 2 2 4 3 2" xfId="9145" xr:uid="{00000000-0005-0000-0000-00004B1C0000}"/>
    <cellStyle name="Normal 2 8 2 2 2 4 4" xfId="10820" xr:uid="{00000000-0005-0000-0000-00004C1C0000}"/>
    <cellStyle name="Normal 2 8 2 2 2 4 5" xfId="7470" xr:uid="{00000000-0005-0000-0000-00004D1C0000}"/>
    <cellStyle name="Normal 2 8 2 2 2 5" xfId="4356" xr:uid="{00000000-0005-0000-0000-00004E1C0000}"/>
    <cellStyle name="Normal 2 8 2 2 2 5 2" xfId="6031" xr:uid="{00000000-0005-0000-0000-00004F1C0000}"/>
    <cellStyle name="Normal 2 8 2 2 2 5 2 2" xfId="9381" xr:uid="{00000000-0005-0000-0000-0000501C0000}"/>
    <cellStyle name="Normal 2 8 2 2 2 5 3" xfId="11056" xr:uid="{00000000-0005-0000-0000-0000511C0000}"/>
    <cellStyle name="Normal 2 8 2 2 2 5 4" xfId="7706" xr:uid="{00000000-0005-0000-0000-0000521C0000}"/>
    <cellStyle name="Normal 2 8 2 2 2 6" xfId="4615" xr:uid="{00000000-0005-0000-0000-0000531C0000}"/>
    <cellStyle name="Normal 2 8 2 2 2 6 2" xfId="6290" xr:uid="{00000000-0005-0000-0000-0000541C0000}"/>
    <cellStyle name="Normal 2 8 2 2 2 6 2 2" xfId="9640" xr:uid="{00000000-0005-0000-0000-0000551C0000}"/>
    <cellStyle name="Normal 2 8 2 2 2 6 3" xfId="11315" xr:uid="{00000000-0005-0000-0000-0000561C0000}"/>
    <cellStyle name="Normal 2 8 2 2 2 6 4" xfId="7965" xr:uid="{00000000-0005-0000-0000-0000571C0000}"/>
    <cellStyle name="Normal 2 8 2 2 2 7" xfId="5323" xr:uid="{00000000-0005-0000-0000-0000581C0000}"/>
    <cellStyle name="Normal 2 8 2 2 2 7 2" xfId="8673" xr:uid="{00000000-0005-0000-0000-0000591C0000}"/>
    <cellStyle name="Normal 2 8 2 2 2 8" xfId="10348" xr:uid="{00000000-0005-0000-0000-00005A1C0000}"/>
    <cellStyle name="Normal 2 8 2 2 2 9" xfId="6998" xr:uid="{00000000-0005-0000-0000-00005B1C0000}"/>
    <cellStyle name="Normal 2 8 2 2 3" xfId="3671" xr:uid="{00000000-0005-0000-0000-00005C1C0000}"/>
    <cellStyle name="Normal 2 8 2 2 3 2" xfId="3789" xr:uid="{00000000-0005-0000-0000-00005D1C0000}"/>
    <cellStyle name="Normal 2 8 2 2 3 2 2" xfId="4025" xr:uid="{00000000-0005-0000-0000-00005E1C0000}"/>
    <cellStyle name="Normal 2 8 2 2 3 2 2 2" xfId="4992" xr:uid="{00000000-0005-0000-0000-00005F1C0000}"/>
    <cellStyle name="Normal 2 8 2 2 3 2 2 2 2" xfId="6667" xr:uid="{00000000-0005-0000-0000-0000601C0000}"/>
    <cellStyle name="Normal 2 8 2 2 3 2 2 2 2 2" xfId="10017" xr:uid="{00000000-0005-0000-0000-0000611C0000}"/>
    <cellStyle name="Normal 2 8 2 2 3 2 2 2 3" xfId="11692" xr:uid="{00000000-0005-0000-0000-0000621C0000}"/>
    <cellStyle name="Normal 2 8 2 2 3 2 2 2 4" xfId="8342" xr:uid="{00000000-0005-0000-0000-0000631C0000}"/>
    <cellStyle name="Normal 2 8 2 2 3 2 2 3" xfId="5700" xr:uid="{00000000-0005-0000-0000-0000641C0000}"/>
    <cellStyle name="Normal 2 8 2 2 3 2 2 3 2" xfId="9050" xr:uid="{00000000-0005-0000-0000-0000651C0000}"/>
    <cellStyle name="Normal 2 8 2 2 3 2 2 4" xfId="10725" xr:uid="{00000000-0005-0000-0000-0000661C0000}"/>
    <cellStyle name="Normal 2 8 2 2 3 2 2 5" xfId="7375" xr:uid="{00000000-0005-0000-0000-0000671C0000}"/>
    <cellStyle name="Normal 2 8 2 2 3 2 3" xfId="4261" xr:uid="{00000000-0005-0000-0000-0000681C0000}"/>
    <cellStyle name="Normal 2 8 2 2 3 2 3 2" xfId="5228" xr:uid="{00000000-0005-0000-0000-0000691C0000}"/>
    <cellStyle name="Normal 2 8 2 2 3 2 3 2 2" xfId="6903" xr:uid="{00000000-0005-0000-0000-00006A1C0000}"/>
    <cellStyle name="Normal 2 8 2 2 3 2 3 2 2 2" xfId="10253" xr:uid="{00000000-0005-0000-0000-00006B1C0000}"/>
    <cellStyle name="Normal 2 8 2 2 3 2 3 2 3" xfId="11928" xr:uid="{00000000-0005-0000-0000-00006C1C0000}"/>
    <cellStyle name="Normal 2 8 2 2 3 2 3 2 4" xfId="8578" xr:uid="{00000000-0005-0000-0000-00006D1C0000}"/>
    <cellStyle name="Normal 2 8 2 2 3 2 3 3" xfId="5936" xr:uid="{00000000-0005-0000-0000-00006E1C0000}"/>
    <cellStyle name="Normal 2 8 2 2 3 2 3 3 2" xfId="9286" xr:uid="{00000000-0005-0000-0000-00006F1C0000}"/>
    <cellStyle name="Normal 2 8 2 2 3 2 3 4" xfId="10961" xr:uid="{00000000-0005-0000-0000-0000701C0000}"/>
    <cellStyle name="Normal 2 8 2 2 3 2 3 5" xfId="7611" xr:uid="{00000000-0005-0000-0000-0000711C0000}"/>
    <cellStyle name="Normal 2 8 2 2 3 2 4" xfId="4497" xr:uid="{00000000-0005-0000-0000-0000721C0000}"/>
    <cellStyle name="Normal 2 8 2 2 3 2 4 2" xfId="6172" xr:uid="{00000000-0005-0000-0000-0000731C0000}"/>
    <cellStyle name="Normal 2 8 2 2 3 2 4 2 2" xfId="9522" xr:uid="{00000000-0005-0000-0000-0000741C0000}"/>
    <cellStyle name="Normal 2 8 2 2 3 2 4 3" xfId="11197" xr:uid="{00000000-0005-0000-0000-0000751C0000}"/>
    <cellStyle name="Normal 2 8 2 2 3 2 4 4" xfId="7847" xr:uid="{00000000-0005-0000-0000-0000761C0000}"/>
    <cellStyle name="Normal 2 8 2 2 3 2 5" xfId="4756" xr:uid="{00000000-0005-0000-0000-0000771C0000}"/>
    <cellStyle name="Normal 2 8 2 2 3 2 5 2" xfId="6431" xr:uid="{00000000-0005-0000-0000-0000781C0000}"/>
    <cellStyle name="Normal 2 8 2 2 3 2 5 2 2" xfId="9781" xr:uid="{00000000-0005-0000-0000-0000791C0000}"/>
    <cellStyle name="Normal 2 8 2 2 3 2 5 3" xfId="11456" xr:uid="{00000000-0005-0000-0000-00007A1C0000}"/>
    <cellStyle name="Normal 2 8 2 2 3 2 5 4" xfId="8106" xr:uid="{00000000-0005-0000-0000-00007B1C0000}"/>
    <cellStyle name="Normal 2 8 2 2 3 2 6" xfId="5464" xr:uid="{00000000-0005-0000-0000-00007C1C0000}"/>
    <cellStyle name="Normal 2 8 2 2 3 2 6 2" xfId="8814" xr:uid="{00000000-0005-0000-0000-00007D1C0000}"/>
    <cellStyle name="Normal 2 8 2 2 3 2 7" xfId="10489" xr:uid="{00000000-0005-0000-0000-00007E1C0000}"/>
    <cellStyle name="Normal 2 8 2 2 3 2 8" xfId="7139" xr:uid="{00000000-0005-0000-0000-00007F1C0000}"/>
    <cellStyle name="Normal 2 8 2 2 3 3" xfId="3907" xr:uid="{00000000-0005-0000-0000-0000801C0000}"/>
    <cellStyle name="Normal 2 8 2 2 3 3 2" xfId="4874" xr:uid="{00000000-0005-0000-0000-0000811C0000}"/>
    <cellStyle name="Normal 2 8 2 2 3 3 2 2" xfId="6549" xr:uid="{00000000-0005-0000-0000-0000821C0000}"/>
    <cellStyle name="Normal 2 8 2 2 3 3 2 2 2" xfId="9899" xr:uid="{00000000-0005-0000-0000-0000831C0000}"/>
    <cellStyle name="Normal 2 8 2 2 3 3 2 3" xfId="11574" xr:uid="{00000000-0005-0000-0000-0000841C0000}"/>
    <cellStyle name="Normal 2 8 2 2 3 3 2 4" xfId="8224" xr:uid="{00000000-0005-0000-0000-0000851C0000}"/>
    <cellStyle name="Normal 2 8 2 2 3 3 3" xfId="5582" xr:uid="{00000000-0005-0000-0000-0000861C0000}"/>
    <cellStyle name="Normal 2 8 2 2 3 3 3 2" xfId="8932" xr:uid="{00000000-0005-0000-0000-0000871C0000}"/>
    <cellStyle name="Normal 2 8 2 2 3 3 4" xfId="10607" xr:uid="{00000000-0005-0000-0000-0000881C0000}"/>
    <cellStyle name="Normal 2 8 2 2 3 3 5" xfId="7257" xr:uid="{00000000-0005-0000-0000-0000891C0000}"/>
    <cellStyle name="Normal 2 8 2 2 3 4" xfId="4143" xr:uid="{00000000-0005-0000-0000-00008A1C0000}"/>
    <cellStyle name="Normal 2 8 2 2 3 4 2" xfId="5110" xr:uid="{00000000-0005-0000-0000-00008B1C0000}"/>
    <cellStyle name="Normal 2 8 2 2 3 4 2 2" xfId="6785" xr:uid="{00000000-0005-0000-0000-00008C1C0000}"/>
    <cellStyle name="Normal 2 8 2 2 3 4 2 2 2" xfId="10135" xr:uid="{00000000-0005-0000-0000-00008D1C0000}"/>
    <cellStyle name="Normal 2 8 2 2 3 4 2 3" xfId="11810" xr:uid="{00000000-0005-0000-0000-00008E1C0000}"/>
    <cellStyle name="Normal 2 8 2 2 3 4 2 4" xfId="8460" xr:uid="{00000000-0005-0000-0000-00008F1C0000}"/>
    <cellStyle name="Normal 2 8 2 2 3 4 3" xfId="5818" xr:uid="{00000000-0005-0000-0000-0000901C0000}"/>
    <cellStyle name="Normal 2 8 2 2 3 4 3 2" xfId="9168" xr:uid="{00000000-0005-0000-0000-0000911C0000}"/>
    <cellStyle name="Normal 2 8 2 2 3 4 4" xfId="10843" xr:uid="{00000000-0005-0000-0000-0000921C0000}"/>
    <cellStyle name="Normal 2 8 2 2 3 4 5" xfId="7493" xr:uid="{00000000-0005-0000-0000-0000931C0000}"/>
    <cellStyle name="Normal 2 8 2 2 3 5" xfId="4379" xr:uid="{00000000-0005-0000-0000-0000941C0000}"/>
    <cellStyle name="Normal 2 8 2 2 3 5 2" xfId="6054" xr:uid="{00000000-0005-0000-0000-0000951C0000}"/>
    <cellStyle name="Normal 2 8 2 2 3 5 2 2" xfId="9404" xr:uid="{00000000-0005-0000-0000-0000961C0000}"/>
    <cellStyle name="Normal 2 8 2 2 3 5 3" xfId="11079" xr:uid="{00000000-0005-0000-0000-0000971C0000}"/>
    <cellStyle name="Normal 2 8 2 2 3 5 4" xfId="7729" xr:uid="{00000000-0005-0000-0000-0000981C0000}"/>
    <cellStyle name="Normal 2 8 2 2 3 6" xfId="4638" xr:uid="{00000000-0005-0000-0000-0000991C0000}"/>
    <cellStyle name="Normal 2 8 2 2 3 6 2" xfId="6313" xr:uid="{00000000-0005-0000-0000-00009A1C0000}"/>
    <cellStyle name="Normal 2 8 2 2 3 6 2 2" xfId="9663" xr:uid="{00000000-0005-0000-0000-00009B1C0000}"/>
    <cellStyle name="Normal 2 8 2 2 3 6 3" xfId="11338" xr:uid="{00000000-0005-0000-0000-00009C1C0000}"/>
    <cellStyle name="Normal 2 8 2 2 3 6 4" xfId="7988" xr:uid="{00000000-0005-0000-0000-00009D1C0000}"/>
    <cellStyle name="Normal 2 8 2 2 3 7" xfId="5346" xr:uid="{00000000-0005-0000-0000-00009E1C0000}"/>
    <cellStyle name="Normal 2 8 2 2 3 7 2" xfId="8696" xr:uid="{00000000-0005-0000-0000-00009F1C0000}"/>
    <cellStyle name="Normal 2 8 2 2 3 8" xfId="10371" xr:uid="{00000000-0005-0000-0000-0000A01C0000}"/>
    <cellStyle name="Normal 2 8 2 2 3 9" xfId="7021" xr:uid="{00000000-0005-0000-0000-0000A11C0000}"/>
    <cellStyle name="Normal 2 8 2 2 4" xfId="3695" xr:uid="{00000000-0005-0000-0000-0000A21C0000}"/>
    <cellStyle name="Normal 2 8 2 2 4 2" xfId="3813" xr:uid="{00000000-0005-0000-0000-0000A31C0000}"/>
    <cellStyle name="Normal 2 8 2 2 4 2 2" xfId="4049" xr:uid="{00000000-0005-0000-0000-0000A41C0000}"/>
    <cellStyle name="Normal 2 8 2 2 4 2 2 2" xfId="5016" xr:uid="{00000000-0005-0000-0000-0000A51C0000}"/>
    <cellStyle name="Normal 2 8 2 2 4 2 2 2 2" xfId="6691" xr:uid="{00000000-0005-0000-0000-0000A61C0000}"/>
    <cellStyle name="Normal 2 8 2 2 4 2 2 2 2 2" xfId="10041" xr:uid="{00000000-0005-0000-0000-0000A71C0000}"/>
    <cellStyle name="Normal 2 8 2 2 4 2 2 2 3" xfId="11716" xr:uid="{00000000-0005-0000-0000-0000A81C0000}"/>
    <cellStyle name="Normal 2 8 2 2 4 2 2 2 4" xfId="8366" xr:uid="{00000000-0005-0000-0000-0000A91C0000}"/>
    <cellStyle name="Normal 2 8 2 2 4 2 2 3" xfId="5724" xr:uid="{00000000-0005-0000-0000-0000AA1C0000}"/>
    <cellStyle name="Normal 2 8 2 2 4 2 2 3 2" xfId="9074" xr:uid="{00000000-0005-0000-0000-0000AB1C0000}"/>
    <cellStyle name="Normal 2 8 2 2 4 2 2 4" xfId="10749" xr:uid="{00000000-0005-0000-0000-0000AC1C0000}"/>
    <cellStyle name="Normal 2 8 2 2 4 2 2 5" xfId="7399" xr:uid="{00000000-0005-0000-0000-0000AD1C0000}"/>
    <cellStyle name="Normal 2 8 2 2 4 2 3" xfId="4285" xr:uid="{00000000-0005-0000-0000-0000AE1C0000}"/>
    <cellStyle name="Normal 2 8 2 2 4 2 3 2" xfId="5252" xr:uid="{00000000-0005-0000-0000-0000AF1C0000}"/>
    <cellStyle name="Normal 2 8 2 2 4 2 3 2 2" xfId="6927" xr:uid="{00000000-0005-0000-0000-0000B01C0000}"/>
    <cellStyle name="Normal 2 8 2 2 4 2 3 2 2 2" xfId="10277" xr:uid="{00000000-0005-0000-0000-0000B11C0000}"/>
    <cellStyle name="Normal 2 8 2 2 4 2 3 2 3" xfId="11952" xr:uid="{00000000-0005-0000-0000-0000B21C0000}"/>
    <cellStyle name="Normal 2 8 2 2 4 2 3 2 4" xfId="8602" xr:uid="{00000000-0005-0000-0000-0000B31C0000}"/>
    <cellStyle name="Normal 2 8 2 2 4 2 3 3" xfId="5960" xr:uid="{00000000-0005-0000-0000-0000B41C0000}"/>
    <cellStyle name="Normal 2 8 2 2 4 2 3 3 2" xfId="9310" xr:uid="{00000000-0005-0000-0000-0000B51C0000}"/>
    <cellStyle name="Normal 2 8 2 2 4 2 3 4" xfId="10985" xr:uid="{00000000-0005-0000-0000-0000B61C0000}"/>
    <cellStyle name="Normal 2 8 2 2 4 2 3 5" xfId="7635" xr:uid="{00000000-0005-0000-0000-0000B71C0000}"/>
    <cellStyle name="Normal 2 8 2 2 4 2 4" xfId="4521" xr:uid="{00000000-0005-0000-0000-0000B81C0000}"/>
    <cellStyle name="Normal 2 8 2 2 4 2 4 2" xfId="6196" xr:uid="{00000000-0005-0000-0000-0000B91C0000}"/>
    <cellStyle name="Normal 2 8 2 2 4 2 4 2 2" xfId="9546" xr:uid="{00000000-0005-0000-0000-0000BA1C0000}"/>
    <cellStyle name="Normal 2 8 2 2 4 2 4 3" xfId="11221" xr:uid="{00000000-0005-0000-0000-0000BB1C0000}"/>
    <cellStyle name="Normal 2 8 2 2 4 2 4 4" xfId="7871" xr:uid="{00000000-0005-0000-0000-0000BC1C0000}"/>
    <cellStyle name="Normal 2 8 2 2 4 2 5" xfId="4780" xr:uid="{00000000-0005-0000-0000-0000BD1C0000}"/>
    <cellStyle name="Normal 2 8 2 2 4 2 5 2" xfId="6455" xr:uid="{00000000-0005-0000-0000-0000BE1C0000}"/>
    <cellStyle name="Normal 2 8 2 2 4 2 5 2 2" xfId="9805" xr:uid="{00000000-0005-0000-0000-0000BF1C0000}"/>
    <cellStyle name="Normal 2 8 2 2 4 2 5 3" xfId="11480" xr:uid="{00000000-0005-0000-0000-0000C01C0000}"/>
    <cellStyle name="Normal 2 8 2 2 4 2 5 4" xfId="8130" xr:uid="{00000000-0005-0000-0000-0000C11C0000}"/>
    <cellStyle name="Normal 2 8 2 2 4 2 6" xfId="5488" xr:uid="{00000000-0005-0000-0000-0000C21C0000}"/>
    <cellStyle name="Normal 2 8 2 2 4 2 6 2" xfId="8838" xr:uid="{00000000-0005-0000-0000-0000C31C0000}"/>
    <cellStyle name="Normal 2 8 2 2 4 2 7" xfId="10513" xr:uid="{00000000-0005-0000-0000-0000C41C0000}"/>
    <cellStyle name="Normal 2 8 2 2 4 2 8" xfId="7163" xr:uid="{00000000-0005-0000-0000-0000C51C0000}"/>
    <cellStyle name="Normal 2 8 2 2 4 3" xfId="3931" xr:uid="{00000000-0005-0000-0000-0000C61C0000}"/>
    <cellStyle name="Normal 2 8 2 2 4 3 2" xfId="4898" xr:uid="{00000000-0005-0000-0000-0000C71C0000}"/>
    <cellStyle name="Normal 2 8 2 2 4 3 2 2" xfId="6573" xr:uid="{00000000-0005-0000-0000-0000C81C0000}"/>
    <cellStyle name="Normal 2 8 2 2 4 3 2 2 2" xfId="9923" xr:uid="{00000000-0005-0000-0000-0000C91C0000}"/>
    <cellStyle name="Normal 2 8 2 2 4 3 2 3" xfId="11598" xr:uid="{00000000-0005-0000-0000-0000CA1C0000}"/>
    <cellStyle name="Normal 2 8 2 2 4 3 2 4" xfId="8248" xr:uid="{00000000-0005-0000-0000-0000CB1C0000}"/>
    <cellStyle name="Normal 2 8 2 2 4 3 3" xfId="5606" xr:uid="{00000000-0005-0000-0000-0000CC1C0000}"/>
    <cellStyle name="Normal 2 8 2 2 4 3 3 2" xfId="8956" xr:uid="{00000000-0005-0000-0000-0000CD1C0000}"/>
    <cellStyle name="Normal 2 8 2 2 4 3 4" xfId="10631" xr:uid="{00000000-0005-0000-0000-0000CE1C0000}"/>
    <cellStyle name="Normal 2 8 2 2 4 3 5" xfId="7281" xr:uid="{00000000-0005-0000-0000-0000CF1C0000}"/>
    <cellStyle name="Normal 2 8 2 2 4 4" xfId="4167" xr:uid="{00000000-0005-0000-0000-0000D01C0000}"/>
    <cellStyle name="Normal 2 8 2 2 4 4 2" xfId="5134" xr:uid="{00000000-0005-0000-0000-0000D11C0000}"/>
    <cellStyle name="Normal 2 8 2 2 4 4 2 2" xfId="6809" xr:uid="{00000000-0005-0000-0000-0000D21C0000}"/>
    <cellStyle name="Normal 2 8 2 2 4 4 2 2 2" xfId="10159" xr:uid="{00000000-0005-0000-0000-0000D31C0000}"/>
    <cellStyle name="Normal 2 8 2 2 4 4 2 3" xfId="11834" xr:uid="{00000000-0005-0000-0000-0000D41C0000}"/>
    <cellStyle name="Normal 2 8 2 2 4 4 2 4" xfId="8484" xr:uid="{00000000-0005-0000-0000-0000D51C0000}"/>
    <cellStyle name="Normal 2 8 2 2 4 4 3" xfId="5842" xr:uid="{00000000-0005-0000-0000-0000D61C0000}"/>
    <cellStyle name="Normal 2 8 2 2 4 4 3 2" xfId="9192" xr:uid="{00000000-0005-0000-0000-0000D71C0000}"/>
    <cellStyle name="Normal 2 8 2 2 4 4 4" xfId="10867" xr:uid="{00000000-0005-0000-0000-0000D81C0000}"/>
    <cellStyle name="Normal 2 8 2 2 4 4 5" xfId="7517" xr:uid="{00000000-0005-0000-0000-0000D91C0000}"/>
    <cellStyle name="Normal 2 8 2 2 4 5" xfId="4403" xr:uid="{00000000-0005-0000-0000-0000DA1C0000}"/>
    <cellStyle name="Normal 2 8 2 2 4 5 2" xfId="6078" xr:uid="{00000000-0005-0000-0000-0000DB1C0000}"/>
    <cellStyle name="Normal 2 8 2 2 4 5 2 2" xfId="9428" xr:uid="{00000000-0005-0000-0000-0000DC1C0000}"/>
    <cellStyle name="Normal 2 8 2 2 4 5 3" xfId="11103" xr:uid="{00000000-0005-0000-0000-0000DD1C0000}"/>
    <cellStyle name="Normal 2 8 2 2 4 5 4" xfId="7753" xr:uid="{00000000-0005-0000-0000-0000DE1C0000}"/>
    <cellStyle name="Normal 2 8 2 2 4 6" xfId="4662" xr:uid="{00000000-0005-0000-0000-0000DF1C0000}"/>
    <cellStyle name="Normal 2 8 2 2 4 6 2" xfId="6337" xr:uid="{00000000-0005-0000-0000-0000E01C0000}"/>
    <cellStyle name="Normal 2 8 2 2 4 6 2 2" xfId="9687" xr:uid="{00000000-0005-0000-0000-0000E11C0000}"/>
    <cellStyle name="Normal 2 8 2 2 4 6 3" xfId="11362" xr:uid="{00000000-0005-0000-0000-0000E21C0000}"/>
    <cellStyle name="Normal 2 8 2 2 4 6 4" xfId="8012" xr:uid="{00000000-0005-0000-0000-0000E31C0000}"/>
    <cellStyle name="Normal 2 8 2 2 4 7" xfId="5370" xr:uid="{00000000-0005-0000-0000-0000E41C0000}"/>
    <cellStyle name="Normal 2 8 2 2 4 7 2" xfId="8720" xr:uid="{00000000-0005-0000-0000-0000E51C0000}"/>
    <cellStyle name="Normal 2 8 2 2 4 8" xfId="10395" xr:uid="{00000000-0005-0000-0000-0000E61C0000}"/>
    <cellStyle name="Normal 2 8 2 2 4 9" xfId="7045" xr:uid="{00000000-0005-0000-0000-0000E71C0000}"/>
    <cellStyle name="Normal 2 8 2 2 5" xfId="3719" xr:uid="{00000000-0005-0000-0000-0000E81C0000}"/>
    <cellStyle name="Normal 2 8 2 2 5 2" xfId="3837" xr:uid="{00000000-0005-0000-0000-0000E91C0000}"/>
    <cellStyle name="Normal 2 8 2 2 5 2 2" xfId="4073" xr:uid="{00000000-0005-0000-0000-0000EA1C0000}"/>
    <cellStyle name="Normal 2 8 2 2 5 2 2 2" xfId="5040" xr:uid="{00000000-0005-0000-0000-0000EB1C0000}"/>
    <cellStyle name="Normal 2 8 2 2 5 2 2 2 2" xfId="6715" xr:uid="{00000000-0005-0000-0000-0000EC1C0000}"/>
    <cellStyle name="Normal 2 8 2 2 5 2 2 2 2 2" xfId="10065" xr:uid="{00000000-0005-0000-0000-0000ED1C0000}"/>
    <cellStyle name="Normal 2 8 2 2 5 2 2 2 3" xfId="11740" xr:uid="{00000000-0005-0000-0000-0000EE1C0000}"/>
    <cellStyle name="Normal 2 8 2 2 5 2 2 2 4" xfId="8390" xr:uid="{00000000-0005-0000-0000-0000EF1C0000}"/>
    <cellStyle name="Normal 2 8 2 2 5 2 2 3" xfId="5748" xr:uid="{00000000-0005-0000-0000-0000F01C0000}"/>
    <cellStyle name="Normal 2 8 2 2 5 2 2 3 2" xfId="9098" xr:uid="{00000000-0005-0000-0000-0000F11C0000}"/>
    <cellStyle name="Normal 2 8 2 2 5 2 2 4" xfId="10773" xr:uid="{00000000-0005-0000-0000-0000F21C0000}"/>
    <cellStyle name="Normal 2 8 2 2 5 2 2 5" xfId="7423" xr:uid="{00000000-0005-0000-0000-0000F31C0000}"/>
    <cellStyle name="Normal 2 8 2 2 5 2 3" xfId="4309" xr:uid="{00000000-0005-0000-0000-0000F41C0000}"/>
    <cellStyle name="Normal 2 8 2 2 5 2 3 2" xfId="5276" xr:uid="{00000000-0005-0000-0000-0000F51C0000}"/>
    <cellStyle name="Normal 2 8 2 2 5 2 3 2 2" xfId="6951" xr:uid="{00000000-0005-0000-0000-0000F61C0000}"/>
    <cellStyle name="Normal 2 8 2 2 5 2 3 2 2 2" xfId="10301" xr:uid="{00000000-0005-0000-0000-0000F71C0000}"/>
    <cellStyle name="Normal 2 8 2 2 5 2 3 2 3" xfId="11976" xr:uid="{00000000-0005-0000-0000-0000F81C0000}"/>
    <cellStyle name="Normal 2 8 2 2 5 2 3 2 4" xfId="8626" xr:uid="{00000000-0005-0000-0000-0000F91C0000}"/>
    <cellStyle name="Normal 2 8 2 2 5 2 3 3" xfId="5984" xr:uid="{00000000-0005-0000-0000-0000FA1C0000}"/>
    <cellStyle name="Normal 2 8 2 2 5 2 3 3 2" xfId="9334" xr:uid="{00000000-0005-0000-0000-0000FB1C0000}"/>
    <cellStyle name="Normal 2 8 2 2 5 2 3 4" xfId="11009" xr:uid="{00000000-0005-0000-0000-0000FC1C0000}"/>
    <cellStyle name="Normal 2 8 2 2 5 2 3 5" xfId="7659" xr:uid="{00000000-0005-0000-0000-0000FD1C0000}"/>
    <cellStyle name="Normal 2 8 2 2 5 2 4" xfId="4545" xr:uid="{00000000-0005-0000-0000-0000FE1C0000}"/>
    <cellStyle name="Normal 2 8 2 2 5 2 4 2" xfId="6220" xr:uid="{00000000-0005-0000-0000-0000FF1C0000}"/>
    <cellStyle name="Normal 2 8 2 2 5 2 4 2 2" xfId="9570" xr:uid="{00000000-0005-0000-0000-0000001D0000}"/>
    <cellStyle name="Normal 2 8 2 2 5 2 4 3" xfId="11245" xr:uid="{00000000-0005-0000-0000-0000011D0000}"/>
    <cellStyle name="Normal 2 8 2 2 5 2 4 4" xfId="7895" xr:uid="{00000000-0005-0000-0000-0000021D0000}"/>
    <cellStyle name="Normal 2 8 2 2 5 2 5" xfId="4804" xr:uid="{00000000-0005-0000-0000-0000031D0000}"/>
    <cellStyle name="Normal 2 8 2 2 5 2 5 2" xfId="6479" xr:uid="{00000000-0005-0000-0000-0000041D0000}"/>
    <cellStyle name="Normal 2 8 2 2 5 2 5 2 2" xfId="9829" xr:uid="{00000000-0005-0000-0000-0000051D0000}"/>
    <cellStyle name="Normal 2 8 2 2 5 2 5 3" xfId="11504" xr:uid="{00000000-0005-0000-0000-0000061D0000}"/>
    <cellStyle name="Normal 2 8 2 2 5 2 5 4" xfId="8154" xr:uid="{00000000-0005-0000-0000-0000071D0000}"/>
    <cellStyle name="Normal 2 8 2 2 5 2 6" xfId="5512" xr:uid="{00000000-0005-0000-0000-0000081D0000}"/>
    <cellStyle name="Normal 2 8 2 2 5 2 6 2" xfId="8862" xr:uid="{00000000-0005-0000-0000-0000091D0000}"/>
    <cellStyle name="Normal 2 8 2 2 5 2 7" xfId="10537" xr:uid="{00000000-0005-0000-0000-00000A1D0000}"/>
    <cellStyle name="Normal 2 8 2 2 5 2 8" xfId="7187" xr:uid="{00000000-0005-0000-0000-00000B1D0000}"/>
    <cellStyle name="Normal 2 8 2 2 5 3" xfId="3955" xr:uid="{00000000-0005-0000-0000-00000C1D0000}"/>
    <cellStyle name="Normal 2 8 2 2 5 3 2" xfId="4922" xr:uid="{00000000-0005-0000-0000-00000D1D0000}"/>
    <cellStyle name="Normal 2 8 2 2 5 3 2 2" xfId="6597" xr:uid="{00000000-0005-0000-0000-00000E1D0000}"/>
    <cellStyle name="Normal 2 8 2 2 5 3 2 2 2" xfId="9947" xr:uid="{00000000-0005-0000-0000-00000F1D0000}"/>
    <cellStyle name="Normal 2 8 2 2 5 3 2 3" xfId="11622" xr:uid="{00000000-0005-0000-0000-0000101D0000}"/>
    <cellStyle name="Normal 2 8 2 2 5 3 2 4" xfId="8272" xr:uid="{00000000-0005-0000-0000-0000111D0000}"/>
    <cellStyle name="Normal 2 8 2 2 5 3 3" xfId="5630" xr:uid="{00000000-0005-0000-0000-0000121D0000}"/>
    <cellStyle name="Normal 2 8 2 2 5 3 3 2" xfId="8980" xr:uid="{00000000-0005-0000-0000-0000131D0000}"/>
    <cellStyle name="Normal 2 8 2 2 5 3 4" xfId="10655" xr:uid="{00000000-0005-0000-0000-0000141D0000}"/>
    <cellStyle name="Normal 2 8 2 2 5 3 5" xfId="7305" xr:uid="{00000000-0005-0000-0000-0000151D0000}"/>
    <cellStyle name="Normal 2 8 2 2 5 4" xfId="4191" xr:uid="{00000000-0005-0000-0000-0000161D0000}"/>
    <cellStyle name="Normal 2 8 2 2 5 4 2" xfId="5158" xr:uid="{00000000-0005-0000-0000-0000171D0000}"/>
    <cellStyle name="Normal 2 8 2 2 5 4 2 2" xfId="6833" xr:uid="{00000000-0005-0000-0000-0000181D0000}"/>
    <cellStyle name="Normal 2 8 2 2 5 4 2 2 2" xfId="10183" xr:uid="{00000000-0005-0000-0000-0000191D0000}"/>
    <cellStyle name="Normal 2 8 2 2 5 4 2 3" xfId="11858" xr:uid="{00000000-0005-0000-0000-00001A1D0000}"/>
    <cellStyle name="Normal 2 8 2 2 5 4 2 4" xfId="8508" xr:uid="{00000000-0005-0000-0000-00001B1D0000}"/>
    <cellStyle name="Normal 2 8 2 2 5 4 3" xfId="5866" xr:uid="{00000000-0005-0000-0000-00001C1D0000}"/>
    <cellStyle name="Normal 2 8 2 2 5 4 3 2" xfId="9216" xr:uid="{00000000-0005-0000-0000-00001D1D0000}"/>
    <cellStyle name="Normal 2 8 2 2 5 4 4" xfId="10891" xr:uid="{00000000-0005-0000-0000-00001E1D0000}"/>
    <cellStyle name="Normal 2 8 2 2 5 4 5" xfId="7541" xr:uid="{00000000-0005-0000-0000-00001F1D0000}"/>
    <cellStyle name="Normal 2 8 2 2 5 5" xfId="4427" xr:uid="{00000000-0005-0000-0000-0000201D0000}"/>
    <cellStyle name="Normal 2 8 2 2 5 5 2" xfId="6102" xr:uid="{00000000-0005-0000-0000-0000211D0000}"/>
    <cellStyle name="Normal 2 8 2 2 5 5 2 2" xfId="9452" xr:uid="{00000000-0005-0000-0000-0000221D0000}"/>
    <cellStyle name="Normal 2 8 2 2 5 5 3" xfId="11127" xr:uid="{00000000-0005-0000-0000-0000231D0000}"/>
    <cellStyle name="Normal 2 8 2 2 5 5 4" xfId="7777" xr:uid="{00000000-0005-0000-0000-0000241D0000}"/>
    <cellStyle name="Normal 2 8 2 2 5 6" xfId="4686" xr:uid="{00000000-0005-0000-0000-0000251D0000}"/>
    <cellStyle name="Normal 2 8 2 2 5 6 2" xfId="6361" xr:uid="{00000000-0005-0000-0000-0000261D0000}"/>
    <cellStyle name="Normal 2 8 2 2 5 6 2 2" xfId="9711" xr:uid="{00000000-0005-0000-0000-0000271D0000}"/>
    <cellStyle name="Normal 2 8 2 2 5 6 3" xfId="11386" xr:uid="{00000000-0005-0000-0000-0000281D0000}"/>
    <cellStyle name="Normal 2 8 2 2 5 6 4" xfId="8036" xr:uid="{00000000-0005-0000-0000-0000291D0000}"/>
    <cellStyle name="Normal 2 8 2 2 5 7" xfId="5394" xr:uid="{00000000-0005-0000-0000-00002A1D0000}"/>
    <cellStyle name="Normal 2 8 2 2 5 7 2" xfId="8744" xr:uid="{00000000-0005-0000-0000-00002B1D0000}"/>
    <cellStyle name="Normal 2 8 2 2 5 8" xfId="10419" xr:uid="{00000000-0005-0000-0000-00002C1D0000}"/>
    <cellStyle name="Normal 2 8 2 2 5 9" xfId="7069" xr:uid="{00000000-0005-0000-0000-00002D1D0000}"/>
    <cellStyle name="Normal 2 8 2 2 6" xfId="3743" xr:uid="{00000000-0005-0000-0000-00002E1D0000}"/>
    <cellStyle name="Normal 2 8 2 2 6 2" xfId="3979" xr:uid="{00000000-0005-0000-0000-00002F1D0000}"/>
    <cellStyle name="Normal 2 8 2 2 6 2 2" xfId="4946" xr:uid="{00000000-0005-0000-0000-0000301D0000}"/>
    <cellStyle name="Normal 2 8 2 2 6 2 2 2" xfId="6621" xr:uid="{00000000-0005-0000-0000-0000311D0000}"/>
    <cellStyle name="Normal 2 8 2 2 6 2 2 2 2" xfId="9971" xr:uid="{00000000-0005-0000-0000-0000321D0000}"/>
    <cellStyle name="Normal 2 8 2 2 6 2 2 3" xfId="11646" xr:uid="{00000000-0005-0000-0000-0000331D0000}"/>
    <cellStyle name="Normal 2 8 2 2 6 2 2 4" xfId="8296" xr:uid="{00000000-0005-0000-0000-0000341D0000}"/>
    <cellStyle name="Normal 2 8 2 2 6 2 3" xfId="5654" xr:uid="{00000000-0005-0000-0000-0000351D0000}"/>
    <cellStyle name="Normal 2 8 2 2 6 2 3 2" xfId="9004" xr:uid="{00000000-0005-0000-0000-0000361D0000}"/>
    <cellStyle name="Normal 2 8 2 2 6 2 4" xfId="10679" xr:uid="{00000000-0005-0000-0000-0000371D0000}"/>
    <cellStyle name="Normal 2 8 2 2 6 2 5" xfId="7329" xr:uid="{00000000-0005-0000-0000-0000381D0000}"/>
    <cellStyle name="Normal 2 8 2 2 6 3" xfId="4215" xr:uid="{00000000-0005-0000-0000-0000391D0000}"/>
    <cellStyle name="Normal 2 8 2 2 6 3 2" xfId="5182" xr:uid="{00000000-0005-0000-0000-00003A1D0000}"/>
    <cellStyle name="Normal 2 8 2 2 6 3 2 2" xfId="6857" xr:uid="{00000000-0005-0000-0000-00003B1D0000}"/>
    <cellStyle name="Normal 2 8 2 2 6 3 2 2 2" xfId="10207" xr:uid="{00000000-0005-0000-0000-00003C1D0000}"/>
    <cellStyle name="Normal 2 8 2 2 6 3 2 3" xfId="11882" xr:uid="{00000000-0005-0000-0000-00003D1D0000}"/>
    <cellStyle name="Normal 2 8 2 2 6 3 2 4" xfId="8532" xr:uid="{00000000-0005-0000-0000-00003E1D0000}"/>
    <cellStyle name="Normal 2 8 2 2 6 3 3" xfId="5890" xr:uid="{00000000-0005-0000-0000-00003F1D0000}"/>
    <cellStyle name="Normal 2 8 2 2 6 3 3 2" xfId="9240" xr:uid="{00000000-0005-0000-0000-0000401D0000}"/>
    <cellStyle name="Normal 2 8 2 2 6 3 4" xfId="10915" xr:uid="{00000000-0005-0000-0000-0000411D0000}"/>
    <cellStyle name="Normal 2 8 2 2 6 3 5" xfId="7565" xr:uid="{00000000-0005-0000-0000-0000421D0000}"/>
    <cellStyle name="Normal 2 8 2 2 6 4" xfId="4451" xr:uid="{00000000-0005-0000-0000-0000431D0000}"/>
    <cellStyle name="Normal 2 8 2 2 6 4 2" xfId="6126" xr:uid="{00000000-0005-0000-0000-0000441D0000}"/>
    <cellStyle name="Normal 2 8 2 2 6 4 2 2" xfId="9476" xr:uid="{00000000-0005-0000-0000-0000451D0000}"/>
    <cellStyle name="Normal 2 8 2 2 6 4 3" xfId="11151" xr:uid="{00000000-0005-0000-0000-0000461D0000}"/>
    <cellStyle name="Normal 2 8 2 2 6 4 4" xfId="7801" xr:uid="{00000000-0005-0000-0000-0000471D0000}"/>
    <cellStyle name="Normal 2 8 2 2 6 5" xfId="4710" xr:uid="{00000000-0005-0000-0000-0000481D0000}"/>
    <cellStyle name="Normal 2 8 2 2 6 5 2" xfId="6385" xr:uid="{00000000-0005-0000-0000-0000491D0000}"/>
    <cellStyle name="Normal 2 8 2 2 6 5 2 2" xfId="9735" xr:uid="{00000000-0005-0000-0000-00004A1D0000}"/>
    <cellStyle name="Normal 2 8 2 2 6 5 3" xfId="11410" xr:uid="{00000000-0005-0000-0000-00004B1D0000}"/>
    <cellStyle name="Normal 2 8 2 2 6 5 4" xfId="8060" xr:uid="{00000000-0005-0000-0000-00004C1D0000}"/>
    <cellStyle name="Normal 2 8 2 2 6 6" xfId="5418" xr:uid="{00000000-0005-0000-0000-00004D1D0000}"/>
    <cellStyle name="Normal 2 8 2 2 6 6 2" xfId="8768" xr:uid="{00000000-0005-0000-0000-00004E1D0000}"/>
    <cellStyle name="Normal 2 8 2 2 6 7" xfId="10443" xr:uid="{00000000-0005-0000-0000-00004F1D0000}"/>
    <cellStyle name="Normal 2 8 2 2 6 8" xfId="7093" xr:uid="{00000000-0005-0000-0000-0000501D0000}"/>
    <cellStyle name="Normal 2 8 2 2 7" xfId="3861" xr:uid="{00000000-0005-0000-0000-0000511D0000}"/>
    <cellStyle name="Normal 2 8 2 2 7 2" xfId="4828" xr:uid="{00000000-0005-0000-0000-0000521D0000}"/>
    <cellStyle name="Normal 2 8 2 2 7 2 2" xfId="6503" xr:uid="{00000000-0005-0000-0000-0000531D0000}"/>
    <cellStyle name="Normal 2 8 2 2 7 2 2 2" xfId="9853" xr:uid="{00000000-0005-0000-0000-0000541D0000}"/>
    <cellStyle name="Normal 2 8 2 2 7 2 3" xfId="11528" xr:uid="{00000000-0005-0000-0000-0000551D0000}"/>
    <cellStyle name="Normal 2 8 2 2 7 2 4" xfId="8178" xr:uid="{00000000-0005-0000-0000-0000561D0000}"/>
    <cellStyle name="Normal 2 8 2 2 7 3" xfId="5536" xr:uid="{00000000-0005-0000-0000-0000571D0000}"/>
    <cellStyle name="Normal 2 8 2 2 7 3 2" xfId="8886" xr:uid="{00000000-0005-0000-0000-0000581D0000}"/>
    <cellStyle name="Normal 2 8 2 2 7 4" xfId="10561" xr:uid="{00000000-0005-0000-0000-0000591D0000}"/>
    <cellStyle name="Normal 2 8 2 2 7 5" xfId="7211" xr:uid="{00000000-0005-0000-0000-00005A1D0000}"/>
    <cellStyle name="Normal 2 8 2 2 8" xfId="4097" xr:uid="{00000000-0005-0000-0000-00005B1D0000}"/>
    <cellStyle name="Normal 2 8 2 2 8 2" xfId="5064" xr:uid="{00000000-0005-0000-0000-00005C1D0000}"/>
    <cellStyle name="Normal 2 8 2 2 8 2 2" xfId="6739" xr:uid="{00000000-0005-0000-0000-00005D1D0000}"/>
    <cellStyle name="Normal 2 8 2 2 8 2 2 2" xfId="10089" xr:uid="{00000000-0005-0000-0000-00005E1D0000}"/>
    <cellStyle name="Normal 2 8 2 2 8 2 3" xfId="11764" xr:uid="{00000000-0005-0000-0000-00005F1D0000}"/>
    <cellStyle name="Normal 2 8 2 2 8 2 4" xfId="8414" xr:uid="{00000000-0005-0000-0000-0000601D0000}"/>
    <cellStyle name="Normal 2 8 2 2 8 3" xfId="5772" xr:uid="{00000000-0005-0000-0000-0000611D0000}"/>
    <cellStyle name="Normal 2 8 2 2 8 3 2" xfId="9122" xr:uid="{00000000-0005-0000-0000-0000621D0000}"/>
    <cellStyle name="Normal 2 8 2 2 8 4" xfId="10797" xr:uid="{00000000-0005-0000-0000-0000631D0000}"/>
    <cellStyle name="Normal 2 8 2 2 8 5" xfId="7447" xr:uid="{00000000-0005-0000-0000-0000641D0000}"/>
    <cellStyle name="Normal 2 8 2 2 9" xfId="4333" xr:uid="{00000000-0005-0000-0000-0000651D0000}"/>
    <cellStyle name="Normal 2 8 2 2 9 2" xfId="4592" xr:uid="{00000000-0005-0000-0000-0000661D0000}"/>
    <cellStyle name="Normal 2 8 2 2 9 2 2" xfId="6267" xr:uid="{00000000-0005-0000-0000-0000671D0000}"/>
    <cellStyle name="Normal 2 8 2 2 9 2 2 2" xfId="9617" xr:uid="{00000000-0005-0000-0000-0000681D0000}"/>
    <cellStyle name="Normal 2 8 2 2 9 2 3" xfId="11292" xr:uid="{00000000-0005-0000-0000-0000691D0000}"/>
    <cellStyle name="Normal 2 8 2 2 9 2 4" xfId="7942" xr:uid="{00000000-0005-0000-0000-00006A1D0000}"/>
    <cellStyle name="Normal 2 8 2 2 9 3" xfId="6008" xr:uid="{00000000-0005-0000-0000-00006B1D0000}"/>
    <cellStyle name="Normal 2 8 2 2 9 3 2" xfId="9358" xr:uid="{00000000-0005-0000-0000-00006C1D0000}"/>
    <cellStyle name="Normal 2 8 2 2 9 4" xfId="11033" xr:uid="{00000000-0005-0000-0000-00006D1D0000}"/>
    <cellStyle name="Normal 2 8 2 2 9 5" xfId="7683" xr:uid="{00000000-0005-0000-0000-00006E1D0000}"/>
    <cellStyle name="Normal 2 8 2 3" xfId="2764" xr:uid="{00000000-0005-0000-0000-0000CC0A0000}"/>
    <cellStyle name="Normal 2 8 2 3 2" xfId="2765" xr:uid="{00000000-0005-0000-0000-0000CD0A0000}"/>
    <cellStyle name="Normal 2 8 2 4" xfId="2766" xr:uid="{00000000-0005-0000-0000-0000CE0A0000}"/>
    <cellStyle name="Normal 2 8 3" xfId="2767" xr:uid="{00000000-0005-0000-0000-0000CF0A0000}"/>
    <cellStyle name="Normal 2 8 3 2" xfId="2768" xr:uid="{00000000-0005-0000-0000-0000D00A0000}"/>
    <cellStyle name="Normal 2 8 3 2 2" xfId="2769" xr:uid="{00000000-0005-0000-0000-0000D10A0000}"/>
    <cellStyle name="Normal 2 8 3 3" xfId="2770" xr:uid="{00000000-0005-0000-0000-0000D20A0000}"/>
    <cellStyle name="Normal 2 8 4" xfId="3647" xr:uid="{00000000-0005-0000-0000-0000701D0000}"/>
    <cellStyle name="Normal 2 8 4 2" xfId="3765" xr:uid="{00000000-0005-0000-0000-0000711D0000}"/>
    <cellStyle name="Normal 2 8 4 2 2" xfId="4001" xr:uid="{00000000-0005-0000-0000-0000721D0000}"/>
    <cellStyle name="Normal 2 8 4 2 2 2" xfId="4968" xr:uid="{00000000-0005-0000-0000-0000731D0000}"/>
    <cellStyle name="Normal 2 8 4 2 2 2 2" xfId="6643" xr:uid="{00000000-0005-0000-0000-0000741D0000}"/>
    <cellStyle name="Normal 2 8 4 2 2 2 2 2" xfId="9993" xr:uid="{00000000-0005-0000-0000-0000751D0000}"/>
    <cellStyle name="Normal 2 8 4 2 2 2 3" xfId="11668" xr:uid="{00000000-0005-0000-0000-0000761D0000}"/>
    <cellStyle name="Normal 2 8 4 2 2 2 4" xfId="8318" xr:uid="{00000000-0005-0000-0000-0000771D0000}"/>
    <cellStyle name="Normal 2 8 4 2 2 3" xfId="5676" xr:uid="{00000000-0005-0000-0000-0000781D0000}"/>
    <cellStyle name="Normal 2 8 4 2 2 3 2" xfId="9026" xr:uid="{00000000-0005-0000-0000-0000791D0000}"/>
    <cellStyle name="Normal 2 8 4 2 2 4" xfId="10701" xr:uid="{00000000-0005-0000-0000-00007A1D0000}"/>
    <cellStyle name="Normal 2 8 4 2 2 5" xfId="7351" xr:uid="{00000000-0005-0000-0000-00007B1D0000}"/>
    <cellStyle name="Normal 2 8 4 2 3" xfId="4237" xr:uid="{00000000-0005-0000-0000-00007C1D0000}"/>
    <cellStyle name="Normal 2 8 4 2 3 2" xfId="5204" xr:uid="{00000000-0005-0000-0000-00007D1D0000}"/>
    <cellStyle name="Normal 2 8 4 2 3 2 2" xfId="6879" xr:uid="{00000000-0005-0000-0000-00007E1D0000}"/>
    <cellStyle name="Normal 2 8 4 2 3 2 2 2" xfId="10229" xr:uid="{00000000-0005-0000-0000-00007F1D0000}"/>
    <cellStyle name="Normal 2 8 4 2 3 2 3" xfId="11904" xr:uid="{00000000-0005-0000-0000-0000801D0000}"/>
    <cellStyle name="Normal 2 8 4 2 3 2 4" xfId="8554" xr:uid="{00000000-0005-0000-0000-0000811D0000}"/>
    <cellStyle name="Normal 2 8 4 2 3 3" xfId="5912" xr:uid="{00000000-0005-0000-0000-0000821D0000}"/>
    <cellStyle name="Normal 2 8 4 2 3 3 2" xfId="9262" xr:uid="{00000000-0005-0000-0000-0000831D0000}"/>
    <cellStyle name="Normal 2 8 4 2 3 4" xfId="10937" xr:uid="{00000000-0005-0000-0000-0000841D0000}"/>
    <cellStyle name="Normal 2 8 4 2 3 5" xfId="7587" xr:uid="{00000000-0005-0000-0000-0000851D0000}"/>
    <cellStyle name="Normal 2 8 4 2 4" xfId="4473" xr:uid="{00000000-0005-0000-0000-0000861D0000}"/>
    <cellStyle name="Normal 2 8 4 2 4 2" xfId="6148" xr:uid="{00000000-0005-0000-0000-0000871D0000}"/>
    <cellStyle name="Normal 2 8 4 2 4 2 2" xfId="9498" xr:uid="{00000000-0005-0000-0000-0000881D0000}"/>
    <cellStyle name="Normal 2 8 4 2 4 3" xfId="11173" xr:uid="{00000000-0005-0000-0000-0000891D0000}"/>
    <cellStyle name="Normal 2 8 4 2 4 4" xfId="7823" xr:uid="{00000000-0005-0000-0000-00008A1D0000}"/>
    <cellStyle name="Normal 2 8 4 2 5" xfId="4732" xr:uid="{00000000-0005-0000-0000-00008B1D0000}"/>
    <cellStyle name="Normal 2 8 4 2 5 2" xfId="6407" xr:uid="{00000000-0005-0000-0000-00008C1D0000}"/>
    <cellStyle name="Normal 2 8 4 2 5 2 2" xfId="9757" xr:uid="{00000000-0005-0000-0000-00008D1D0000}"/>
    <cellStyle name="Normal 2 8 4 2 5 3" xfId="11432" xr:uid="{00000000-0005-0000-0000-00008E1D0000}"/>
    <cellStyle name="Normal 2 8 4 2 5 4" xfId="8082" xr:uid="{00000000-0005-0000-0000-00008F1D0000}"/>
    <cellStyle name="Normal 2 8 4 2 6" xfId="5440" xr:uid="{00000000-0005-0000-0000-0000901D0000}"/>
    <cellStyle name="Normal 2 8 4 2 6 2" xfId="8790" xr:uid="{00000000-0005-0000-0000-0000911D0000}"/>
    <cellStyle name="Normal 2 8 4 2 7" xfId="10465" xr:uid="{00000000-0005-0000-0000-0000921D0000}"/>
    <cellStyle name="Normal 2 8 4 2 8" xfId="7115" xr:uid="{00000000-0005-0000-0000-0000931D0000}"/>
    <cellStyle name="Normal 2 8 4 3" xfId="3883" xr:uid="{00000000-0005-0000-0000-0000941D0000}"/>
    <cellStyle name="Normal 2 8 4 3 2" xfId="4850" xr:uid="{00000000-0005-0000-0000-0000951D0000}"/>
    <cellStyle name="Normal 2 8 4 3 2 2" xfId="6525" xr:uid="{00000000-0005-0000-0000-0000961D0000}"/>
    <cellStyle name="Normal 2 8 4 3 2 2 2" xfId="9875" xr:uid="{00000000-0005-0000-0000-0000971D0000}"/>
    <cellStyle name="Normal 2 8 4 3 2 3" xfId="11550" xr:uid="{00000000-0005-0000-0000-0000981D0000}"/>
    <cellStyle name="Normal 2 8 4 3 2 4" xfId="8200" xr:uid="{00000000-0005-0000-0000-0000991D0000}"/>
    <cellStyle name="Normal 2 8 4 3 3" xfId="5558" xr:uid="{00000000-0005-0000-0000-00009A1D0000}"/>
    <cellStyle name="Normal 2 8 4 3 3 2" xfId="8908" xr:uid="{00000000-0005-0000-0000-00009B1D0000}"/>
    <cellStyle name="Normal 2 8 4 3 4" xfId="10583" xr:uid="{00000000-0005-0000-0000-00009C1D0000}"/>
    <cellStyle name="Normal 2 8 4 3 5" xfId="7233" xr:uid="{00000000-0005-0000-0000-00009D1D0000}"/>
    <cellStyle name="Normal 2 8 4 4" xfId="4119" xr:uid="{00000000-0005-0000-0000-00009E1D0000}"/>
    <cellStyle name="Normal 2 8 4 4 2" xfId="5086" xr:uid="{00000000-0005-0000-0000-00009F1D0000}"/>
    <cellStyle name="Normal 2 8 4 4 2 2" xfId="6761" xr:uid="{00000000-0005-0000-0000-0000A01D0000}"/>
    <cellStyle name="Normal 2 8 4 4 2 2 2" xfId="10111" xr:uid="{00000000-0005-0000-0000-0000A11D0000}"/>
    <cellStyle name="Normal 2 8 4 4 2 3" xfId="11786" xr:uid="{00000000-0005-0000-0000-0000A21D0000}"/>
    <cellStyle name="Normal 2 8 4 4 2 4" xfId="8436" xr:uid="{00000000-0005-0000-0000-0000A31D0000}"/>
    <cellStyle name="Normal 2 8 4 4 3" xfId="5794" xr:uid="{00000000-0005-0000-0000-0000A41D0000}"/>
    <cellStyle name="Normal 2 8 4 4 3 2" xfId="9144" xr:uid="{00000000-0005-0000-0000-0000A51D0000}"/>
    <cellStyle name="Normal 2 8 4 4 4" xfId="10819" xr:uid="{00000000-0005-0000-0000-0000A61D0000}"/>
    <cellStyle name="Normal 2 8 4 4 5" xfId="7469" xr:uid="{00000000-0005-0000-0000-0000A71D0000}"/>
    <cellStyle name="Normal 2 8 4 5" xfId="4355" xr:uid="{00000000-0005-0000-0000-0000A81D0000}"/>
    <cellStyle name="Normal 2 8 4 5 2" xfId="6030" xr:uid="{00000000-0005-0000-0000-0000A91D0000}"/>
    <cellStyle name="Normal 2 8 4 5 2 2" xfId="9380" xr:uid="{00000000-0005-0000-0000-0000AA1D0000}"/>
    <cellStyle name="Normal 2 8 4 5 3" xfId="11055" xr:uid="{00000000-0005-0000-0000-0000AB1D0000}"/>
    <cellStyle name="Normal 2 8 4 5 4" xfId="7705" xr:uid="{00000000-0005-0000-0000-0000AC1D0000}"/>
    <cellStyle name="Normal 2 8 4 6" xfId="4614" xr:uid="{00000000-0005-0000-0000-0000AD1D0000}"/>
    <cellStyle name="Normal 2 8 4 6 2" xfId="6289" xr:uid="{00000000-0005-0000-0000-0000AE1D0000}"/>
    <cellStyle name="Normal 2 8 4 6 2 2" xfId="9639" xr:uid="{00000000-0005-0000-0000-0000AF1D0000}"/>
    <cellStyle name="Normal 2 8 4 6 3" xfId="11314" xr:uid="{00000000-0005-0000-0000-0000B01D0000}"/>
    <cellStyle name="Normal 2 8 4 6 4" xfId="7964" xr:uid="{00000000-0005-0000-0000-0000B11D0000}"/>
    <cellStyle name="Normal 2 8 4 7" xfId="5322" xr:uid="{00000000-0005-0000-0000-0000B21D0000}"/>
    <cellStyle name="Normal 2 8 4 7 2" xfId="8672" xr:uid="{00000000-0005-0000-0000-0000B31D0000}"/>
    <cellStyle name="Normal 2 8 4 8" xfId="10347" xr:uid="{00000000-0005-0000-0000-0000B41D0000}"/>
    <cellStyle name="Normal 2 8 4 9" xfId="6997" xr:uid="{00000000-0005-0000-0000-0000B51D0000}"/>
    <cellStyle name="Normal 2 8 5" xfId="3670" xr:uid="{00000000-0005-0000-0000-0000B61D0000}"/>
    <cellStyle name="Normal 2 8 5 2" xfId="3788" xr:uid="{00000000-0005-0000-0000-0000B71D0000}"/>
    <cellStyle name="Normal 2 8 5 2 2" xfId="4024" xr:uid="{00000000-0005-0000-0000-0000B81D0000}"/>
    <cellStyle name="Normal 2 8 5 2 2 2" xfId="4991" xr:uid="{00000000-0005-0000-0000-0000B91D0000}"/>
    <cellStyle name="Normal 2 8 5 2 2 2 2" xfId="6666" xr:uid="{00000000-0005-0000-0000-0000BA1D0000}"/>
    <cellStyle name="Normal 2 8 5 2 2 2 2 2" xfId="10016" xr:uid="{00000000-0005-0000-0000-0000BB1D0000}"/>
    <cellStyle name="Normal 2 8 5 2 2 2 3" xfId="11691" xr:uid="{00000000-0005-0000-0000-0000BC1D0000}"/>
    <cellStyle name="Normal 2 8 5 2 2 2 4" xfId="8341" xr:uid="{00000000-0005-0000-0000-0000BD1D0000}"/>
    <cellStyle name="Normal 2 8 5 2 2 3" xfId="5699" xr:uid="{00000000-0005-0000-0000-0000BE1D0000}"/>
    <cellStyle name="Normal 2 8 5 2 2 3 2" xfId="9049" xr:uid="{00000000-0005-0000-0000-0000BF1D0000}"/>
    <cellStyle name="Normal 2 8 5 2 2 4" xfId="10724" xr:uid="{00000000-0005-0000-0000-0000C01D0000}"/>
    <cellStyle name="Normal 2 8 5 2 2 5" xfId="7374" xr:uid="{00000000-0005-0000-0000-0000C11D0000}"/>
    <cellStyle name="Normal 2 8 5 2 3" xfId="4260" xr:uid="{00000000-0005-0000-0000-0000C21D0000}"/>
    <cellStyle name="Normal 2 8 5 2 3 2" xfId="5227" xr:uid="{00000000-0005-0000-0000-0000C31D0000}"/>
    <cellStyle name="Normal 2 8 5 2 3 2 2" xfId="6902" xr:uid="{00000000-0005-0000-0000-0000C41D0000}"/>
    <cellStyle name="Normal 2 8 5 2 3 2 2 2" xfId="10252" xr:uid="{00000000-0005-0000-0000-0000C51D0000}"/>
    <cellStyle name="Normal 2 8 5 2 3 2 3" xfId="11927" xr:uid="{00000000-0005-0000-0000-0000C61D0000}"/>
    <cellStyle name="Normal 2 8 5 2 3 2 4" xfId="8577" xr:uid="{00000000-0005-0000-0000-0000C71D0000}"/>
    <cellStyle name="Normal 2 8 5 2 3 3" xfId="5935" xr:uid="{00000000-0005-0000-0000-0000C81D0000}"/>
    <cellStyle name="Normal 2 8 5 2 3 3 2" xfId="9285" xr:uid="{00000000-0005-0000-0000-0000C91D0000}"/>
    <cellStyle name="Normal 2 8 5 2 3 4" xfId="10960" xr:uid="{00000000-0005-0000-0000-0000CA1D0000}"/>
    <cellStyle name="Normal 2 8 5 2 3 5" xfId="7610" xr:uid="{00000000-0005-0000-0000-0000CB1D0000}"/>
    <cellStyle name="Normal 2 8 5 2 4" xfId="4496" xr:uid="{00000000-0005-0000-0000-0000CC1D0000}"/>
    <cellStyle name="Normal 2 8 5 2 4 2" xfId="6171" xr:uid="{00000000-0005-0000-0000-0000CD1D0000}"/>
    <cellStyle name="Normal 2 8 5 2 4 2 2" xfId="9521" xr:uid="{00000000-0005-0000-0000-0000CE1D0000}"/>
    <cellStyle name="Normal 2 8 5 2 4 3" xfId="11196" xr:uid="{00000000-0005-0000-0000-0000CF1D0000}"/>
    <cellStyle name="Normal 2 8 5 2 4 4" xfId="7846" xr:uid="{00000000-0005-0000-0000-0000D01D0000}"/>
    <cellStyle name="Normal 2 8 5 2 5" xfId="4755" xr:uid="{00000000-0005-0000-0000-0000D11D0000}"/>
    <cellStyle name="Normal 2 8 5 2 5 2" xfId="6430" xr:uid="{00000000-0005-0000-0000-0000D21D0000}"/>
    <cellStyle name="Normal 2 8 5 2 5 2 2" xfId="9780" xr:uid="{00000000-0005-0000-0000-0000D31D0000}"/>
    <cellStyle name="Normal 2 8 5 2 5 3" xfId="11455" xr:uid="{00000000-0005-0000-0000-0000D41D0000}"/>
    <cellStyle name="Normal 2 8 5 2 5 4" xfId="8105" xr:uid="{00000000-0005-0000-0000-0000D51D0000}"/>
    <cellStyle name="Normal 2 8 5 2 6" xfId="5463" xr:uid="{00000000-0005-0000-0000-0000D61D0000}"/>
    <cellStyle name="Normal 2 8 5 2 6 2" xfId="8813" xr:uid="{00000000-0005-0000-0000-0000D71D0000}"/>
    <cellStyle name="Normal 2 8 5 2 7" xfId="10488" xr:uid="{00000000-0005-0000-0000-0000D81D0000}"/>
    <cellStyle name="Normal 2 8 5 2 8" xfId="7138" xr:uid="{00000000-0005-0000-0000-0000D91D0000}"/>
    <cellStyle name="Normal 2 8 5 3" xfId="3906" xr:uid="{00000000-0005-0000-0000-0000DA1D0000}"/>
    <cellStyle name="Normal 2 8 5 3 2" xfId="4873" xr:uid="{00000000-0005-0000-0000-0000DB1D0000}"/>
    <cellStyle name="Normal 2 8 5 3 2 2" xfId="6548" xr:uid="{00000000-0005-0000-0000-0000DC1D0000}"/>
    <cellStyle name="Normal 2 8 5 3 2 2 2" xfId="9898" xr:uid="{00000000-0005-0000-0000-0000DD1D0000}"/>
    <cellStyle name="Normal 2 8 5 3 2 3" xfId="11573" xr:uid="{00000000-0005-0000-0000-0000DE1D0000}"/>
    <cellStyle name="Normal 2 8 5 3 2 4" xfId="8223" xr:uid="{00000000-0005-0000-0000-0000DF1D0000}"/>
    <cellStyle name="Normal 2 8 5 3 3" xfId="5581" xr:uid="{00000000-0005-0000-0000-0000E01D0000}"/>
    <cellStyle name="Normal 2 8 5 3 3 2" xfId="8931" xr:uid="{00000000-0005-0000-0000-0000E11D0000}"/>
    <cellStyle name="Normal 2 8 5 3 4" xfId="10606" xr:uid="{00000000-0005-0000-0000-0000E21D0000}"/>
    <cellStyle name="Normal 2 8 5 3 5" xfId="7256" xr:uid="{00000000-0005-0000-0000-0000E31D0000}"/>
    <cellStyle name="Normal 2 8 5 4" xfId="4142" xr:uid="{00000000-0005-0000-0000-0000E41D0000}"/>
    <cellStyle name="Normal 2 8 5 4 2" xfId="5109" xr:uid="{00000000-0005-0000-0000-0000E51D0000}"/>
    <cellStyle name="Normal 2 8 5 4 2 2" xfId="6784" xr:uid="{00000000-0005-0000-0000-0000E61D0000}"/>
    <cellStyle name="Normal 2 8 5 4 2 2 2" xfId="10134" xr:uid="{00000000-0005-0000-0000-0000E71D0000}"/>
    <cellStyle name="Normal 2 8 5 4 2 3" xfId="11809" xr:uid="{00000000-0005-0000-0000-0000E81D0000}"/>
    <cellStyle name="Normal 2 8 5 4 2 4" xfId="8459" xr:uid="{00000000-0005-0000-0000-0000E91D0000}"/>
    <cellStyle name="Normal 2 8 5 4 3" xfId="5817" xr:uid="{00000000-0005-0000-0000-0000EA1D0000}"/>
    <cellStyle name="Normal 2 8 5 4 3 2" xfId="9167" xr:uid="{00000000-0005-0000-0000-0000EB1D0000}"/>
    <cellStyle name="Normal 2 8 5 4 4" xfId="10842" xr:uid="{00000000-0005-0000-0000-0000EC1D0000}"/>
    <cellStyle name="Normal 2 8 5 4 5" xfId="7492" xr:uid="{00000000-0005-0000-0000-0000ED1D0000}"/>
    <cellStyle name="Normal 2 8 5 5" xfId="4378" xr:uid="{00000000-0005-0000-0000-0000EE1D0000}"/>
    <cellStyle name="Normal 2 8 5 5 2" xfId="6053" xr:uid="{00000000-0005-0000-0000-0000EF1D0000}"/>
    <cellStyle name="Normal 2 8 5 5 2 2" xfId="9403" xr:uid="{00000000-0005-0000-0000-0000F01D0000}"/>
    <cellStyle name="Normal 2 8 5 5 3" xfId="11078" xr:uid="{00000000-0005-0000-0000-0000F11D0000}"/>
    <cellStyle name="Normal 2 8 5 5 4" xfId="7728" xr:uid="{00000000-0005-0000-0000-0000F21D0000}"/>
    <cellStyle name="Normal 2 8 5 6" xfId="4637" xr:uid="{00000000-0005-0000-0000-0000F31D0000}"/>
    <cellStyle name="Normal 2 8 5 6 2" xfId="6312" xr:uid="{00000000-0005-0000-0000-0000F41D0000}"/>
    <cellStyle name="Normal 2 8 5 6 2 2" xfId="9662" xr:uid="{00000000-0005-0000-0000-0000F51D0000}"/>
    <cellStyle name="Normal 2 8 5 6 3" xfId="11337" xr:uid="{00000000-0005-0000-0000-0000F61D0000}"/>
    <cellStyle name="Normal 2 8 5 6 4" xfId="7987" xr:uid="{00000000-0005-0000-0000-0000F71D0000}"/>
    <cellStyle name="Normal 2 8 5 7" xfId="5345" xr:uid="{00000000-0005-0000-0000-0000F81D0000}"/>
    <cellStyle name="Normal 2 8 5 7 2" xfId="8695" xr:uid="{00000000-0005-0000-0000-0000F91D0000}"/>
    <cellStyle name="Normal 2 8 5 8" xfId="10370" xr:uid="{00000000-0005-0000-0000-0000FA1D0000}"/>
    <cellStyle name="Normal 2 8 5 9" xfId="7020" xr:uid="{00000000-0005-0000-0000-0000FB1D0000}"/>
    <cellStyle name="Normal 2 8 6" xfId="3694" xr:uid="{00000000-0005-0000-0000-0000FC1D0000}"/>
    <cellStyle name="Normal 2 8 6 2" xfId="3812" xr:uid="{00000000-0005-0000-0000-0000FD1D0000}"/>
    <cellStyle name="Normal 2 8 6 2 2" xfId="4048" xr:uid="{00000000-0005-0000-0000-0000FE1D0000}"/>
    <cellStyle name="Normal 2 8 6 2 2 2" xfId="5015" xr:uid="{00000000-0005-0000-0000-0000FF1D0000}"/>
    <cellStyle name="Normal 2 8 6 2 2 2 2" xfId="6690" xr:uid="{00000000-0005-0000-0000-0000001E0000}"/>
    <cellStyle name="Normal 2 8 6 2 2 2 2 2" xfId="10040" xr:uid="{00000000-0005-0000-0000-0000011E0000}"/>
    <cellStyle name="Normal 2 8 6 2 2 2 3" xfId="11715" xr:uid="{00000000-0005-0000-0000-0000021E0000}"/>
    <cellStyle name="Normal 2 8 6 2 2 2 4" xfId="8365" xr:uid="{00000000-0005-0000-0000-0000031E0000}"/>
    <cellStyle name="Normal 2 8 6 2 2 3" xfId="5723" xr:uid="{00000000-0005-0000-0000-0000041E0000}"/>
    <cellStyle name="Normal 2 8 6 2 2 3 2" xfId="9073" xr:uid="{00000000-0005-0000-0000-0000051E0000}"/>
    <cellStyle name="Normal 2 8 6 2 2 4" xfId="10748" xr:uid="{00000000-0005-0000-0000-0000061E0000}"/>
    <cellStyle name="Normal 2 8 6 2 2 5" xfId="7398" xr:uid="{00000000-0005-0000-0000-0000071E0000}"/>
    <cellStyle name="Normal 2 8 6 2 3" xfId="4284" xr:uid="{00000000-0005-0000-0000-0000081E0000}"/>
    <cellStyle name="Normal 2 8 6 2 3 2" xfId="5251" xr:uid="{00000000-0005-0000-0000-0000091E0000}"/>
    <cellStyle name="Normal 2 8 6 2 3 2 2" xfId="6926" xr:uid="{00000000-0005-0000-0000-00000A1E0000}"/>
    <cellStyle name="Normal 2 8 6 2 3 2 2 2" xfId="10276" xr:uid="{00000000-0005-0000-0000-00000B1E0000}"/>
    <cellStyle name="Normal 2 8 6 2 3 2 3" xfId="11951" xr:uid="{00000000-0005-0000-0000-00000C1E0000}"/>
    <cellStyle name="Normal 2 8 6 2 3 2 4" xfId="8601" xr:uid="{00000000-0005-0000-0000-00000D1E0000}"/>
    <cellStyle name="Normal 2 8 6 2 3 3" xfId="5959" xr:uid="{00000000-0005-0000-0000-00000E1E0000}"/>
    <cellStyle name="Normal 2 8 6 2 3 3 2" xfId="9309" xr:uid="{00000000-0005-0000-0000-00000F1E0000}"/>
    <cellStyle name="Normal 2 8 6 2 3 4" xfId="10984" xr:uid="{00000000-0005-0000-0000-0000101E0000}"/>
    <cellStyle name="Normal 2 8 6 2 3 5" xfId="7634" xr:uid="{00000000-0005-0000-0000-0000111E0000}"/>
    <cellStyle name="Normal 2 8 6 2 4" xfId="4520" xr:uid="{00000000-0005-0000-0000-0000121E0000}"/>
    <cellStyle name="Normal 2 8 6 2 4 2" xfId="6195" xr:uid="{00000000-0005-0000-0000-0000131E0000}"/>
    <cellStyle name="Normal 2 8 6 2 4 2 2" xfId="9545" xr:uid="{00000000-0005-0000-0000-0000141E0000}"/>
    <cellStyle name="Normal 2 8 6 2 4 3" xfId="11220" xr:uid="{00000000-0005-0000-0000-0000151E0000}"/>
    <cellStyle name="Normal 2 8 6 2 4 4" xfId="7870" xr:uid="{00000000-0005-0000-0000-0000161E0000}"/>
    <cellStyle name="Normal 2 8 6 2 5" xfId="4779" xr:uid="{00000000-0005-0000-0000-0000171E0000}"/>
    <cellStyle name="Normal 2 8 6 2 5 2" xfId="6454" xr:uid="{00000000-0005-0000-0000-0000181E0000}"/>
    <cellStyle name="Normal 2 8 6 2 5 2 2" xfId="9804" xr:uid="{00000000-0005-0000-0000-0000191E0000}"/>
    <cellStyle name="Normal 2 8 6 2 5 3" xfId="11479" xr:uid="{00000000-0005-0000-0000-00001A1E0000}"/>
    <cellStyle name="Normal 2 8 6 2 5 4" xfId="8129" xr:uid="{00000000-0005-0000-0000-00001B1E0000}"/>
    <cellStyle name="Normal 2 8 6 2 6" xfId="5487" xr:uid="{00000000-0005-0000-0000-00001C1E0000}"/>
    <cellStyle name="Normal 2 8 6 2 6 2" xfId="8837" xr:uid="{00000000-0005-0000-0000-00001D1E0000}"/>
    <cellStyle name="Normal 2 8 6 2 7" xfId="10512" xr:uid="{00000000-0005-0000-0000-00001E1E0000}"/>
    <cellStyle name="Normal 2 8 6 2 8" xfId="7162" xr:uid="{00000000-0005-0000-0000-00001F1E0000}"/>
    <cellStyle name="Normal 2 8 6 3" xfId="3930" xr:uid="{00000000-0005-0000-0000-0000201E0000}"/>
    <cellStyle name="Normal 2 8 6 3 2" xfId="4897" xr:uid="{00000000-0005-0000-0000-0000211E0000}"/>
    <cellStyle name="Normal 2 8 6 3 2 2" xfId="6572" xr:uid="{00000000-0005-0000-0000-0000221E0000}"/>
    <cellStyle name="Normal 2 8 6 3 2 2 2" xfId="9922" xr:uid="{00000000-0005-0000-0000-0000231E0000}"/>
    <cellStyle name="Normal 2 8 6 3 2 3" xfId="11597" xr:uid="{00000000-0005-0000-0000-0000241E0000}"/>
    <cellStyle name="Normal 2 8 6 3 2 4" xfId="8247" xr:uid="{00000000-0005-0000-0000-0000251E0000}"/>
    <cellStyle name="Normal 2 8 6 3 3" xfId="5605" xr:uid="{00000000-0005-0000-0000-0000261E0000}"/>
    <cellStyle name="Normal 2 8 6 3 3 2" xfId="8955" xr:uid="{00000000-0005-0000-0000-0000271E0000}"/>
    <cellStyle name="Normal 2 8 6 3 4" xfId="10630" xr:uid="{00000000-0005-0000-0000-0000281E0000}"/>
    <cellStyle name="Normal 2 8 6 3 5" xfId="7280" xr:uid="{00000000-0005-0000-0000-0000291E0000}"/>
    <cellStyle name="Normal 2 8 6 4" xfId="4166" xr:uid="{00000000-0005-0000-0000-00002A1E0000}"/>
    <cellStyle name="Normal 2 8 6 4 2" xfId="5133" xr:uid="{00000000-0005-0000-0000-00002B1E0000}"/>
    <cellStyle name="Normal 2 8 6 4 2 2" xfId="6808" xr:uid="{00000000-0005-0000-0000-00002C1E0000}"/>
    <cellStyle name="Normal 2 8 6 4 2 2 2" xfId="10158" xr:uid="{00000000-0005-0000-0000-00002D1E0000}"/>
    <cellStyle name="Normal 2 8 6 4 2 3" xfId="11833" xr:uid="{00000000-0005-0000-0000-00002E1E0000}"/>
    <cellStyle name="Normal 2 8 6 4 2 4" xfId="8483" xr:uid="{00000000-0005-0000-0000-00002F1E0000}"/>
    <cellStyle name="Normal 2 8 6 4 3" xfId="5841" xr:uid="{00000000-0005-0000-0000-0000301E0000}"/>
    <cellStyle name="Normal 2 8 6 4 3 2" xfId="9191" xr:uid="{00000000-0005-0000-0000-0000311E0000}"/>
    <cellStyle name="Normal 2 8 6 4 4" xfId="10866" xr:uid="{00000000-0005-0000-0000-0000321E0000}"/>
    <cellStyle name="Normal 2 8 6 4 5" xfId="7516" xr:uid="{00000000-0005-0000-0000-0000331E0000}"/>
    <cellStyle name="Normal 2 8 6 5" xfId="4402" xr:uid="{00000000-0005-0000-0000-0000341E0000}"/>
    <cellStyle name="Normal 2 8 6 5 2" xfId="6077" xr:uid="{00000000-0005-0000-0000-0000351E0000}"/>
    <cellStyle name="Normal 2 8 6 5 2 2" xfId="9427" xr:uid="{00000000-0005-0000-0000-0000361E0000}"/>
    <cellStyle name="Normal 2 8 6 5 3" xfId="11102" xr:uid="{00000000-0005-0000-0000-0000371E0000}"/>
    <cellStyle name="Normal 2 8 6 5 4" xfId="7752" xr:uid="{00000000-0005-0000-0000-0000381E0000}"/>
    <cellStyle name="Normal 2 8 6 6" xfId="4661" xr:uid="{00000000-0005-0000-0000-0000391E0000}"/>
    <cellStyle name="Normal 2 8 6 6 2" xfId="6336" xr:uid="{00000000-0005-0000-0000-00003A1E0000}"/>
    <cellStyle name="Normal 2 8 6 6 2 2" xfId="9686" xr:uid="{00000000-0005-0000-0000-00003B1E0000}"/>
    <cellStyle name="Normal 2 8 6 6 3" xfId="11361" xr:uid="{00000000-0005-0000-0000-00003C1E0000}"/>
    <cellStyle name="Normal 2 8 6 6 4" xfId="8011" xr:uid="{00000000-0005-0000-0000-00003D1E0000}"/>
    <cellStyle name="Normal 2 8 6 7" xfId="5369" xr:uid="{00000000-0005-0000-0000-00003E1E0000}"/>
    <cellStyle name="Normal 2 8 6 7 2" xfId="8719" xr:uid="{00000000-0005-0000-0000-00003F1E0000}"/>
    <cellStyle name="Normal 2 8 6 8" xfId="10394" xr:uid="{00000000-0005-0000-0000-0000401E0000}"/>
    <cellStyle name="Normal 2 8 6 9" xfId="7044" xr:uid="{00000000-0005-0000-0000-0000411E0000}"/>
    <cellStyle name="Normal 2 8 7" xfId="3718" xr:uid="{00000000-0005-0000-0000-0000421E0000}"/>
    <cellStyle name="Normal 2 8 7 2" xfId="3836" xr:uid="{00000000-0005-0000-0000-0000431E0000}"/>
    <cellStyle name="Normal 2 8 7 2 2" xfId="4072" xr:uid="{00000000-0005-0000-0000-0000441E0000}"/>
    <cellStyle name="Normal 2 8 7 2 2 2" xfId="5039" xr:uid="{00000000-0005-0000-0000-0000451E0000}"/>
    <cellStyle name="Normal 2 8 7 2 2 2 2" xfId="6714" xr:uid="{00000000-0005-0000-0000-0000461E0000}"/>
    <cellStyle name="Normal 2 8 7 2 2 2 2 2" xfId="10064" xr:uid="{00000000-0005-0000-0000-0000471E0000}"/>
    <cellStyle name="Normal 2 8 7 2 2 2 3" xfId="11739" xr:uid="{00000000-0005-0000-0000-0000481E0000}"/>
    <cellStyle name="Normal 2 8 7 2 2 2 4" xfId="8389" xr:uid="{00000000-0005-0000-0000-0000491E0000}"/>
    <cellStyle name="Normal 2 8 7 2 2 3" xfId="5747" xr:uid="{00000000-0005-0000-0000-00004A1E0000}"/>
    <cellStyle name="Normal 2 8 7 2 2 3 2" xfId="9097" xr:uid="{00000000-0005-0000-0000-00004B1E0000}"/>
    <cellStyle name="Normal 2 8 7 2 2 4" xfId="10772" xr:uid="{00000000-0005-0000-0000-00004C1E0000}"/>
    <cellStyle name="Normal 2 8 7 2 2 5" xfId="7422" xr:uid="{00000000-0005-0000-0000-00004D1E0000}"/>
    <cellStyle name="Normal 2 8 7 2 3" xfId="4308" xr:uid="{00000000-0005-0000-0000-00004E1E0000}"/>
    <cellStyle name="Normal 2 8 7 2 3 2" xfId="5275" xr:uid="{00000000-0005-0000-0000-00004F1E0000}"/>
    <cellStyle name="Normal 2 8 7 2 3 2 2" xfId="6950" xr:uid="{00000000-0005-0000-0000-0000501E0000}"/>
    <cellStyle name="Normal 2 8 7 2 3 2 2 2" xfId="10300" xr:uid="{00000000-0005-0000-0000-0000511E0000}"/>
    <cellStyle name="Normal 2 8 7 2 3 2 3" xfId="11975" xr:uid="{00000000-0005-0000-0000-0000521E0000}"/>
    <cellStyle name="Normal 2 8 7 2 3 2 4" xfId="8625" xr:uid="{00000000-0005-0000-0000-0000531E0000}"/>
    <cellStyle name="Normal 2 8 7 2 3 3" xfId="5983" xr:uid="{00000000-0005-0000-0000-0000541E0000}"/>
    <cellStyle name="Normal 2 8 7 2 3 3 2" xfId="9333" xr:uid="{00000000-0005-0000-0000-0000551E0000}"/>
    <cellStyle name="Normal 2 8 7 2 3 4" xfId="11008" xr:uid="{00000000-0005-0000-0000-0000561E0000}"/>
    <cellStyle name="Normal 2 8 7 2 3 5" xfId="7658" xr:uid="{00000000-0005-0000-0000-0000571E0000}"/>
    <cellStyle name="Normal 2 8 7 2 4" xfId="4544" xr:uid="{00000000-0005-0000-0000-0000581E0000}"/>
    <cellStyle name="Normal 2 8 7 2 4 2" xfId="6219" xr:uid="{00000000-0005-0000-0000-0000591E0000}"/>
    <cellStyle name="Normal 2 8 7 2 4 2 2" xfId="9569" xr:uid="{00000000-0005-0000-0000-00005A1E0000}"/>
    <cellStyle name="Normal 2 8 7 2 4 3" xfId="11244" xr:uid="{00000000-0005-0000-0000-00005B1E0000}"/>
    <cellStyle name="Normal 2 8 7 2 4 4" xfId="7894" xr:uid="{00000000-0005-0000-0000-00005C1E0000}"/>
    <cellStyle name="Normal 2 8 7 2 5" xfId="4803" xr:uid="{00000000-0005-0000-0000-00005D1E0000}"/>
    <cellStyle name="Normal 2 8 7 2 5 2" xfId="6478" xr:uid="{00000000-0005-0000-0000-00005E1E0000}"/>
    <cellStyle name="Normal 2 8 7 2 5 2 2" xfId="9828" xr:uid="{00000000-0005-0000-0000-00005F1E0000}"/>
    <cellStyle name="Normal 2 8 7 2 5 3" xfId="11503" xr:uid="{00000000-0005-0000-0000-0000601E0000}"/>
    <cellStyle name="Normal 2 8 7 2 5 4" xfId="8153" xr:uid="{00000000-0005-0000-0000-0000611E0000}"/>
    <cellStyle name="Normal 2 8 7 2 6" xfId="5511" xr:uid="{00000000-0005-0000-0000-0000621E0000}"/>
    <cellStyle name="Normal 2 8 7 2 6 2" xfId="8861" xr:uid="{00000000-0005-0000-0000-0000631E0000}"/>
    <cellStyle name="Normal 2 8 7 2 7" xfId="10536" xr:uid="{00000000-0005-0000-0000-0000641E0000}"/>
    <cellStyle name="Normal 2 8 7 2 8" xfId="7186" xr:uid="{00000000-0005-0000-0000-0000651E0000}"/>
    <cellStyle name="Normal 2 8 7 3" xfId="3954" xr:uid="{00000000-0005-0000-0000-0000661E0000}"/>
    <cellStyle name="Normal 2 8 7 3 2" xfId="4921" xr:uid="{00000000-0005-0000-0000-0000671E0000}"/>
    <cellStyle name="Normal 2 8 7 3 2 2" xfId="6596" xr:uid="{00000000-0005-0000-0000-0000681E0000}"/>
    <cellStyle name="Normal 2 8 7 3 2 2 2" xfId="9946" xr:uid="{00000000-0005-0000-0000-0000691E0000}"/>
    <cellStyle name="Normal 2 8 7 3 2 3" xfId="11621" xr:uid="{00000000-0005-0000-0000-00006A1E0000}"/>
    <cellStyle name="Normal 2 8 7 3 2 4" xfId="8271" xr:uid="{00000000-0005-0000-0000-00006B1E0000}"/>
    <cellStyle name="Normal 2 8 7 3 3" xfId="5629" xr:uid="{00000000-0005-0000-0000-00006C1E0000}"/>
    <cellStyle name="Normal 2 8 7 3 3 2" xfId="8979" xr:uid="{00000000-0005-0000-0000-00006D1E0000}"/>
    <cellStyle name="Normal 2 8 7 3 4" xfId="10654" xr:uid="{00000000-0005-0000-0000-00006E1E0000}"/>
    <cellStyle name="Normal 2 8 7 3 5" xfId="7304" xr:uid="{00000000-0005-0000-0000-00006F1E0000}"/>
    <cellStyle name="Normal 2 8 7 4" xfId="4190" xr:uid="{00000000-0005-0000-0000-0000701E0000}"/>
    <cellStyle name="Normal 2 8 7 4 2" xfId="5157" xr:uid="{00000000-0005-0000-0000-0000711E0000}"/>
    <cellStyle name="Normal 2 8 7 4 2 2" xfId="6832" xr:uid="{00000000-0005-0000-0000-0000721E0000}"/>
    <cellStyle name="Normal 2 8 7 4 2 2 2" xfId="10182" xr:uid="{00000000-0005-0000-0000-0000731E0000}"/>
    <cellStyle name="Normal 2 8 7 4 2 3" xfId="11857" xr:uid="{00000000-0005-0000-0000-0000741E0000}"/>
    <cellStyle name="Normal 2 8 7 4 2 4" xfId="8507" xr:uid="{00000000-0005-0000-0000-0000751E0000}"/>
    <cellStyle name="Normal 2 8 7 4 3" xfId="5865" xr:uid="{00000000-0005-0000-0000-0000761E0000}"/>
    <cellStyle name="Normal 2 8 7 4 3 2" xfId="9215" xr:uid="{00000000-0005-0000-0000-0000771E0000}"/>
    <cellStyle name="Normal 2 8 7 4 4" xfId="10890" xr:uid="{00000000-0005-0000-0000-0000781E0000}"/>
    <cellStyle name="Normal 2 8 7 4 5" xfId="7540" xr:uid="{00000000-0005-0000-0000-0000791E0000}"/>
    <cellStyle name="Normal 2 8 7 5" xfId="4426" xr:uid="{00000000-0005-0000-0000-00007A1E0000}"/>
    <cellStyle name="Normal 2 8 7 5 2" xfId="6101" xr:uid="{00000000-0005-0000-0000-00007B1E0000}"/>
    <cellStyle name="Normal 2 8 7 5 2 2" xfId="9451" xr:uid="{00000000-0005-0000-0000-00007C1E0000}"/>
    <cellStyle name="Normal 2 8 7 5 3" xfId="11126" xr:uid="{00000000-0005-0000-0000-00007D1E0000}"/>
    <cellStyle name="Normal 2 8 7 5 4" xfId="7776" xr:uid="{00000000-0005-0000-0000-00007E1E0000}"/>
    <cellStyle name="Normal 2 8 7 6" xfId="4685" xr:uid="{00000000-0005-0000-0000-00007F1E0000}"/>
    <cellStyle name="Normal 2 8 7 6 2" xfId="6360" xr:uid="{00000000-0005-0000-0000-0000801E0000}"/>
    <cellStyle name="Normal 2 8 7 6 2 2" xfId="9710" xr:uid="{00000000-0005-0000-0000-0000811E0000}"/>
    <cellStyle name="Normal 2 8 7 6 3" xfId="11385" xr:uid="{00000000-0005-0000-0000-0000821E0000}"/>
    <cellStyle name="Normal 2 8 7 6 4" xfId="8035" xr:uid="{00000000-0005-0000-0000-0000831E0000}"/>
    <cellStyle name="Normal 2 8 7 7" xfId="5393" xr:uid="{00000000-0005-0000-0000-0000841E0000}"/>
    <cellStyle name="Normal 2 8 7 7 2" xfId="8743" xr:uid="{00000000-0005-0000-0000-0000851E0000}"/>
    <cellStyle name="Normal 2 8 7 8" xfId="10418" xr:uid="{00000000-0005-0000-0000-0000861E0000}"/>
    <cellStyle name="Normal 2 8 7 9" xfId="7068" xr:uid="{00000000-0005-0000-0000-0000871E0000}"/>
    <cellStyle name="Normal 2 8 8" xfId="3742" xr:uid="{00000000-0005-0000-0000-0000881E0000}"/>
    <cellStyle name="Normal 2 8 8 2" xfId="3978" xr:uid="{00000000-0005-0000-0000-0000891E0000}"/>
    <cellStyle name="Normal 2 8 8 2 2" xfId="4945" xr:uid="{00000000-0005-0000-0000-00008A1E0000}"/>
    <cellStyle name="Normal 2 8 8 2 2 2" xfId="6620" xr:uid="{00000000-0005-0000-0000-00008B1E0000}"/>
    <cellStyle name="Normal 2 8 8 2 2 2 2" xfId="9970" xr:uid="{00000000-0005-0000-0000-00008C1E0000}"/>
    <cellStyle name="Normal 2 8 8 2 2 3" xfId="11645" xr:uid="{00000000-0005-0000-0000-00008D1E0000}"/>
    <cellStyle name="Normal 2 8 8 2 2 4" xfId="8295" xr:uid="{00000000-0005-0000-0000-00008E1E0000}"/>
    <cellStyle name="Normal 2 8 8 2 3" xfId="5653" xr:uid="{00000000-0005-0000-0000-00008F1E0000}"/>
    <cellStyle name="Normal 2 8 8 2 3 2" xfId="9003" xr:uid="{00000000-0005-0000-0000-0000901E0000}"/>
    <cellStyle name="Normal 2 8 8 2 4" xfId="10678" xr:uid="{00000000-0005-0000-0000-0000911E0000}"/>
    <cellStyle name="Normal 2 8 8 2 5" xfId="7328" xr:uid="{00000000-0005-0000-0000-0000921E0000}"/>
    <cellStyle name="Normal 2 8 8 3" xfId="4214" xr:uid="{00000000-0005-0000-0000-0000931E0000}"/>
    <cellStyle name="Normal 2 8 8 3 2" xfId="5181" xr:uid="{00000000-0005-0000-0000-0000941E0000}"/>
    <cellStyle name="Normal 2 8 8 3 2 2" xfId="6856" xr:uid="{00000000-0005-0000-0000-0000951E0000}"/>
    <cellStyle name="Normal 2 8 8 3 2 2 2" xfId="10206" xr:uid="{00000000-0005-0000-0000-0000961E0000}"/>
    <cellStyle name="Normal 2 8 8 3 2 3" xfId="11881" xr:uid="{00000000-0005-0000-0000-0000971E0000}"/>
    <cellStyle name="Normal 2 8 8 3 2 4" xfId="8531" xr:uid="{00000000-0005-0000-0000-0000981E0000}"/>
    <cellStyle name="Normal 2 8 8 3 3" xfId="5889" xr:uid="{00000000-0005-0000-0000-0000991E0000}"/>
    <cellStyle name="Normal 2 8 8 3 3 2" xfId="9239" xr:uid="{00000000-0005-0000-0000-00009A1E0000}"/>
    <cellStyle name="Normal 2 8 8 3 4" xfId="10914" xr:uid="{00000000-0005-0000-0000-00009B1E0000}"/>
    <cellStyle name="Normal 2 8 8 3 5" xfId="7564" xr:uid="{00000000-0005-0000-0000-00009C1E0000}"/>
    <cellStyle name="Normal 2 8 8 4" xfId="4450" xr:uid="{00000000-0005-0000-0000-00009D1E0000}"/>
    <cellStyle name="Normal 2 8 8 4 2" xfId="6125" xr:uid="{00000000-0005-0000-0000-00009E1E0000}"/>
    <cellStyle name="Normal 2 8 8 4 2 2" xfId="9475" xr:uid="{00000000-0005-0000-0000-00009F1E0000}"/>
    <cellStyle name="Normal 2 8 8 4 3" xfId="11150" xr:uid="{00000000-0005-0000-0000-0000A01E0000}"/>
    <cellStyle name="Normal 2 8 8 4 4" xfId="7800" xr:uid="{00000000-0005-0000-0000-0000A11E0000}"/>
    <cellStyle name="Normal 2 8 8 5" xfId="4709" xr:uid="{00000000-0005-0000-0000-0000A21E0000}"/>
    <cellStyle name="Normal 2 8 8 5 2" xfId="6384" xr:uid="{00000000-0005-0000-0000-0000A31E0000}"/>
    <cellStyle name="Normal 2 8 8 5 2 2" xfId="9734" xr:uid="{00000000-0005-0000-0000-0000A41E0000}"/>
    <cellStyle name="Normal 2 8 8 5 3" xfId="11409" xr:uid="{00000000-0005-0000-0000-0000A51E0000}"/>
    <cellStyle name="Normal 2 8 8 5 4" xfId="8059" xr:uid="{00000000-0005-0000-0000-0000A61E0000}"/>
    <cellStyle name="Normal 2 8 8 6" xfId="5417" xr:uid="{00000000-0005-0000-0000-0000A71E0000}"/>
    <cellStyle name="Normal 2 8 8 6 2" xfId="8767" xr:uid="{00000000-0005-0000-0000-0000A81E0000}"/>
    <cellStyle name="Normal 2 8 8 7" xfId="10442" xr:uid="{00000000-0005-0000-0000-0000A91E0000}"/>
    <cellStyle name="Normal 2 8 8 8" xfId="7092" xr:uid="{00000000-0005-0000-0000-0000AA1E0000}"/>
    <cellStyle name="Normal 2 8 9" xfId="3860" xr:uid="{00000000-0005-0000-0000-0000AB1E0000}"/>
    <cellStyle name="Normal 2 8 9 2" xfId="4827" xr:uid="{00000000-0005-0000-0000-0000AC1E0000}"/>
    <cellStyle name="Normal 2 8 9 2 2" xfId="6502" xr:uid="{00000000-0005-0000-0000-0000AD1E0000}"/>
    <cellStyle name="Normal 2 8 9 2 2 2" xfId="9852" xr:uid="{00000000-0005-0000-0000-0000AE1E0000}"/>
    <cellStyle name="Normal 2 8 9 2 3" xfId="11527" xr:uid="{00000000-0005-0000-0000-0000AF1E0000}"/>
    <cellStyle name="Normal 2 8 9 2 4" xfId="8177" xr:uid="{00000000-0005-0000-0000-0000B01E0000}"/>
    <cellStyle name="Normal 2 8 9 3" xfId="5535" xr:uid="{00000000-0005-0000-0000-0000B11E0000}"/>
    <cellStyle name="Normal 2 8 9 3 2" xfId="8885" xr:uid="{00000000-0005-0000-0000-0000B21E0000}"/>
    <cellStyle name="Normal 2 8 9 4" xfId="10560" xr:uid="{00000000-0005-0000-0000-0000B31E0000}"/>
    <cellStyle name="Normal 2 8 9 5" xfId="7210" xr:uid="{00000000-0005-0000-0000-0000B41E0000}"/>
    <cellStyle name="Normal 2 9" xfId="2771" xr:uid="{00000000-0005-0000-0000-0000D30A0000}"/>
    <cellStyle name="Normal 2 9 2" xfId="2772" xr:uid="{00000000-0005-0000-0000-0000D40A0000}"/>
    <cellStyle name="Normal 2 9 2 2" xfId="2773" xr:uid="{00000000-0005-0000-0000-0000D50A0000}"/>
    <cellStyle name="Normal 2 9 3" xfId="2774" xr:uid="{00000000-0005-0000-0000-0000D60A0000}"/>
    <cellStyle name="Normal 20" xfId="2775" xr:uid="{00000000-0005-0000-0000-0000D70A0000}"/>
    <cellStyle name="Normal 21" xfId="2776" xr:uid="{00000000-0005-0000-0000-0000D80A0000}"/>
    <cellStyle name="Normal 21 2" xfId="2777" xr:uid="{00000000-0005-0000-0000-0000D90A0000}"/>
    <cellStyle name="Normal 21 3" xfId="12220" xr:uid="{00000000-0005-0000-0000-0000B61E0000}"/>
    <cellStyle name="Normal 22" xfId="2778" xr:uid="{00000000-0005-0000-0000-0000DA0A0000}"/>
    <cellStyle name="Normal 22 2" xfId="2779" xr:uid="{00000000-0005-0000-0000-0000DB0A0000}"/>
    <cellStyle name="Normal 22 3" xfId="2780" xr:uid="{00000000-0005-0000-0000-0000DC0A0000}"/>
    <cellStyle name="Normal 23" xfId="2781" xr:uid="{00000000-0005-0000-0000-0000DD0A0000}"/>
    <cellStyle name="Normal 23 2" xfId="2782" xr:uid="{00000000-0005-0000-0000-0000DE0A0000}"/>
    <cellStyle name="Normal 23 3" xfId="2783" xr:uid="{00000000-0005-0000-0000-0000DF0A0000}"/>
    <cellStyle name="Normal 24" xfId="2784" xr:uid="{00000000-0005-0000-0000-0000E00A0000}"/>
    <cellStyle name="Normal 25" xfId="2785" xr:uid="{00000000-0005-0000-0000-0000E10A0000}"/>
    <cellStyle name="Normal 26" xfId="2786" xr:uid="{00000000-0005-0000-0000-0000E20A0000}"/>
    <cellStyle name="Normal 26 2" xfId="2787" xr:uid="{00000000-0005-0000-0000-0000E30A0000}"/>
    <cellStyle name="Normal 27" xfId="2788" xr:uid="{00000000-0005-0000-0000-0000E40A0000}"/>
    <cellStyle name="Normal 3" xfId="2789" xr:uid="{00000000-0005-0000-0000-0000E50A0000}"/>
    <cellStyle name="Normal 3 2" xfId="2790" xr:uid="{00000000-0005-0000-0000-0000E60A0000}"/>
    <cellStyle name="Normal 3 2 2" xfId="2791" xr:uid="{00000000-0005-0000-0000-0000E70A0000}"/>
    <cellStyle name="Normal 3 2 2 2" xfId="2792" xr:uid="{00000000-0005-0000-0000-0000E80A0000}"/>
    <cellStyle name="Normal 3 2 2 2 2" xfId="2793" xr:uid="{00000000-0005-0000-0000-0000E90A0000}"/>
    <cellStyle name="Normal 3 2 2 3" xfId="2794" xr:uid="{00000000-0005-0000-0000-0000EA0A0000}"/>
    <cellStyle name="Normal 3 2 3" xfId="2795" xr:uid="{00000000-0005-0000-0000-0000EB0A0000}"/>
    <cellStyle name="Normal 3 2 3 2" xfId="2796" xr:uid="{00000000-0005-0000-0000-0000EC0A0000}"/>
    <cellStyle name="Normal 3 2 4" xfId="2797" xr:uid="{00000000-0005-0000-0000-0000ED0A0000}"/>
    <cellStyle name="Normal 3 3" xfId="2798" xr:uid="{00000000-0005-0000-0000-0000EE0A0000}"/>
    <cellStyle name="Normal 3 3 2" xfId="2799" xr:uid="{00000000-0005-0000-0000-0000EF0A0000}"/>
    <cellStyle name="Normal 3 3 3" xfId="2800" xr:uid="{00000000-0005-0000-0000-0000F00A0000}"/>
    <cellStyle name="Normal 3 3 4" xfId="2801" xr:uid="{00000000-0005-0000-0000-0000F10A0000}"/>
    <cellStyle name="Normal 3 4" xfId="2802" xr:uid="{00000000-0005-0000-0000-0000F20A0000}"/>
    <cellStyle name="Normal 3 5" xfId="2803" xr:uid="{00000000-0005-0000-0000-0000F30A0000}"/>
    <cellStyle name="Normal 3 6" xfId="2804" xr:uid="{00000000-0005-0000-0000-0000F40A0000}"/>
    <cellStyle name="Normal 3 7" xfId="2805" xr:uid="{00000000-0005-0000-0000-0000F50A0000}"/>
    <cellStyle name="Normal 3 8" xfId="2806" xr:uid="{00000000-0005-0000-0000-0000F60A0000}"/>
    <cellStyle name="Normal 4" xfId="2807" xr:uid="{00000000-0005-0000-0000-0000F70A0000}"/>
    <cellStyle name="Normal 4 2" xfId="2808" xr:uid="{00000000-0005-0000-0000-0000F80A0000}"/>
    <cellStyle name="Normal 4 2 2" xfId="2809" xr:uid="{00000000-0005-0000-0000-0000F90A0000}"/>
    <cellStyle name="Normal 4 2 2 2" xfId="2810" xr:uid="{00000000-0005-0000-0000-0000FA0A0000}"/>
    <cellStyle name="Normal 4 2 3" xfId="2811" xr:uid="{00000000-0005-0000-0000-0000FB0A0000}"/>
    <cellStyle name="Normal 4 2 4" xfId="2812" xr:uid="{00000000-0005-0000-0000-0000FC0A0000}"/>
    <cellStyle name="Normal 4 2 4 10" xfId="4570" xr:uid="{00000000-0005-0000-0000-0000C61E0000}"/>
    <cellStyle name="Normal 4 2 4 10 2" xfId="6245" xr:uid="{00000000-0005-0000-0000-0000C71E0000}"/>
    <cellStyle name="Normal 4 2 4 10 2 2" xfId="9595" xr:uid="{00000000-0005-0000-0000-0000C81E0000}"/>
    <cellStyle name="Normal 4 2 4 10 3" xfId="11270" xr:uid="{00000000-0005-0000-0000-0000C91E0000}"/>
    <cellStyle name="Normal 4 2 4 10 4" xfId="7920" xr:uid="{00000000-0005-0000-0000-0000CA1E0000}"/>
    <cellStyle name="Normal 4 2 4 11" xfId="5301" xr:uid="{00000000-0005-0000-0000-0000CB1E0000}"/>
    <cellStyle name="Normal 4 2 4 11 2" xfId="8651" xr:uid="{00000000-0005-0000-0000-0000CC1E0000}"/>
    <cellStyle name="Normal 4 2 4 12" xfId="10326" xr:uid="{00000000-0005-0000-0000-0000CD1E0000}"/>
    <cellStyle name="Normal 4 2 4 13" xfId="6976" xr:uid="{00000000-0005-0000-0000-0000CE1E0000}"/>
    <cellStyle name="Normal 4 2 4 14" xfId="3416" xr:uid="{00000000-0005-0000-0000-0000C51E0000}"/>
    <cellStyle name="Normal 4 2 4 2" xfId="3649" xr:uid="{00000000-0005-0000-0000-0000CF1E0000}"/>
    <cellStyle name="Normal 4 2 4 2 2" xfId="3767" xr:uid="{00000000-0005-0000-0000-0000D01E0000}"/>
    <cellStyle name="Normal 4 2 4 2 2 2" xfId="4003" xr:uid="{00000000-0005-0000-0000-0000D11E0000}"/>
    <cellStyle name="Normal 4 2 4 2 2 2 2" xfId="4970" xr:uid="{00000000-0005-0000-0000-0000D21E0000}"/>
    <cellStyle name="Normal 4 2 4 2 2 2 2 2" xfId="6645" xr:uid="{00000000-0005-0000-0000-0000D31E0000}"/>
    <cellStyle name="Normal 4 2 4 2 2 2 2 2 2" xfId="9995" xr:uid="{00000000-0005-0000-0000-0000D41E0000}"/>
    <cellStyle name="Normal 4 2 4 2 2 2 2 3" xfId="11670" xr:uid="{00000000-0005-0000-0000-0000D51E0000}"/>
    <cellStyle name="Normal 4 2 4 2 2 2 2 4" xfId="8320" xr:uid="{00000000-0005-0000-0000-0000D61E0000}"/>
    <cellStyle name="Normal 4 2 4 2 2 2 3" xfId="5678" xr:uid="{00000000-0005-0000-0000-0000D71E0000}"/>
    <cellStyle name="Normal 4 2 4 2 2 2 3 2" xfId="9028" xr:uid="{00000000-0005-0000-0000-0000D81E0000}"/>
    <cellStyle name="Normal 4 2 4 2 2 2 4" xfId="10703" xr:uid="{00000000-0005-0000-0000-0000D91E0000}"/>
    <cellStyle name="Normal 4 2 4 2 2 2 5" xfId="7353" xr:uid="{00000000-0005-0000-0000-0000DA1E0000}"/>
    <cellStyle name="Normal 4 2 4 2 2 3" xfId="4239" xr:uid="{00000000-0005-0000-0000-0000DB1E0000}"/>
    <cellStyle name="Normal 4 2 4 2 2 3 2" xfId="5206" xr:uid="{00000000-0005-0000-0000-0000DC1E0000}"/>
    <cellStyle name="Normal 4 2 4 2 2 3 2 2" xfId="6881" xr:uid="{00000000-0005-0000-0000-0000DD1E0000}"/>
    <cellStyle name="Normal 4 2 4 2 2 3 2 2 2" xfId="10231" xr:uid="{00000000-0005-0000-0000-0000DE1E0000}"/>
    <cellStyle name="Normal 4 2 4 2 2 3 2 3" xfId="11906" xr:uid="{00000000-0005-0000-0000-0000DF1E0000}"/>
    <cellStyle name="Normal 4 2 4 2 2 3 2 4" xfId="8556" xr:uid="{00000000-0005-0000-0000-0000E01E0000}"/>
    <cellStyle name="Normal 4 2 4 2 2 3 3" xfId="5914" xr:uid="{00000000-0005-0000-0000-0000E11E0000}"/>
    <cellStyle name="Normal 4 2 4 2 2 3 3 2" xfId="9264" xr:uid="{00000000-0005-0000-0000-0000E21E0000}"/>
    <cellStyle name="Normal 4 2 4 2 2 3 4" xfId="10939" xr:uid="{00000000-0005-0000-0000-0000E31E0000}"/>
    <cellStyle name="Normal 4 2 4 2 2 3 5" xfId="7589" xr:uid="{00000000-0005-0000-0000-0000E41E0000}"/>
    <cellStyle name="Normal 4 2 4 2 2 4" xfId="4475" xr:uid="{00000000-0005-0000-0000-0000E51E0000}"/>
    <cellStyle name="Normal 4 2 4 2 2 4 2" xfId="6150" xr:uid="{00000000-0005-0000-0000-0000E61E0000}"/>
    <cellStyle name="Normal 4 2 4 2 2 4 2 2" xfId="9500" xr:uid="{00000000-0005-0000-0000-0000E71E0000}"/>
    <cellStyle name="Normal 4 2 4 2 2 4 3" xfId="11175" xr:uid="{00000000-0005-0000-0000-0000E81E0000}"/>
    <cellStyle name="Normal 4 2 4 2 2 4 4" xfId="7825" xr:uid="{00000000-0005-0000-0000-0000E91E0000}"/>
    <cellStyle name="Normal 4 2 4 2 2 5" xfId="4734" xr:uid="{00000000-0005-0000-0000-0000EA1E0000}"/>
    <cellStyle name="Normal 4 2 4 2 2 5 2" xfId="6409" xr:uid="{00000000-0005-0000-0000-0000EB1E0000}"/>
    <cellStyle name="Normal 4 2 4 2 2 5 2 2" xfId="9759" xr:uid="{00000000-0005-0000-0000-0000EC1E0000}"/>
    <cellStyle name="Normal 4 2 4 2 2 5 3" xfId="11434" xr:uid="{00000000-0005-0000-0000-0000ED1E0000}"/>
    <cellStyle name="Normal 4 2 4 2 2 5 4" xfId="8084" xr:uid="{00000000-0005-0000-0000-0000EE1E0000}"/>
    <cellStyle name="Normal 4 2 4 2 2 6" xfId="5442" xr:uid="{00000000-0005-0000-0000-0000EF1E0000}"/>
    <cellStyle name="Normal 4 2 4 2 2 6 2" xfId="8792" xr:uid="{00000000-0005-0000-0000-0000F01E0000}"/>
    <cellStyle name="Normal 4 2 4 2 2 7" xfId="10467" xr:uid="{00000000-0005-0000-0000-0000F11E0000}"/>
    <cellStyle name="Normal 4 2 4 2 2 8" xfId="7117" xr:uid="{00000000-0005-0000-0000-0000F21E0000}"/>
    <cellStyle name="Normal 4 2 4 2 3" xfId="3885" xr:uid="{00000000-0005-0000-0000-0000F31E0000}"/>
    <cellStyle name="Normal 4 2 4 2 3 2" xfId="4852" xr:uid="{00000000-0005-0000-0000-0000F41E0000}"/>
    <cellStyle name="Normal 4 2 4 2 3 2 2" xfId="6527" xr:uid="{00000000-0005-0000-0000-0000F51E0000}"/>
    <cellStyle name="Normal 4 2 4 2 3 2 2 2" xfId="9877" xr:uid="{00000000-0005-0000-0000-0000F61E0000}"/>
    <cellStyle name="Normal 4 2 4 2 3 2 3" xfId="11552" xr:uid="{00000000-0005-0000-0000-0000F71E0000}"/>
    <cellStyle name="Normal 4 2 4 2 3 2 4" xfId="8202" xr:uid="{00000000-0005-0000-0000-0000F81E0000}"/>
    <cellStyle name="Normal 4 2 4 2 3 3" xfId="5560" xr:uid="{00000000-0005-0000-0000-0000F91E0000}"/>
    <cellStyle name="Normal 4 2 4 2 3 3 2" xfId="8910" xr:uid="{00000000-0005-0000-0000-0000FA1E0000}"/>
    <cellStyle name="Normal 4 2 4 2 3 4" xfId="10585" xr:uid="{00000000-0005-0000-0000-0000FB1E0000}"/>
    <cellStyle name="Normal 4 2 4 2 3 5" xfId="7235" xr:uid="{00000000-0005-0000-0000-0000FC1E0000}"/>
    <cellStyle name="Normal 4 2 4 2 4" xfId="4121" xr:uid="{00000000-0005-0000-0000-0000FD1E0000}"/>
    <cellStyle name="Normal 4 2 4 2 4 2" xfId="5088" xr:uid="{00000000-0005-0000-0000-0000FE1E0000}"/>
    <cellStyle name="Normal 4 2 4 2 4 2 2" xfId="6763" xr:uid="{00000000-0005-0000-0000-0000FF1E0000}"/>
    <cellStyle name="Normal 4 2 4 2 4 2 2 2" xfId="10113" xr:uid="{00000000-0005-0000-0000-0000001F0000}"/>
    <cellStyle name="Normal 4 2 4 2 4 2 3" xfId="11788" xr:uid="{00000000-0005-0000-0000-0000011F0000}"/>
    <cellStyle name="Normal 4 2 4 2 4 2 4" xfId="8438" xr:uid="{00000000-0005-0000-0000-0000021F0000}"/>
    <cellStyle name="Normal 4 2 4 2 4 3" xfId="5796" xr:uid="{00000000-0005-0000-0000-0000031F0000}"/>
    <cellStyle name="Normal 4 2 4 2 4 3 2" xfId="9146" xr:uid="{00000000-0005-0000-0000-0000041F0000}"/>
    <cellStyle name="Normal 4 2 4 2 4 4" xfId="10821" xr:uid="{00000000-0005-0000-0000-0000051F0000}"/>
    <cellStyle name="Normal 4 2 4 2 4 5" xfId="7471" xr:uid="{00000000-0005-0000-0000-0000061F0000}"/>
    <cellStyle name="Normal 4 2 4 2 5" xfId="4357" xr:uid="{00000000-0005-0000-0000-0000071F0000}"/>
    <cellStyle name="Normal 4 2 4 2 5 2" xfId="6032" xr:uid="{00000000-0005-0000-0000-0000081F0000}"/>
    <cellStyle name="Normal 4 2 4 2 5 2 2" xfId="9382" xr:uid="{00000000-0005-0000-0000-0000091F0000}"/>
    <cellStyle name="Normal 4 2 4 2 5 3" xfId="11057" xr:uid="{00000000-0005-0000-0000-00000A1F0000}"/>
    <cellStyle name="Normal 4 2 4 2 5 4" xfId="7707" xr:uid="{00000000-0005-0000-0000-00000B1F0000}"/>
    <cellStyle name="Normal 4 2 4 2 6" xfId="4616" xr:uid="{00000000-0005-0000-0000-00000C1F0000}"/>
    <cellStyle name="Normal 4 2 4 2 6 2" xfId="6291" xr:uid="{00000000-0005-0000-0000-00000D1F0000}"/>
    <cellStyle name="Normal 4 2 4 2 6 2 2" xfId="9641" xr:uid="{00000000-0005-0000-0000-00000E1F0000}"/>
    <cellStyle name="Normal 4 2 4 2 6 3" xfId="11316" xr:uid="{00000000-0005-0000-0000-00000F1F0000}"/>
    <cellStyle name="Normal 4 2 4 2 6 4" xfId="7966" xr:uid="{00000000-0005-0000-0000-0000101F0000}"/>
    <cellStyle name="Normal 4 2 4 2 7" xfId="5324" xr:uid="{00000000-0005-0000-0000-0000111F0000}"/>
    <cellStyle name="Normal 4 2 4 2 7 2" xfId="8674" xr:uid="{00000000-0005-0000-0000-0000121F0000}"/>
    <cellStyle name="Normal 4 2 4 2 8" xfId="10349" xr:uid="{00000000-0005-0000-0000-0000131F0000}"/>
    <cellStyle name="Normal 4 2 4 2 9" xfId="6999" xr:uid="{00000000-0005-0000-0000-0000141F0000}"/>
    <cellStyle name="Normal 4 2 4 3" xfId="3672" xr:uid="{00000000-0005-0000-0000-0000151F0000}"/>
    <cellStyle name="Normal 4 2 4 3 2" xfId="3790" xr:uid="{00000000-0005-0000-0000-0000161F0000}"/>
    <cellStyle name="Normal 4 2 4 3 2 2" xfId="4026" xr:uid="{00000000-0005-0000-0000-0000171F0000}"/>
    <cellStyle name="Normal 4 2 4 3 2 2 2" xfId="4993" xr:uid="{00000000-0005-0000-0000-0000181F0000}"/>
    <cellStyle name="Normal 4 2 4 3 2 2 2 2" xfId="6668" xr:uid="{00000000-0005-0000-0000-0000191F0000}"/>
    <cellStyle name="Normal 4 2 4 3 2 2 2 2 2" xfId="10018" xr:uid="{00000000-0005-0000-0000-00001A1F0000}"/>
    <cellStyle name="Normal 4 2 4 3 2 2 2 3" xfId="11693" xr:uid="{00000000-0005-0000-0000-00001B1F0000}"/>
    <cellStyle name="Normal 4 2 4 3 2 2 2 4" xfId="8343" xr:uid="{00000000-0005-0000-0000-00001C1F0000}"/>
    <cellStyle name="Normal 4 2 4 3 2 2 3" xfId="5701" xr:uid="{00000000-0005-0000-0000-00001D1F0000}"/>
    <cellStyle name="Normal 4 2 4 3 2 2 3 2" xfId="9051" xr:uid="{00000000-0005-0000-0000-00001E1F0000}"/>
    <cellStyle name="Normal 4 2 4 3 2 2 4" xfId="10726" xr:uid="{00000000-0005-0000-0000-00001F1F0000}"/>
    <cellStyle name="Normal 4 2 4 3 2 2 5" xfId="7376" xr:uid="{00000000-0005-0000-0000-0000201F0000}"/>
    <cellStyle name="Normal 4 2 4 3 2 3" xfId="4262" xr:uid="{00000000-0005-0000-0000-0000211F0000}"/>
    <cellStyle name="Normal 4 2 4 3 2 3 2" xfId="5229" xr:uid="{00000000-0005-0000-0000-0000221F0000}"/>
    <cellStyle name="Normal 4 2 4 3 2 3 2 2" xfId="6904" xr:uid="{00000000-0005-0000-0000-0000231F0000}"/>
    <cellStyle name="Normal 4 2 4 3 2 3 2 2 2" xfId="10254" xr:uid="{00000000-0005-0000-0000-0000241F0000}"/>
    <cellStyle name="Normal 4 2 4 3 2 3 2 3" xfId="11929" xr:uid="{00000000-0005-0000-0000-0000251F0000}"/>
    <cellStyle name="Normal 4 2 4 3 2 3 2 4" xfId="8579" xr:uid="{00000000-0005-0000-0000-0000261F0000}"/>
    <cellStyle name="Normal 4 2 4 3 2 3 3" xfId="5937" xr:uid="{00000000-0005-0000-0000-0000271F0000}"/>
    <cellStyle name="Normal 4 2 4 3 2 3 3 2" xfId="9287" xr:uid="{00000000-0005-0000-0000-0000281F0000}"/>
    <cellStyle name="Normal 4 2 4 3 2 3 4" xfId="10962" xr:uid="{00000000-0005-0000-0000-0000291F0000}"/>
    <cellStyle name="Normal 4 2 4 3 2 3 5" xfId="7612" xr:uid="{00000000-0005-0000-0000-00002A1F0000}"/>
    <cellStyle name="Normal 4 2 4 3 2 4" xfId="4498" xr:uid="{00000000-0005-0000-0000-00002B1F0000}"/>
    <cellStyle name="Normal 4 2 4 3 2 4 2" xfId="6173" xr:uid="{00000000-0005-0000-0000-00002C1F0000}"/>
    <cellStyle name="Normal 4 2 4 3 2 4 2 2" xfId="9523" xr:uid="{00000000-0005-0000-0000-00002D1F0000}"/>
    <cellStyle name="Normal 4 2 4 3 2 4 3" xfId="11198" xr:uid="{00000000-0005-0000-0000-00002E1F0000}"/>
    <cellStyle name="Normal 4 2 4 3 2 4 4" xfId="7848" xr:uid="{00000000-0005-0000-0000-00002F1F0000}"/>
    <cellStyle name="Normal 4 2 4 3 2 5" xfId="4757" xr:uid="{00000000-0005-0000-0000-0000301F0000}"/>
    <cellStyle name="Normal 4 2 4 3 2 5 2" xfId="6432" xr:uid="{00000000-0005-0000-0000-0000311F0000}"/>
    <cellStyle name="Normal 4 2 4 3 2 5 2 2" xfId="9782" xr:uid="{00000000-0005-0000-0000-0000321F0000}"/>
    <cellStyle name="Normal 4 2 4 3 2 5 3" xfId="11457" xr:uid="{00000000-0005-0000-0000-0000331F0000}"/>
    <cellStyle name="Normal 4 2 4 3 2 5 4" xfId="8107" xr:uid="{00000000-0005-0000-0000-0000341F0000}"/>
    <cellStyle name="Normal 4 2 4 3 2 6" xfId="5465" xr:uid="{00000000-0005-0000-0000-0000351F0000}"/>
    <cellStyle name="Normal 4 2 4 3 2 6 2" xfId="8815" xr:uid="{00000000-0005-0000-0000-0000361F0000}"/>
    <cellStyle name="Normal 4 2 4 3 2 7" xfId="10490" xr:uid="{00000000-0005-0000-0000-0000371F0000}"/>
    <cellStyle name="Normal 4 2 4 3 2 8" xfId="7140" xr:uid="{00000000-0005-0000-0000-0000381F0000}"/>
    <cellStyle name="Normal 4 2 4 3 3" xfId="3908" xr:uid="{00000000-0005-0000-0000-0000391F0000}"/>
    <cellStyle name="Normal 4 2 4 3 3 2" xfId="4875" xr:uid="{00000000-0005-0000-0000-00003A1F0000}"/>
    <cellStyle name="Normal 4 2 4 3 3 2 2" xfId="6550" xr:uid="{00000000-0005-0000-0000-00003B1F0000}"/>
    <cellStyle name="Normal 4 2 4 3 3 2 2 2" xfId="9900" xr:uid="{00000000-0005-0000-0000-00003C1F0000}"/>
    <cellStyle name="Normal 4 2 4 3 3 2 3" xfId="11575" xr:uid="{00000000-0005-0000-0000-00003D1F0000}"/>
    <cellStyle name="Normal 4 2 4 3 3 2 4" xfId="8225" xr:uid="{00000000-0005-0000-0000-00003E1F0000}"/>
    <cellStyle name="Normal 4 2 4 3 3 3" xfId="5583" xr:uid="{00000000-0005-0000-0000-00003F1F0000}"/>
    <cellStyle name="Normal 4 2 4 3 3 3 2" xfId="8933" xr:uid="{00000000-0005-0000-0000-0000401F0000}"/>
    <cellStyle name="Normal 4 2 4 3 3 4" xfId="10608" xr:uid="{00000000-0005-0000-0000-0000411F0000}"/>
    <cellStyle name="Normal 4 2 4 3 3 5" xfId="7258" xr:uid="{00000000-0005-0000-0000-0000421F0000}"/>
    <cellStyle name="Normal 4 2 4 3 4" xfId="4144" xr:uid="{00000000-0005-0000-0000-0000431F0000}"/>
    <cellStyle name="Normal 4 2 4 3 4 2" xfId="5111" xr:uid="{00000000-0005-0000-0000-0000441F0000}"/>
    <cellStyle name="Normal 4 2 4 3 4 2 2" xfId="6786" xr:uid="{00000000-0005-0000-0000-0000451F0000}"/>
    <cellStyle name="Normal 4 2 4 3 4 2 2 2" xfId="10136" xr:uid="{00000000-0005-0000-0000-0000461F0000}"/>
    <cellStyle name="Normal 4 2 4 3 4 2 3" xfId="11811" xr:uid="{00000000-0005-0000-0000-0000471F0000}"/>
    <cellStyle name="Normal 4 2 4 3 4 2 4" xfId="8461" xr:uid="{00000000-0005-0000-0000-0000481F0000}"/>
    <cellStyle name="Normal 4 2 4 3 4 3" xfId="5819" xr:uid="{00000000-0005-0000-0000-0000491F0000}"/>
    <cellStyle name="Normal 4 2 4 3 4 3 2" xfId="9169" xr:uid="{00000000-0005-0000-0000-00004A1F0000}"/>
    <cellStyle name="Normal 4 2 4 3 4 4" xfId="10844" xr:uid="{00000000-0005-0000-0000-00004B1F0000}"/>
    <cellStyle name="Normal 4 2 4 3 4 5" xfId="7494" xr:uid="{00000000-0005-0000-0000-00004C1F0000}"/>
    <cellStyle name="Normal 4 2 4 3 5" xfId="4380" xr:uid="{00000000-0005-0000-0000-00004D1F0000}"/>
    <cellStyle name="Normal 4 2 4 3 5 2" xfId="6055" xr:uid="{00000000-0005-0000-0000-00004E1F0000}"/>
    <cellStyle name="Normal 4 2 4 3 5 2 2" xfId="9405" xr:uid="{00000000-0005-0000-0000-00004F1F0000}"/>
    <cellStyle name="Normal 4 2 4 3 5 3" xfId="11080" xr:uid="{00000000-0005-0000-0000-0000501F0000}"/>
    <cellStyle name="Normal 4 2 4 3 5 4" xfId="7730" xr:uid="{00000000-0005-0000-0000-0000511F0000}"/>
    <cellStyle name="Normal 4 2 4 3 6" xfId="4639" xr:uid="{00000000-0005-0000-0000-0000521F0000}"/>
    <cellStyle name="Normal 4 2 4 3 6 2" xfId="6314" xr:uid="{00000000-0005-0000-0000-0000531F0000}"/>
    <cellStyle name="Normal 4 2 4 3 6 2 2" xfId="9664" xr:uid="{00000000-0005-0000-0000-0000541F0000}"/>
    <cellStyle name="Normal 4 2 4 3 6 3" xfId="11339" xr:uid="{00000000-0005-0000-0000-0000551F0000}"/>
    <cellStyle name="Normal 4 2 4 3 6 4" xfId="7989" xr:uid="{00000000-0005-0000-0000-0000561F0000}"/>
    <cellStyle name="Normal 4 2 4 3 7" xfId="5347" xr:uid="{00000000-0005-0000-0000-0000571F0000}"/>
    <cellStyle name="Normal 4 2 4 3 7 2" xfId="8697" xr:uid="{00000000-0005-0000-0000-0000581F0000}"/>
    <cellStyle name="Normal 4 2 4 3 8" xfId="10372" xr:uid="{00000000-0005-0000-0000-0000591F0000}"/>
    <cellStyle name="Normal 4 2 4 3 9" xfId="7022" xr:uid="{00000000-0005-0000-0000-00005A1F0000}"/>
    <cellStyle name="Normal 4 2 4 4" xfId="3696" xr:uid="{00000000-0005-0000-0000-00005B1F0000}"/>
    <cellStyle name="Normal 4 2 4 4 2" xfId="3814" xr:uid="{00000000-0005-0000-0000-00005C1F0000}"/>
    <cellStyle name="Normal 4 2 4 4 2 2" xfId="4050" xr:uid="{00000000-0005-0000-0000-00005D1F0000}"/>
    <cellStyle name="Normal 4 2 4 4 2 2 2" xfId="5017" xr:uid="{00000000-0005-0000-0000-00005E1F0000}"/>
    <cellStyle name="Normal 4 2 4 4 2 2 2 2" xfId="6692" xr:uid="{00000000-0005-0000-0000-00005F1F0000}"/>
    <cellStyle name="Normal 4 2 4 4 2 2 2 2 2" xfId="10042" xr:uid="{00000000-0005-0000-0000-0000601F0000}"/>
    <cellStyle name="Normal 4 2 4 4 2 2 2 3" xfId="11717" xr:uid="{00000000-0005-0000-0000-0000611F0000}"/>
    <cellStyle name="Normal 4 2 4 4 2 2 2 4" xfId="8367" xr:uid="{00000000-0005-0000-0000-0000621F0000}"/>
    <cellStyle name="Normal 4 2 4 4 2 2 3" xfId="5725" xr:uid="{00000000-0005-0000-0000-0000631F0000}"/>
    <cellStyle name="Normal 4 2 4 4 2 2 3 2" xfId="9075" xr:uid="{00000000-0005-0000-0000-0000641F0000}"/>
    <cellStyle name="Normal 4 2 4 4 2 2 4" xfId="10750" xr:uid="{00000000-0005-0000-0000-0000651F0000}"/>
    <cellStyle name="Normal 4 2 4 4 2 2 5" xfId="7400" xr:uid="{00000000-0005-0000-0000-0000661F0000}"/>
    <cellStyle name="Normal 4 2 4 4 2 3" xfId="4286" xr:uid="{00000000-0005-0000-0000-0000671F0000}"/>
    <cellStyle name="Normal 4 2 4 4 2 3 2" xfId="5253" xr:uid="{00000000-0005-0000-0000-0000681F0000}"/>
    <cellStyle name="Normal 4 2 4 4 2 3 2 2" xfId="6928" xr:uid="{00000000-0005-0000-0000-0000691F0000}"/>
    <cellStyle name="Normal 4 2 4 4 2 3 2 2 2" xfId="10278" xr:uid="{00000000-0005-0000-0000-00006A1F0000}"/>
    <cellStyle name="Normal 4 2 4 4 2 3 2 3" xfId="11953" xr:uid="{00000000-0005-0000-0000-00006B1F0000}"/>
    <cellStyle name="Normal 4 2 4 4 2 3 2 4" xfId="8603" xr:uid="{00000000-0005-0000-0000-00006C1F0000}"/>
    <cellStyle name="Normal 4 2 4 4 2 3 3" xfId="5961" xr:uid="{00000000-0005-0000-0000-00006D1F0000}"/>
    <cellStyle name="Normal 4 2 4 4 2 3 3 2" xfId="9311" xr:uid="{00000000-0005-0000-0000-00006E1F0000}"/>
    <cellStyle name="Normal 4 2 4 4 2 3 4" xfId="10986" xr:uid="{00000000-0005-0000-0000-00006F1F0000}"/>
    <cellStyle name="Normal 4 2 4 4 2 3 5" xfId="7636" xr:uid="{00000000-0005-0000-0000-0000701F0000}"/>
    <cellStyle name="Normal 4 2 4 4 2 4" xfId="4522" xr:uid="{00000000-0005-0000-0000-0000711F0000}"/>
    <cellStyle name="Normal 4 2 4 4 2 4 2" xfId="6197" xr:uid="{00000000-0005-0000-0000-0000721F0000}"/>
    <cellStyle name="Normal 4 2 4 4 2 4 2 2" xfId="9547" xr:uid="{00000000-0005-0000-0000-0000731F0000}"/>
    <cellStyle name="Normal 4 2 4 4 2 4 3" xfId="11222" xr:uid="{00000000-0005-0000-0000-0000741F0000}"/>
    <cellStyle name="Normal 4 2 4 4 2 4 4" xfId="7872" xr:uid="{00000000-0005-0000-0000-0000751F0000}"/>
    <cellStyle name="Normal 4 2 4 4 2 5" xfId="4781" xr:uid="{00000000-0005-0000-0000-0000761F0000}"/>
    <cellStyle name="Normal 4 2 4 4 2 5 2" xfId="6456" xr:uid="{00000000-0005-0000-0000-0000771F0000}"/>
    <cellStyle name="Normal 4 2 4 4 2 5 2 2" xfId="9806" xr:uid="{00000000-0005-0000-0000-0000781F0000}"/>
    <cellStyle name="Normal 4 2 4 4 2 5 3" xfId="11481" xr:uid="{00000000-0005-0000-0000-0000791F0000}"/>
    <cellStyle name="Normal 4 2 4 4 2 5 4" xfId="8131" xr:uid="{00000000-0005-0000-0000-00007A1F0000}"/>
    <cellStyle name="Normal 4 2 4 4 2 6" xfId="5489" xr:uid="{00000000-0005-0000-0000-00007B1F0000}"/>
    <cellStyle name="Normal 4 2 4 4 2 6 2" xfId="8839" xr:uid="{00000000-0005-0000-0000-00007C1F0000}"/>
    <cellStyle name="Normal 4 2 4 4 2 7" xfId="10514" xr:uid="{00000000-0005-0000-0000-00007D1F0000}"/>
    <cellStyle name="Normal 4 2 4 4 2 8" xfId="7164" xr:uid="{00000000-0005-0000-0000-00007E1F0000}"/>
    <cellStyle name="Normal 4 2 4 4 3" xfId="3932" xr:uid="{00000000-0005-0000-0000-00007F1F0000}"/>
    <cellStyle name="Normal 4 2 4 4 3 2" xfId="4899" xr:uid="{00000000-0005-0000-0000-0000801F0000}"/>
    <cellStyle name="Normal 4 2 4 4 3 2 2" xfId="6574" xr:uid="{00000000-0005-0000-0000-0000811F0000}"/>
    <cellStyle name="Normal 4 2 4 4 3 2 2 2" xfId="9924" xr:uid="{00000000-0005-0000-0000-0000821F0000}"/>
    <cellStyle name="Normal 4 2 4 4 3 2 3" xfId="11599" xr:uid="{00000000-0005-0000-0000-0000831F0000}"/>
    <cellStyle name="Normal 4 2 4 4 3 2 4" xfId="8249" xr:uid="{00000000-0005-0000-0000-0000841F0000}"/>
    <cellStyle name="Normal 4 2 4 4 3 3" xfId="5607" xr:uid="{00000000-0005-0000-0000-0000851F0000}"/>
    <cellStyle name="Normal 4 2 4 4 3 3 2" xfId="8957" xr:uid="{00000000-0005-0000-0000-0000861F0000}"/>
    <cellStyle name="Normal 4 2 4 4 3 4" xfId="10632" xr:uid="{00000000-0005-0000-0000-0000871F0000}"/>
    <cellStyle name="Normal 4 2 4 4 3 5" xfId="7282" xr:uid="{00000000-0005-0000-0000-0000881F0000}"/>
    <cellStyle name="Normal 4 2 4 4 4" xfId="4168" xr:uid="{00000000-0005-0000-0000-0000891F0000}"/>
    <cellStyle name="Normal 4 2 4 4 4 2" xfId="5135" xr:uid="{00000000-0005-0000-0000-00008A1F0000}"/>
    <cellStyle name="Normal 4 2 4 4 4 2 2" xfId="6810" xr:uid="{00000000-0005-0000-0000-00008B1F0000}"/>
    <cellStyle name="Normal 4 2 4 4 4 2 2 2" xfId="10160" xr:uid="{00000000-0005-0000-0000-00008C1F0000}"/>
    <cellStyle name="Normal 4 2 4 4 4 2 3" xfId="11835" xr:uid="{00000000-0005-0000-0000-00008D1F0000}"/>
    <cellStyle name="Normal 4 2 4 4 4 2 4" xfId="8485" xr:uid="{00000000-0005-0000-0000-00008E1F0000}"/>
    <cellStyle name="Normal 4 2 4 4 4 3" xfId="5843" xr:uid="{00000000-0005-0000-0000-00008F1F0000}"/>
    <cellStyle name="Normal 4 2 4 4 4 3 2" xfId="9193" xr:uid="{00000000-0005-0000-0000-0000901F0000}"/>
    <cellStyle name="Normal 4 2 4 4 4 4" xfId="10868" xr:uid="{00000000-0005-0000-0000-0000911F0000}"/>
    <cellStyle name="Normal 4 2 4 4 4 5" xfId="7518" xr:uid="{00000000-0005-0000-0000-0000921F0000}"/>
    <cellStyle name="Normal 4 2 4 4 5" xfId="4404" xr:uid="{00000000-0005-0000-0000-0000931F0000}"/>
    <cellStyle name="Normal 4 2 4 4 5 2" xfId="6079" xr:uid="{00000000-0005-0000-0000-0000941F0000}"/>
    <cellStyle name="Normal 4 2 4 4 5 2 2" xfId="9429" xr:uid="{00000000-0005-0000-0000-0000951F0000}"/>
    <cellStyle name="Normal 4 2 4 4 5 3" xfId="11104" xr:uid="{00000000-0005-0000-0000-0000961F0000}"/>
    <cellStyle name="Normal 4 2 4 4 5 4" xfId="7754" xr:uid="{00000000-0005-0000-0000-0000971F0000}"/>
    <cellStyle name="Normal 4 2 4 4 6" xfId="4663" xr:uid="{00000000-0005-0000-0000-0000981F0000}"/>
    <cellStyle name="Normal 4 2 4 4 6 2" xfId="6338" xr:uid="{00000000-0005-0000-0000-0000991F0000}"/>
    <cellStyle name="Normal 4 2 4 4 6 2 2" xfId="9688" xr:uid="{00000000-0005-0000-0000-00009A1F0000}"/>
    <cellStyle name="Normal 4 2 4 4 6 3" xfId="11363" xr:uid="{00000000-0005-0000-0000-00009B1F0000}"/>
    <cellStyle name="Normal 4 2 4 4 6 4" xfId="8013" xr:uid="{00000000-0005-0000-0000-00009C1F0000}"/>
    <cellStyle name="Normal 4 2 4 4 7" xfId="5371" xr:uid="{00000000-0005-0000-0000-00009D1F0000}"/>
    <cellStyle name="Normal 4 2 4 4 7 2" xfId="8721" xr:uid="{00000000-0005-0000-0000-00009E1F0000}"/>
    <cellStyle name="Normal 4 2 4 4 8" xfId="10396" xr:uid="{00000000-0005-0000-0000-00009F1F0000}"/>
    <cellStyle name="Normal 4 2 4 4 9" xfId="7046" xr:uid="{00000000-0005-0000-0000-0000A01F0000}"/>
    <cellStyle name="Normal 4 2 4 5" xfId="3720" xr:uid="{00000000-0005-0000-0000-0000A11F0000}"/>
    <cellStyle name="Normal 4 2 4 5 2" xfId="3838" xr:uid="{00000000-0005-0000-0000-0000A21F0000}"/>
    <cellStyle name="Normal 4 2 4 5 2 2" xfId="4074" xr:uid="{00000000-0005-0000-0000-0000A31F0000}"/>
    <cellStyle name="Normal 4 2 4 5 2 2 2" xfId="5041" xr:uid="{00000000-0005-0000-0000-0000A41F0000}"/>
    <cellStyle name="Normal 4 2 4 5 2 2 2 2" xfId="6716" xr:uid="{00000000-0005-0000-0000-0000A51F0000}"/>
    <cellStyle name="Normal 4 2 4 5 2 2 2 2 2" xfId="10066" xr:uid="{00000000-0005-0000-0000-0000A61F0000}"/>
    <cellStyle name="Normal 4 2 4 5 2 2 2 3" xfId="11741" xr:uid="{00000000-0005-0000-0000-0000A71F0000}"/>
    <cellStyle name="Normal 4 2 4 5 2 2 2 4" xfId="8391" xr:uid="{00000000-0005-0000-0000-0000A81F0000}"/>
    <cellStyle name="Normal 4 2 4 5 2 2 3" xfId="5749" xr:uid="{00000000-0005-0000-0000-0000A91F0000}"/>
    <cellStyle name="Normal 4 2 4 5 2 2 3 2" xfId="9099" xr:uid="{00000000-0005-0000-0000-0000AA1F0000}"/>
    <cellStyle name="Normal 4 2 4 5 2 2 4" xfId="10774" xr:uid="{00000000-0005-0000-0000-0000AB1F0000}"/>
    <cellStyle name="Normal 4 2 4 5 2 2 5" xfId="7424" xr:uid="{00000000-0005-0000-0000-0000AC1F0000}"/>
    <cellStyle name="Normal 4 2 4 5 2 3" xfId="4310" xr:uid="{00000000-0005-0000-0000-0000AD1F0000}"/>
    <cellStyle name="Normal 4 2 4 5 2 3 2" xfId="5277" xr:uid="{00000000-0005-0000-0000-0000AE1F0000}"/>
    <cellStyle name="Normal 4 2 4 5 2 3 2 2" xfId="6952" xr:uid="{00000000-0005-0000-0000-0000AF1F0000}"/>
    <cellStyle name="Normal 4 2 4 5 2 3 2 2 2" xfId="10302" xr:uid="{00000000-0005-0000-0000-0000B01F0000}"/>
    <cellStyle name="Normal 4 2 4 5 2 3 2 3" xfId="11977" xr:uid="{00000000-0005-0000-0000-0000B11F0000}"/>
    <cellStyle name="Normal 4 2 4 5 2 3 2 4" xfId="8627" xr:uid="{00000000-0005-0000-0000-0000B21F0000}"/>
    <cellStyle name="Normal 4 2 4 5 2 3 3" xfId="5985" xr:uid="{00000000-0005-0000-0000-0000B31F0000}"/>
    <cellStyle name="Normal 4 2 4 5 2 3 3 2" xfId="9335" xr:uid="{00000000-0005-0000-0000-0000B41F0000}"/>
    <cellStyle name="Normal 4 2 4 5 2 3 4" xfId="11010" xr:uid="{00000000-0005-0000-0000-0000B51F0000}"/>
    <cellStyle name="Normal 4 2 4 5 2 3 5" xfId="7660" xr:uid="{00000000-0005-0000-0000-0000B61F0000}"/>
    <cellStyle name="Normal 4 2 4 5 2 4" xfId="4546" xr:uid="{00000000-0005-0000-0000-0000B71F0000}"/>
    <cellStyle name="Normal 4 2 4 5 2 4 2" xfId="6221" xr:uid="{00000000-0005-0000-0000-0000B81F0000}"/>
    <cellStyle name="Normal 4 2 4 5 2 4 2 2" xfId="9571" xr:uid="{00000000-0005-0000-0000-0000B91F0000}"/>
    <cellStyle name="Normal 4 2 4 5 2 4 3" xfId="11246" xr:uid="{00000000-0005-0000-0000-0000BA1F0000}"/>
    <cellStyle name="Normal 4 2 4 5 2 4 4" xfId="7896" xr:uid="{00000000-0005-0000-0000-0000BB1F0000}"/>
    <cellStyle name="Normal 4 2 4 5 2 5" xfId="4805" xr:uid="{00000000-0005-0000-0000-0000BC1F0000}"/>
    <cellStyle name="Normal 4 2 4 5 2 5 2" xfId="6480" xr:uid="{00000000-0005-0000-0000-0000BD1F0000}"/>
    <cellStyle name="Normal 4 2 4 5 2 5 2 2" xfId="9830" xr:uid="{00000000-0005-0000-0000-0000BE1F0000}"/>
    <cellStyle name="Normal 4 2 4 5 2 5 3" xfId="11505" xr:uid="{00000000-0005-0000-0000-0000BF1F0000}"/>
    <cellStyle name="Normal 4 2 4 5 2 5 4" xfId="8155" xr:uid="{00000000-0005-0000-0000-0000C01F0000}"/>
    <cellStyle name="Normal 4 2 4 5 2 6" xfId="5513" xr:uid="{00000000-0005-0000-0000-0000C11F0000}"/>
    <cellStyle name="Normal 4 2 4 5 2 6 2" xfId="8863" xr:uid="{00000000-0005-0000-0000-0000C21F0000}"/>
    <cellStyle name="Normal 4 2 4 5 2 7" xfId="10538" xr:uid="{00000000-0005-0000-0000-0000C31F0000}"/>
    <cellStyle name="Normal 4 2 4 5 2 8" xfId="7188" xr:uid="{00000000-0005-0000-0000-0000C41F0000}"/>
    <cellStyle name="Normal 4 2 4 5 3" xfId="3956" xr:uid="{00000000-0005-0000-0000-0000C51F0000}"/>
    <cellStyle name="Normal 4 2 4 5 3 2" xfId="4923" xr:uid="{00000000-0005-0000-0000-0000C61F0000}"/>
    <cellStyle name="Normal 4 2 4 5 3 2 2" xfId="6598" xr:uid="{00000000-0005-0000-0000-0000C71F0000}"/>
    <cellStyle name="Normal 4 2 4 5 3 2 2 2" xfId="9948" xr:uid="{00000000-0005-0000-0000-0000C81F0000}"/>
    <cellStyle name="Normal 4 2 4 5 3 2 3" xfId="11623" xr:uid="{00000000-0005-0000-0000-0000C91F0000}"/>
    <cellStyle name="Normal 4 2 4 5 3 2 4" xfId="8273" xr:uid="{00000000-0005-0000-0000-0000CA1F0000}"/>
    <cellStyle name="Normal 4 2 4 5 3 3" xfId="5631" xr:uid="{00000000-0005-0000-0000-0000CB1F0000}"/>
    <cellStyle name="Normal 4 2 4 5 3 3 2" xfId="8981" xr:uid="{00000000-0005-0000-0000-0000CC1F0000}"/>
    <cellStyle name="Normal 4 2 4 5 3 4" xfId="10656" xr:uid="{00000000-0005-0000-0000-0000CD1F0000}"/>
    <cellStyle name="Normal 4 2 4 5 3 5" xfId="7306" xr:uid="{00000000-0005-0000-0000-0000CE1F0000}"/>
    <cellStyle name="Normal 4 2 4 5 4" xfId="4192" xr:uid="{00000000-0005-0000-0000-0000CF1F0000}"/>
    <cellStyle name="Normal 4 2 4 5 4 2" xfId="5159" xr:uid="{00000000-0005-0000-0000-0000D01F0000}"/>
    <cellStyle name="Normal 4 2 4 5 4 2 2" xfId="6834" xr:uid="{00000000-0005-0000-0000-0000D11F0000}"/>
    <cellStyle name="Normal 4 2 4 5 4 2 2 2" xfId="10184" xr:uid="{00000000-0005-0000-0000-0000D21F0000}"/>
    <cellStyle name="Normal 4 2 4 5 4 2 3" xfId="11859" xr:uid="{00000000-0005-0000-0000-0000D31F0000}"/>
    <cellStyle name="Normal 4 2 4 5 4 2 4" xfId="8509" xr:uid="{00000000-0005-0000-0000-0000D41F0000}"/>
    <cellStyle name="Normal 4 2 4 5 4 3" xfId="5867" xr:uid="{00000000-0005-0000-0000-0000D51F0000}"/>
    <cellStyle name="Normal 4 2 4 5 4 3 2" xfId="9217" xr:uid="{00000000-0005-0000-0000-0000D61F0000}"/>
    <cellStyle name="Normal 4 2 4 5 4 4" xfId="10892" xr:uid="{00000000-0005-0000-0000-0000D71F0000}"/>
    <cellStyle name="Normal 4 2 4 5 4 5" xfId="7542" xr:uid="{00000000-0005-0000-0000-0000D81F0000}"/>
    <cellStyle name="Normal 4 2 4 5 5" xfId="4428" xr:uid="{00000000-0005-0000-0000-0000D91F0000}"/>
    <cellStyle name="Normal 4 2 4 5 5 2" xfId="6103" xr:uid="{00000000-0005-0000-0000-0000DA1F0000}"/>
    <cellStyle name="Normal 4 2 4 5 5 2 2" xfId="9453" xr:uid="{00000000-0005-0000-0000-0000DB1F0000}"/>
    <cellStyle name="Normal 4 2 4 5 5 3" xfId="11128" xr:uid="{00000000-0005-0000-0000-0000DC1F0000}"/>
    <cellStyle name="Normal 4 2 4 5 5 4" xfId="7778" xr:uid="{00000000-0005-0000-0000-0000DD1F0000}"/>
    <cellStyle name="Normal 4 2 4 5 6" xfId="4687" xr:uid="{00000000-0005-0000-0000-0000DE1F0000}"/>
    <cellStyle name="Normal 4 2 4 5 6 2" xfId="6362" xr:uid="{00000000-0005-0000-0000-0000DF1F0000}"/>
    <cellStyle name="Normal 4 2 4 5 6 2 2" xfId="9712" xr:uid="{00000000-0005-0000-0000-0000E01F0000}"/>
    <cellStyle name="Normal 4 2 4 5 6 3" xfId="11387" xr:uid="{00000000-0005-0000-0000-0000E11F0000}"/>
    <cellStyle name="Normal 4 2 4 5 6 4" xfId="8037" xr:uid="{00000000-0005-0000-0000-0000E21F0000}"/>
    <cellStyle name="Normal 4 2 4 5 7" xfId="5395" xr:uid="{00000000-0005-0000-0000-0000E31F0000}"/>
    <cellStyle name="Normal 4 2 4 5 7 2" xfId="8745" xr:uid="{00000000-0005-0000-0000-0000E41F0000}"/>
    <cellStyle name="Normal 4 2 4 5 8" xfId="10420" xr:uid="{00000000-0005-0000-0000-0000E51F0000}"/>
    <cellStyle name="Normal 4 2 4 5 9" xfId="7070" xr:uid="{00000000-0005-0000-0000-0000E61F0000}"/>
    <cellStyle name="Normal 4 2 4 6" xfId="3744" xr:uid="{00000000-0005-0000-0000-0000E71F0000}"/>
    <cellStyle name="Normal 4 2 4 6 2" xfId="3980" xr:uid="{00000000-0005-0000-0000-0000E81F0000}"/>
    <cellStyle name="Normal 4 2 4 6 2 2" xfId="4947" xr:uid="{00000000-0005-0000-0000-0000E91F0000}"/>
    <cellStyle name="Normal 4 2 4 6 2 2 2" xfId="6622" xr:uid="{00000000-0005-0000-0000-0000EA1F0000}"/>
    <cellStyle name="Normal 4 2 4 6 2 2 2 2" xfId="9972" xr:uid="{00000000-0005-0000-0000-0000EB1F0000}"/>
    <cellStyle name="Normal 4 2 4 6 2 2 3" xfId="11647" xr:uid="{00000000-0005-0000-0000-0000EC1F0000}"/>
    <cellStyle name="Normal 4 2 4 6 2 2 4" xfId="8297" xr:uid="{00000000-0005-0000-0000-0000ED1F0000}"/>
    <cellStyle name="Normal 4 2 4 6 2 3" xfId="5655" xr:uid="{00000000-0005-0000-0000-0000EE1F0000}"/>
    <cellStyle name="Normal 4 2 4 6 2 3 2" xfId="9005" xr:uid="{00000000-0005-0000-0000-0000EF1F0000}"/>
    <cellStyle name="Normal 4 2 4 6 2 4" xfId="10680" xr:uid="{00000000-0005-0000-0000-0000F01F0000}"/>
    <cellStyle name="Normal 4 2 4 6 2 5" xfId="7330" xr:uid="{00000000-0005-0000-0000-0000F11F0000}"/>
    <cellStyle name="Normal 4 2 4 6 3" xfId="4216" xr:uid="{00000000-0005-0000-0000-0000F21F0000}"/>
    <cellStyle name="Normal 4 2 4 6 3 2" xfId="5183" xr:uid="{00000000-0005-0000-0000-0000F31F0000}"/>
    <cellStyle name="Normal 4 2 4 6 3 2 2" xfId="6858" xr:uid="{00000000-0005-0000-0000-0000F41F0000}"/>
    <cellStyle name="Normal 4 2 4 6 3 2 2 2" xfId="10208" xr:uid="{00000000-0005-0000-0000-0000F51F0000}"/>
    <cellStyle name="Normal 4 2 4 6 3 2 3" xfId="11883" xr:uid="{00000000-0005-0000-0000-0000F61F0000}"/>
    <cellStyle name="Normal 4 2 4 6 3 2 4" xfId="8533" xr:uid="{00000000-0005-0000-0000-0000F71F0000}"/>
    <cellStyle name="Normal 4 2 4 6 3 3" xfId="5891" xr:uid="{00000000-0005-0000-0000-0000F81F0000}"/>
    <cellStyle name="Normal 4 2 4 6 3 3 2" xfId="9241" xr:uid="{00000000-0005-0000-0000-0000F91F0000}"/>
    <cellStyle name="Normal 4 2 4 6 3 4" xfId="10916" xr:uid="{00000000-0005-0000-0000-0000FA1F0000}"/>
    <cellStyle name="Normal 4 2 4 6 3 5" xfId="7566" xr:uid="{00000000-0005-0000-0000-0000FB1F0000}"/>
    <cellStyle name="Normal 4 2 4 6 4" xfId="4452" xr:uid="{00000000-0005-0000-0000-0000FC1F0000}"/>
    <cellStyle name="Normal 4 2 4 6 4 2" xfId="6127" xr:uid="{00000000-0005-0000-0000-0000FD1F0000}"/>
    <cellStyle name="Normal 4 2 4 6 4 2 2" xfId="9477" xr:uid="{00000000-0005-0000-0000-0000FE1F0000}"/>
    <cellStyle name="Normal 4 2 4 6 4 3" xfId="11152" xr:uid="{00000000-0005-0000-0000-0000FF1F0000}"/>
    <cellStyle name="Normal 4 2 4 6 4 4" xfId="7802" xr:uid="{00000000-0005-0000-0000-000000200000}"/>
    <cellStyle name="Normal 4 2 4 6 5" xfId="4711" xr:uid="{00000000-0005-0000-0000-000001200000}"/>
    <cellStyle name="Normal 4 2 4 6 5 2" xfId="6386" xr:uid="{00000000-0005-0000-0000-000002200000}"/>
    <cellStyle name="Normal 4 2 4 6 5 2 2" xfId="9736" xr:uid="{00000000-0005-0000-0000-000003200000}"/>
    <cellStyle name="Normal 4 2 4 6 5 3" xfId="11411" xr:uid="{00000000-0005-0000-0000-000004200000}"/>
    <cellStyle name="Normal 4 2 4 6 5 4" xfId="8061" xr:uid="{00000000-0005-0000-0000-000005200000}"/>
    <cellStyle name="Normal 4 2 4 6 6" xfId="5419" xr:uid="{00000000-0005-0000-0000-000006200000}"/>
    <cellStyle name="Normal 4 2 4 6 6 2" xfId="8769" xr:uid="{00000000-0005-0000-0000-000007200000}"/>
    <cellStyle name="Normal 4 2 4 6 7" xfId="10444" xr:uid="{00000000-0005-0000-0000-000008200000}"/>
    <cellStyle name="Normal 4 2 4 6 8" xfId="7094" xr:uid="{00000000-0005-0000-0000-000009200000}"/>
    <cellStyle name="Normal 4 2 4 7" xfId="3862" xr:uid="{00000000-0005-0000-0000-00000A200000}"/>
    <cellStyle name="Normal 4 2 4 7 2" xfId="4829" xr:uid="{00000000-0005-0000-0000-00000B200000}"/>
    <cellStyle name="Normal 4 2 4 7 2 2" xfId="6504" xr:uid="{00000000-0005-0000-0000-00000C200000}"/>
    <cellStyle name="Normal 4 2 4 7 2 2 2" xfId="9854" xr:uid="{00000000-0005-0000-0000-00000D200000}"/>
    <cellStyle name="Normal 4 2 4 7 2 3" xfId="11529" xr:uid="{00000000-0005-0000-0000-00000E200000}"/>
    <cellStyle name="Normal 4 2 4 7 2 4" xfId="8179" xr:uid="{00000000-0005-0000-0000-00000F200000}"/>
    <cellStyle name="Normal 4 2 4 7 3" xfId="5537" xr:uid="{00000000-0005-0000-0000-000010200000}"/>
    <cellStyle name="Normal 4 2 4 7 3 2" xfId="8887" xr:uid="{00000000-0005-0000-0000-000011200000}"/>
    <cellStyle name="Normal 4 2 4 7 4" xfId="10562" xr:uid="{00000000-0005-0000-0000-000012200000}"/>
    <cellStyle name="Normal 4 2 4 7 5" xfId="7212" xr:uid="{00000000-0005-0000-0000-000013200000}"/>
    <cellStyle name="Normal 4 2 4 8" xfId="4098" xr:uid="{00000000-0005-0000-0000-000014200000}"/>
    <cellStyle name="Normal 4 2 4 8 2" xfId="5065" xr:uid="{00000000-0005-0000-0000-000015200000}"/>
    <cellStyle name="Normal 4 2 4 8 2 2" xfId="6740" xr:uid="{00000000-0005-0000-0000-000016200000}"/>
    <cellStyle name="Normal 4 2 4 8 2 2 2" xfId="10090" xr:uid="{00000000-0005-0000-0000-000017200000}"/>
    <cellStyle name="Normal 4 2 4 8 2 3" xfId="11765" xr:uid="{00000000-0005-0000-0000-000018200000}"/>
    <cellStyle name="Normal 4 2 4 8 2 4" xfId="8415" xr:uid="{00000000-0005-0000-0000-000019200000}"/>
    <cellStyle name="Normal 4 2 4 8 3" xfId="5773" xr:uid="{00000000-0005-0000-0000-00001A200000}"/>
    <cellStyle name="Normal 4 2 4 8 3 2" xfId="9123" xr:uid="{00000000-0005-0000-0000-00001B200000}"/>
    <cellStyle name="Normal 4 2 4 8 4" xfId="10798" xr:uid="{00000000-0005-0000-0000-00001C200000}"/>
    <cellStyle name="Normal 4 2 4 8 5" xfId="7448" xr:uid="{00000000-0005-0000-0000-00001D200000}"/>
    <cellStyle name="Normal 4 2 4 9" xfId="4334" xr:uid="{00000000-0005-0000-0000-00001E200000}"/>
    <cellStyle name="Normal 4 2 4 9 2" xfId="4593" xr:uid="{00000000-0005-0000-0000-00001F200000}"/>
    <cellStyle name="Normal 4 2 4 9 2 2" xfId="6268" xr:uid="{00000000-0005-0000-0000-000020200000}"/>
    <cellStyle name="Normal 4 2 4 9 2 2 2" xfId="9618" xr:uid="{00000000-0005-0000-0000-000021200000}"/>
    <cellStyle name="Normal 4 2 4 9 2 3" xfId="11293" xr:uid="{00000000-0005-0000-0000-000022200000}"/>
    <cellStyle name="Normal 4 2 4 9 2 4" xfId="7943" xr:uid="{00000000-0005-0000-0000-000023200000}"/>
    <cellStyle name="Normal 4 2 4 9 3" xfId="6009" xr:uid="{00000000-0005-0000-0000-000024200000}"/>
    <cellStyle name="Normal 4 2 4 9 3 2" xfId="9359" xr:uid="{00000000-0005-0000-0000-000025200000}"/>
    <cellStyle name="Normal 4 2 4 9 4" xfId="11034" xr:uid="{00000000-0005-0000-0000-000026200000}"/>
    <cellStyle name="Normal 4 2 4 9 5" xfId="7684" xr:uid="{00000000-0005-0000-0000-000027200000}"/>
    <cellStyle name="Normal 4 3" xfId="2813" xr:uid="{00000000-0005-0000-0000-0000FD0A0000}"/>
    <cellStyle name="Normal 4 3 2" xfId="2814" xr:uid="{00000000-0005-0000-0000-0000FE0A0000}"/>
    <cellStyle name="Normal 4 3 3" xfId="2815" xr:uid="{00000000-0005-0000-0000-0000FF0A0000}"/>
    <cellStyle name="Normal 4 3 4" xfId="2816" xr:uid="{00000000-0005-0000-0000-0000000B0000}"/>
    <cellStyle name="Normal 4 3 5" xfId="2817" xr:uid="{00000000-0005-0000-0000-0000010B0000}"/>
    <cellStyle name="Normal 4 4" xfId="2818" xr:uid="{00000000-0005-0000-0000-0000020B0000}"/>
    <cellStyle name="Normal 4 4 2" xfId="2819" xr:uid="{00000000-0005-0000-0000-0000030B0000}"/>
    <cellStyle name="Normal 4 4 3" xfId="2820" xr:uid="{00000000-0005-0000-0000-0000040B0000}"/>
    <cellStyle name="Normal 4 4 3 2" xfId="2821" xr:uid="{00000000-0005-0000-0000-0000050B0000}"/>
    <cellStyle name="Normal 4 4 3 3" xfId="2822" xr:uid="{00000000-0005-0000-0000-0000060B0000}"/>
    <cellStyle name="Normal 4 4 4" xfId="2823" xr:uid="{00000000-0005-0000-0000-0000070B0000}"/>
    <cellStyle name="Normal 4 4 4 2" xfId="2824" xr:uid="{00000000-0005-0000-0000-0000080B0000}"/>
    <cellStyle name="Normal 4 5" xfId="2825" xr:uid="{00000000-0005-0000-0000-0000090B0000}"/>
    <cellStyle name="Normal 4 5 10" xfId="4571" xr:uid="{00000000-0005-0000-0000-00002E200000}"/>
    <cellStyle name="Normal 4 5 10 2" xfId="6246" xr:uid="{00000000-0005-0000-0000-00002F200000}"/>
    <cellStyle name="Normal 4 5 10 2 2" xfId="9596" xr:uid="{00000000-0005-0000-0000-000030200000}"/>
    <cellStyle name="Normal 4 5 10 3" xfId="11271" xr:uid="{00000000-0005-0000-0000-000031200000}"/>
    <cellStyle name="Normal 4 5 10 4" xfId="7921" xr:uid="{00000000-0005-0000-0000-000032200000}"/>
    <cellStyle name="Normal 4 5 11" xfId="5302" xr:uid="{00000000-0005-0000-0000-000033200000}"/>
    <cellStyle name="Normal 4 5 11 2" xfId="8652" xr:uid="{00000000-0005-0000-0000-000034200000}"/>
    <cellStyle name="Normal 4 5 12" xfId="10327" xr:uid="{00000000-0005-0000-0000-000035200000}"/>
    <cellStyle name="Normal 4 5 13" xfId="6977" xr:uid="{00000000-0005-0000-0000-000036200000}"/>
    <cellStyle name="Normal 4 5 14" xfId="3417" xr:uid="{00000000-0005-0000-0000-00002D200000}"/>
    <cellStyle name="Normal 4 5 2" xfId="2826" xr:uid="{00000000-0005-0000-0000-00000A0B0000}"/>
    <cellStyle name="Normal 4 5 2 10" xfId="3650" xr:uid="{00000000-0005-0000-0000-000037200000}"/>
    <cellStyle name="Normal 4 5 2 2" xfId="2827" xr:uid="{00000000-0005-0000-0000-00000B0B0000}"/>
    <cellStyle name="Normal 4 5 2 2 2" xfId="4004" xr:uid="{00000000-0005-0000-0000-000039200000}"/>
    <cellStyle name="Normal 4 5 2 2 2 2" xfId="4971" xr:uid="{00000000-0005-0000-0000-00003A200000}"/>
    <cellStyle name="Normal 4 5 2 2 2 2 2" xfId="6646" xr:uid="{00000000-0005-0000-0000-00003B200000}"/>
    <cellStyle name="Normal 4 5 2 2 2 2 2 2" xfId="9996" xr:uid="{00000000-0005-0000-0000-00003C200000}"/>
    <cellStyle name="Normal 4 5 2 2 2 2 3" xfId="11671" xr:uid="{00000000-0005-0000-0000-00003D200000}"/>
    <cellStyle name="Normal 4 5 2 2 2 2 4" xfId="8321" xr:uid="{00000000-0005-0000-0000-00003E200000}"/>
    <cellStyle name="Normal 4 5 2 2 2 3" xfId="5679" xr:uid="{00000000-0005-0000-0000-00003F200000}"/>
    <cellStyle name="Normal 4 5 2 2 2 3 2" xfId="9029" xr:uid="{00000000-0005-0000-0000-000040200000}"/>
    <cellStyle name="Normal 4 5 2 2 2 4" xfId="10704" xr:uid="{00000000-0005-0000-0000-000041200000}"/>
    <cellStyle name="Normal 4 5 2 2 2 5" xfId="7354" xr:uid="{00000000-0005-0000-0000-000042200000}"/>
    <cellStyle name="Normal 4 5 2 2 3" xfId="4240" xr:uid="{00000000-0005-0000-0000-000043200000}"/>
    <cellStyle name="Normal 4 5 2 2 3 2" xfId="5207" xr:uid="{00000000-0005-0000-0000-000044200000}"/>
    <cellStyle name="Normal 4 5 2 2 3 2 2" xfId="6882" xr:uid="{00000000-0005-0000-0000-000045200000}"/>
    <cellStyle name="Normal 4 5 2 2 3 2 2 2" xfId="10232" xr:uid="{00000000-0005-0000-0000-000046200000}"/>
    <cellStyle name="Normal 4 5 2 2 3 2 3" xfId="11907" xr:uid="{00000000-0005-0000-0000-000047200000}"/>
    <cellStyle name="Normal 4 5 2 2 3 2 4" xfId="8557" xr:uid="{00000000-0005-0000-0000-000048200000}"/>
    <cellStyle name="Normal 4 5 2 2 3 3" xfId="5915" xr:uid="{00000000-0005-0000-0000-000049200000}"/>
    <cellStyle name="Normal 4 5 2 2 3 3 2" xfId="9265" xr:uid="{00000000-0005-0000-0000-00004A200000}"/>
    <cellStyle name="Normal 4 5 2 2 3 4" xfId="10940" xr:uid="{00000000-0005-0000-0000-00004B200000}"/>
    <cellStyle name="Normal 4 5 2 2 3 5" xfId="7590" xr:uid="{00000000-0005-0000-0000-00004C200000}"/>
    <cellStyle name="Normal 4 5 2 2 4" xfId="4476" xr:uid="{00000000-0005-0000-0000-00004D200000}"/>
    <cellStyle name="Normal 4 5 2 2 4 2" xfId="6151" xr:uid="{00000000-0005-0000-0000-00004E200000}"/>
    <cellStyle name="Normal 4 5 2 2 4 2 2" xfId="9501" xr:uid="{00000000-0005-0000-0000-00004F200000}"/>
    <cellStyle name="Normal 4 5 2 2 4 3" xfId="11176" xr:uid="{00000000-0005-0000-0000-000050200000}"/>
    <cellStyle name="Normal 4 5 2 2 4 4" xfId="7826" xr:uid="{00000000-0005-0000-0000-000051200000}"/>
    <cellStyle name="Normal 4 5 2 2 5" xfId="4735" xr:uid="{00000000-0005-0000-0000-000052200000}"/>
    <cellStyle name="Normal 4 5 2 2 5 2" xfId="6410" xr:uid="{00000000-0005-0000-0000-000053200000}"/>
    <cellStyle name="Normal 4 5 2 2 5 2 2" xfId="9760" xr:uid="{00000000-0005-0000-0000-000054200000}"/>
    <cellStyle name="Normal 4 5 2 2 5 3" xfId="11435" xr:uid="{00000000-0005-0000-0000-000055200000}"/>
    <cellStyle name="Normal 4 5 2 2 5 4" xfId="8085" xr:uid="{00000000-0005-0000-0000-000056200000}"/>
    <cellStyle name="Normal 4 5 2 2 6" xfId="5443" xr:uid="{00000000-0005-0000-0000-000057200000}"/>
    <cellStyle name="Normal 4 5 2 2 6 2" xfId="8793" xr:uid="{00000000-0005-0000-0000-000058200000}"/>
    <cellStyle name="Normal 4 5 2 2 7" xfId="10468" xr:uid="{00000000-0005-0000-0000-000059200000}"/>
    <cellStyle name="Normal 4 5 2 2 8" xfId="7118" xr:uid="{00000000-0005-0000-0000-00005A200000}"/>
    <cellStyle name="Normal 4 5 2 2 9" xfId="3768" xr:uid="{00000000-0005-0000-0000-000038200000}"/>
    <cellStyle name="Normal 4 5 2 3" xfId="3886" xr:uid="{00000000-0005-0000-0000-00005B200000}"/>
    <cellStyle name="Normal 4 5 2 3 2" xfId="4853" xr:uid="{00000000-0005-0000-0000-00005C200000}"/>
    <cellStyle name="Normal 4 5 2 3 2 2" xfId="6528" xr:uid="{00000000-0005-0000-0000-00005D200000}"/>
    <cellStyle name="Normal 4 5 2 3 2 2 2" xfId="9878" xr:uid="{00000000-0005-0000-0000-00005E200000}"/>
    <cellStyle name="Normal 4 5 2 3 2 3" xfId="11553" xr:uid="{00000000-0005-0000-0000-00005F200000}"/>
    <cellStyle name="Normal 4 5 2 3 2 4" xfId="8203" xr:uid="{00000000-0005-0000-0000-000060200000}"/>
    <cellStyle name="Normal 4 5 2 3 3" xfId="5561" xr:uid="{00000000-0005-0000-0000-000061200000}"/>
    <cellStyle name="Normal 4 5 2 3 3 2" xfId="8911" xr:uid="{00000000-0005-0000-0000-000062200000}"/>
    <cellStyle name="Normal 4 5 2 3 4" xfId="10586" xr:uid="{00000000-0005-0000-0000-000063200000}"/>
    <cellStyle name="Normal 4 5 2 3 5" xfId="7236" xr:uid="{00000000-0005-0000-0000-000064200000}"/>
    <cellStyle name="Normal 4 5 2 4" xfId="4122" xr:uid="{00000000-0005-0000-0000-000065200000}"/>
    <cellStyle name="Normal 4 5 2 4 2" xfId="5089" xr:uid="{00000000-0005-0000-0000-000066200000}"/>
    <cellStyle name="Normal 4 5 2 4 2 2" xfId="6764" xr:uid="{00000000-0005-0000-0000-000067200000}"/>
    <cellStyle name="Normal 4 5 2 4 2 2 2" xfId="10114" xr:uid="{00000000-0005-0000-0000-000068200000}"/>
    <cellStyle name="Normal 4 5 2 4 2 3" xfId="11789" xr:uid="{00000000-0005-0000-0000-000069200000}"/>
    <cellStyle name="Normal 4 5 2 4 2 4" xfId="8439" xr:uid="{00000000-0005-0000-0000-00006A200000}"/>
    <cellStyle name="Normal 4 5 2 4 3" xfId="5797" xr:uid="{00000000-0005-0000-0000-00006B200000}"/>
    <cellStyle name="Normal 4 5 2 4 3 2" xfId="9147" xr:uid="{00000000-0005-0000-0000-00006C200000}"/>
    <cellStyle name="Normal 4 5 2 4 4" xfId="10822" xr:uid="{00000000-0005-0000-0000-00006D200000}"/>
    <cellStyle name="Normal 4 5 2 4 5" xfId="7472" xr:uid="{00000000-0005-0000-0000-00006E200000}"/>
    <cellStyle name="Normal 4 5 2 5" xfId="4358" xr:uid="{00000000-0005-0000-0000-00006F200000}"/>
    <cellStyle name="Normal 4 5 2 5 2" xfId="6033" xr:uid="{00000000-0005-0000-0000-000070200000}"/>
    <cellStyle name="Normal 4 5 2 5 2 2" xfId="9383" xr:uid="{00000000-0005-0000-0000-000071200000}"/>
    <cellStyle name="Normal 4 5 2 5 3" xfId="11058" xr:uid="{00000000-0005-0000-0000-000072200000}"/>
    <cellStyle name="Normal 4 5 2 5 4" xfId="7708" xr:uid="{00000000-0005-0000-0000-000073200000}"/>
    <cellStyle name="Normal 4 5 2 6" xfId="4617" xr:uid="{00000000-0005-0000-0000-000074200000}"/>
    <cellStyle name="Normal 4 5 2 6 2" xfId="6292" xr:uid="{00000000-0005-0000-0000-000075200000}"/>
    <cellStyle name="Normal 4 5 2 6 2 2" xfId="9642" xr:uid="{00000000-0005-0000-0000-000076200000}"/>
    <cellStyle name="Normal 4 5 2 6 3" xfId="11317" xr:uid="{00000000-0005-0000-0000-000077200000}"/>
    <cellStyle name="Normal 4 5 2 6 4" xfId="7967" xr:uid="{00000000-0005-0000-0000-000078200000}"/>
    <cellStyle name="Normal 4 5 2 7" xfId="5325" xr:uid="{00000000-0005-0000-0000-000079200000}"/>
    <cellStyle name="Normal 4 5 2 7 2" xfId="8675" xr:uid="{00000000-0005-0000-0000-00007A200000}"/>
    <cellStyle name="Normal 4 5 2 8" xfId="10350" xr:uid="{00000000-0005-0000-0000-00007B200000}"/>
    <cellStyle name="Normal 4 5 2 9" xfId="7000" xr:uid="{00000000-0005-0000-0000-00007C200000}"/>
    <cellStyle name="Normal 4 5 3" xfId="3673" xr:uid="{00000000-0005-0000-0000-00007D200000}"/>
    <cellStyle name="Normal 4 5 3 2" xfId="3791" xr:uid="{00000000-0005-0000-0000-00007E200000}"/>
    <cellStyle name="Normal 4 5 3 2 2" xfId="4027" xr:uid="{00000000-0005-0000-0000-00007F200000}"/>
    <cellStyle name="Normal 4 5 3 2 2 2" xfId="4994" xr:uid="{00000000-0005-0000-0000-000080200000}"/>
    <cellStyle name="Normal 4 5 3 2 2 2 2" xfId="6669" xr:uid="{00000000-0005-0000-0000-000081200000}"/>
    <cellStyle name="Normal 4 5 3 2 2 2 2 2" xfId="10019" xr:uid="{00000000-0005-0000-0000-000082200000}"/>
    <cellStyle name="Normal 4 5 3 2 2 2 3" xfId="11694" xr:uid="{00000000-0005-0000-0000-000083200000}"/>
    <cellStyle name="Normal 4 5 3 2 2 2 4" xfId="8344" xr:uid="{00000000-0005-0000-0000-000084200000}"/>
    <cellStyle name="Normal 4 5 3 2 2 3" xfId="5702" xr:uid="{00000000-0005-0000-0000-000085200000}"/>
    <cellStyle name="Normal 4 5 3 2 2 3 2" xfId="9052" xr:uid="{00000000-0005-0000-0000-000086200000}"/>
    <cellStyle name="Normal 4 5 3 2 2 4" xfId="10727" xr:uid="{00000000-0005-0000-0000-000087200000}"/>
    <cellStyle name="Normal 4 5 3 2 2 5" xfId="7377" xr:uid="{00000000-0005-0000-0000-000088200000}"/>
    <cellStyle name="Normal 4 5 3 2 3" xfId="4263" xr:uid="{00000000-0005-0000-0000-000089200000}"/>
    <cellStyle name="Normal 4 5 3 2 3 2" xfId="5230" xr:uid="{00000000-0005-0000-0000-00008A200000}"/>
    <cellStyle name="Normal 4 5 3 2 3 2 2" xfId="6905" xr:uid="{00000000-0005-0000-0000-00008B200000}"/>
    <cellStyle name="Normal 4 5 3 2 3 2 2 2" xfId="10255" xr:uid="{00000000-0005-0000-0000-00008C200000}"/>
    <cellStyle name="Normal 4 5 3 2 3 2 3" xfId="11930" xr:uid="{00000000-0005-0000-0000-00008D200000}"/>
    <cellStyle name="Normal 4 5 3 2 3 2 4" xfId="8580" xr:uid="{00000000-0005-0000-0000-00008E200000}"/>
    <cellStyle name="Normal 4 5 3 2 3 3" xfId="5938" xr:uid="{00000000-0005-0000-0000-00008F200000}"/>
    <cellStyle name="Normal 4 5 3 2 3 3 2" xfId="9288" xr:uid="{00000000-0005-0000-0000-000090200000}"/>
    <cellStyle name="Normal 4 5 3 2 3 4" xfId="10963" xr:uid="{00000000-0005-0000-0000-000091200000}"/>
    <cellStyle name="Normal 4 5 3 2 3 5" xfId="7613" xr:uid="{00000000-0005-0000-0000-000092200000}"/>
    <cellStyle name="Normal 4 5 3 2 4" xfId="4499" xr:uid="{00000000-0005-0000-0000-000093200000}"/>
    <cellStyle name="Normal 4 5 3 2 4 2" xfId="6174" xr:uid="{00000000-0005-0000-0000-000094200000}"/>
    <cellStyle name="Normal 4 5 3 2 4 2 2" xfId="9524" xr:uid="{00000000-0005-0000-0000-000095200000}"/>
    <cellStyle name="Normal 4 5 3 2 4 3" xfId="11199" xr:uid="{00000000-0005-0000-0000-000096200000}"/>
    <cellStyle name="Normal 4 5 3 2 4 4" xfId="7849" xr:uid="{00000000-0005-0000-0000-000097200000}"/>
    <cellStyle name="Normal 4 5 3 2 5" xfId="4758" xr:uid="{00000000-0005-0000-0000-000098200000}"/>
    <cellStyle name="Normal 4 5 3 2 5 2" xfId="6433" xr:uid="{00000000-0005-0000-0000-000099200000}"/>
    <cellStyle name="Normal 4 5 3 2 5 2 2" xfId="9783" xr:uid="{00000000-0005-0000-0000-00009A200000}"/>
    <cellStyle name="Normal 4 5 3 2 5 3" xfId="11458" xr:uid="{00000000-0005-0000-0000-00009B200000}"/>
    <cellStyle name="Normal 4 5 3 2 5 4" xfId="8108" xr:uid="{00000000-0005-0000-0000-00009C200000}"/>
    <cellStyle name="Normal 4 5 3 2 6" xfId="5466" xr:uid="{00000000-0005-0000-0000-00009D200000}"/>
    <cellStyle name="Normal 4 5 3 2 6 2" xfId="8816" xr:uid="{00000000-0005-0000-0000-00009E200000}"/>
    <cellStyle name="Normal 4 5 3 2 7" xfId="10491" xr:uid="{00000000-0005-0000-0000-00009F200000}"/>
    <cellStyle name="Normal 4 5 3 2 8" xfId="7141" xr:uid="{00000000-0005-0000-0000-0000A0200000}"/>
    <cellStyle name="Normal 4 5 3 3" xfId="3909" xr:uid="{00000000-0005-0000-0000-0000A1200000}"/>
    <cellStyle name="Normal 4 5 3 3 2" xfId="4876" xr:uid="{00000000-0005-0000-0000-0000A2200000}"/>
    <cellStyle name="Normal 4 5 3 3 2 2" xfId="6551" xr:uid="{00000000-0005-0000-0000-0000A3200000}"/>
    <cellStyle name="Normal 4 5 3 3 2 2 2" xfId="9901" xr:uid="{00000000-0005-0000-0000-0000A4200000}"/>
    <cellStyle name="Normal 4 5 3 3 2 3" xfId="11576" xr:uid="{00000000-0005-0000-0000-0000A5200000}"/>
    <cellStyle name="Normal 4 5 3 3 2 4" xfId="8226" xr:uid="{00000000-0005-0000-0000-0000A6200000}"/>
    <cellStyle name="Normal 4 5 3 3 3" xfId="5584" xr:uid="{00000000-0005-0000-0000-0000A7200000}"/>
    <cellStyle name="Normal 4 5 3 3 3 2" xfId="8934" xr:uid="{00000000-0005-0000-0000-0000A8200000}"/>
    <cellStyle name="Normal 4 5 3 3 4" xfId="10609" xr:uid="{00000000-0005-0000-0000-0000A9200000}"/>
    <cellStyle name="Normal 4 5 3 3 5" xfId="7259" xr:uid="{00000000-0005-0000-0000-0000AA200000}"/>
    <cellStyle name="Normal 4 5 3 4" xfId="4145" xr:uid="{00000000-0005-0000-0000-0000AB200000}"/>
    <cellStyle name="Normal 4 5 3 4 2" xfId="5112" xr:uid="{00000000-0005-0000-0000-0000AC200000}"/>
    <cellStyle name="Normal 4 5 3 4 2 2" xfId="6787" xr:uid="{00000000-0005-0000-0000-0000AD200000}"/>
    <cellStyle name="Normal 4 5 3 4 2 2 2" xfId="10137" xr:uid="{00000000-0005-0000-0000-0000AE200000}"/>
    <cellStyle name="Normal 4 5 3 4 2 3" xfId="11812" xr:uid="{00000000-0005-0000-0000-0000AF200000}"/>
    <cellStyle name="Normal 4 5 3 4 2 4" xfId="8462" xr:uid="{00000000-0005-0000-0000-0000B0200000}"/>
    <cellStyle name="Normal 4 5 3 4 3" xfId="5820" xr:uid="{00000000-0005-0000-0000-0000B1200000}"/>
    <cellStyle name="Normal 4 5 3 4 3 2" xfId="9170" xr:uid="{00000000-0005-0000-0000-0000B2200000}"/>
    <cellStyle name="Normal 4 5 3 4 4" xfId="10845" xr:uid="{00000000-0005-0000-0000-0000B3200000}"/>
    <cellStyle name="Normal 4 5 3 4 5" xfId="7495" xr:uid="{00000000-0005-0000-0000-0000B4200000}"/>
    <cellStyle name="Normal 4 5 3 5" xfId="4381" xr:uid="{00000000-0005-0000-0000-0000B5200000}"/>
    <cellStyle name="Normal 4 5 3 5 2" xfId="6056" xr:uid="{00000000-0005-0000-0000-0000B6200000}"/>
    <cellStyle name="Normal 4 5 3 5 2 2" xfId="9406" xr:uid="{00000000-0005-0000-0000-0000B7200000}"/>
    <cellStyle name="Normal 4 5 3 5 3" xfId="11081" xr:uid="{00000000-0005-0000-0000-0000B8200000}"/>
    <cellStyle name="Normal 4 5 3 5 4" xfId="7731" xr:uid="{00000000-0005-0000-0000-0000B9200000}"/>
    <cellStyle name="Normal 4 5 3 6" xfId="4640" xr:uid="{00000000-0005-0000-0000-0000BA200000}"/>
    <cellStyle name="Normal 4 5 3 6 2" xfId="6315" xr:uid="{00000000-0005-0000-0000-0000BB200000}"/>
    <cellStyle name="Normal 4 5 3 6 2 2" xfId="9665" xr:uid="{00000000-0005-0000-0000-0000BC200000}"/>
    <cellStyle name="Normal 4 5 3 6 3" xfId="11340" xr:uid="{00000000-0005-0000-0000-0000BD200000}"/>
    <cellStyle name="Normal 4 5 3 6 4" xfId="7990" xr:uid="{00000000-0005-0000-0000-0000BE200000}"/>
    <cellStyle name="Normal 4 5 3 7" xfId="5348" xr:uid="{00000000-0005-0000-0000-0000BF200000}"/>
    <cellStyle name="Normal 4 5 3 7 2" xfId="8698" xr:uid="{00000000-0005-0000-0000-0000C0200000}"/>
    <cellStyle name="Normal 4 5 3 8" xfId="10373" xr:uid="{00000000-0005-0000-0000-0000C1200000}"/>
    <cellStyle name="Normal 4 5 3 9" xfId="7023" xr:uid="{00000000-0005-0000-0000-0000C2200000}"/>
    <cellStyle name="Normal 4 5 4" xfId="3697" xr:uid="{00000000-0005-0000-0000-0000C3200000}"/>
    <cellStyle name="Normal 4 5 4 2" xfId="3815" xr:uid="{00000000-0005-0000-0000-0000C4200000}"/>
    <cellStyle name="Normal 4 5 4 2 2" xfId="4051" xr:uid="{00000000-0005-0000-0000-0000C5200000}"/>
    <cellStyle name="Normal 4 5 4 2 2 2" xfId="5018" xr:uid="{00000000-0005-0000-0000-0000C6200000}"/>
    <cellStyle name="Normal 4 5 4 2 2 2 2" xfId="6693" xr:uid="{00000000-0005-0000-0000-0000C7200000}"/>
    <cellStyle name="Normal 4 5 4 2 2 2 2 2" xfId="10043" xr:uid="{00000000-0005-0000-0000-0000C8200000}"/>
    <cellStyle name="Normal 4 5 4 2 2 2 3" xfId="11718" xr:uid="{00000000-0005-0000-0000-0000C9200000}"/>
    <cellStyle name="Normal 4 5 4 2 2 2 4" xfId="8368" xr:uid="{00000000-0005-0000-0000-0000CA200000}"/>
    <cellStyle name="Normal 4 5 4 2 2 3" xfId="5726" xr:uid="{00000000-0005-0000-0000-0000CB200000}"/>
    <cellStyle name="Normal 4 5 4 2 2 3 2" xfId="9076" xr:uid="{00000000-0005-0000-0000-0000CC200000}"/>
    <cellStyle name="Normal 4 5 4 2 2 4" xfId="10751" xr:uid="{00000000-0005-0000-0000-0000CD200000}"/>
    <cellStyle name="Normal 4 5 4 2 2 5" xfId="7401" xr:uid="{00000000-0005-0000-0000-0000CE200000}"/>
    <cellStyle name="Normal 4 5 4 2 3" xfId="4287" xr:uid="{00000000-0005-0000-0000-0000CF200000}"/>
    <cellStyle name="Normal 4 5 4 2 3 2" xfId="5254" xr:uid="{00000000-0005-0000-0000-0000D0200000}"/>
    <cellStyle name="Normal 4 5 4 2 3 2 2" xfId="6929" xr:uid="{00000000-0005-0000-0000-0000D1200000}"/>
    <cellStyle name="Normal 4 5 4 2 3 2 2 2" xfId="10279" xr:uid="{00000000-0005-0000-0000-0000D2200000}"/>
    <cellStyle name="Normal 4 5 4 2 3 2 3" xfId="11954" xr:uid="{00000000-0005-0000-0000-0000D3200000}"/>
    <cellStyle name="Normal 4 5 4 2 3 2 4" xfId="8604" xr:uid="{00000000-0005-0000-0000-0000D4200000}"/>
    <cellStyle name="Normal 4 5 4 2 3 3" xfId="5962" xr:uid="{00000000-0005-0000-0000-0000D5200000}"/>
    <cellStyle name="Normal 4 5 4 2 3 3 2" xfId="9312" xr:uid="{00000000-0005-0000-0000-0000D6200000}"/>
    <cellStyle name="Normal 4 5 4 2 3 4" xfId="10987" xr:uid="{00000000-0005-0000-0000-0000D7200000}"/>
    <cellStyle name="Normal 4 5 4 2 3 5" xfId="7637" xr:uid="{00000000-0005-0000-0000-0000D8200000}"/>
    <cellStyle name="Normal 4 5 4 2 4" xfId="4523" xr:uid="{00000000-0005-0000-0000-0000D9200000}"/>
    <cellStyle name="Normal 4 5 4 2 4 2" xfId="6198" xr:uid="{00000000-0005-0000-0000-0000DA200000}"/>
    <cellStyle name="Normal 4 5 4 2 4 2 2" xfId="9548" xr:uid="{00000000-0005-0000-0000-0000DB200000}"/>
    <cellStyle name="Normal 4 5 4 2 4 3" xfId="11223" xr:uid="{00000000-0005-0000-0000-0000DC200000}"/>
    <cellStyle name="Normal 4 5 4 2 4 4" xfId="7873" xr:uid="{00000000-0005-0000-0000-0000DD200000}"/>
    <cellStyle name="Normal 4 5 4 2 5" xfId="4782" xr:uid="{00000000-0005-0000-0000-0000DE200000}"/>
    <cellStyle name="Normal 4 5 4 2 5 2" xfId="6457" xr:uid="{00000000-0005-0000-0000-0000DF200000}"/>
    <cellStyle name="Normal 4 5 4 2 5 2 2" xfId="9807" xr:uid="{00000000-0005-0000-0000-0000E0200000}"/>
    <cellStyle name="Normal 4 5 4 2 5 3" xfId="11482" xr:uid="{00000000-0005-0000-0000-0000E1200000}"/>
    <cellStyle name="Normal 4 5 4 2 5 4" xfId="8132" xr:uid="{00000000-0005-0000-0000-0000E2200000}"/>
    <cellStyle name="Normal 4 5 4 2 6" xfId="5490" xr:uid="{00000000-0005-0000-0000-0000E3200000}"/>
    <cellStyle name="Normal 4 5 4 2 6 2" xfId="8840" xr:uid="{00000000-0005-0000-0000-0000E4200000}"/>
    <cellStyle name="Normal 4 5 4 2 7" xfId="10515" xr:uid="{00000000-0005-0000-0000-0000E5200000}"/>
    <cellStyle name="Normal 4 5 4 2 8" xfId="7165" xr:uid="{00000000-0005-0000-0000-0000E6200000}"/>
    <cellStyle name="Normal 4 5 4 3" xfId="3933" xr:uid="{00000000-0005-0000-0000-0000E7200000}"/>
    <cellStyle name="Normal 4 5 4 3 2" xfId="4900" xr:uid="{00000000-0005-0000-0000-0000E8200000}"/>
    <cellStyle name="Normal 4 5 4 3 2 2" xfId="6575" xr:uid="{00000000-0005-0000-0000-0000E9200000}"/>
    <cellStyle name="Normal 4 5 4 3 2 2 2" xfId="9925" xr:uid="{00000000-0005-0000-0000-0000EA200000}"/>
    <cellStyle name="Normal 4 5 4 3 2 3" xfId="11600" xr:uid="{00000000-0005-0000-0000-0000EB200000}"/>
    <cellStyle name="Normal 4 5 4 3 2 4" xfId="8250" xr:uid="{00000000-0005-0000-0000-0000EC200000}"/>
    <cellStyle name="Normal 4 5 4 3 3" xfId="5608" xr:uid="{00000000-0005-0000-0000-0000ED200000}"/>
    <cellStyle name="Normal 4 5 4 3 3 2" xfId="8958" xr:uid="{00000000-0005-0000-0000-0000EE200000}"/>
    <cellStyle name="Normal 4 5 4 3 4" xfId="10633" xr:uid="{00000000-0005-0000-0000-0000EF200000}"/>
    <cellStyle name="Normal 4 5 4 3 5" xfId="7283" xr:uid="{00000000-0005-0000-0000-0000F0200000}"/>
    <cellStyle name="Normal 4 5 4 4" xfId="4169" xr:uid="{00000000-0005-0000-0000-0000F1200000}"/>
    <cellStyle name="Normal 4 5 4 4 2" xfId="5136" xr:uid="{00000000-0005-0000-0000-0000F2200000}"/>
    <cellStyle name="Normal 4 5 4 4 2 2" xfId="6811" xr:uid="{00000000-0005-0000-0000-0000F3200000}"/>
    <cellStyle name="Normal 4 5 4 4 2 2 2" xfId="10161" xr:uid="{00000000-0005-0000-0000-0000F4200000}"/>
    <cellStyle name="Normal 4 5 4 4 2 3" xfId="11836" xr:uid="{00000000-0005-0000-0000-0000F5200000}"/>
    <cellStyle name="Normal 4 5 4 4 2 4" xfId="8486" xr:uid="{00000000-0005-0000-0000-0000F6200000}"/>
    <cellStyle name="Normal 4 5 4 4 3" xfId="5844" xr:uid="{00000000-0005-0000-0000-0000F7200000}"/>
    <cellStyle name="Normal 4 5 4 4 3 2" xfId="9194" xr:uid="{00000000-0005-0000-0000-0000F8200000}"/>
    <cellStyle name="Normal 4 5 4 4 4" xfId="10869" xr:uid="{00000000-0005-0000-0000-0000F9200000}"/>
    <cellStyle name="Normal 4 5 4 4 5" xfId="7519" xr:uid="{00000000-0005-0000-0000-0000FA200000}"/>
    <cellStyle name="Normal 4 5 4 5" xfId="4405" xr:uid="{00000000-0005-0000-0000-0000FB200000}"/>
    <cellStyle name="Normal 4 5 4 5 2" xfId="6080" xr:uid="{00000000-0005-0000-0000-0000FC200000}"/>
    <cellStyle name="Normal 4 5 4 5 2 2" xfId="9430" xr:uid="{00000000-0005-0000-0000-0000FD200000}"/>
    <cellStyle name="Normal 4 5 4 5 3" xfId="11105" xr:uid="{00000000-0005-0000-0000-0000FE200000}"/>
    <cellStyle name="Normal 4 5 4 5 4" xfId="7755" xr:uid="{00000000-0005-0000-0000-0000FF200000}"/>
    <cellStyle name="Normal 4 5 4 6" xfId="4664" xr:uid="{00000000-0005-0000-0000-000000210000}"/>
    <cellStyle name="Normal 4 5 4 6 2" xfId="6339" xr:uid="{00000000-0005-0000-0000-000001210000}"/>
    <cellStyle name="Normal 4 5 4 6 2 2" xfId="9689" xr:uid="{00000000-0005-0000-0000-000002210000}"/>
    <cellStyle name="Normal 4 5 4 6 3" xfId="11364" xr:uid="{00000000-0005-0000-0000-000003210000}"/>
    <cellStyle name="Normal 4 5 4 6 4" xfId="8014" xr:uid="{00000000-0005-0000-0000-000004210000}"/>
    <cellStyle name="Normal 4 5 4 7" xfId="5372" xr:uid="{00000000-0005-0000-0000-000005210000}"/>
    <cellStyle name="Normal 4 5 4 7 2" xfId="8722" xr:uid="{00000000-0005-0000-0000-000006210000}"/>
    <cellStyle name="Normal 4 5 4 8" xfId="10397" xr:uid="{00000000-0005-0000-0000-000007210000}"/>
    <cellStyle name="Normal 4 5 4 9" xfId="7047" xr:uid="{00000000-0005-0000-0000-000008210000}"/>
    <cellStyle name="Normal 4 5 5" xfId="3721" xr:uid="{00000000-0005-0000-0000-000009210000}"/>
    <cellStyle name="Normal 4 5 5 2" xfId="3839" xr:uid="{00000000-0005-0000-0000-00000A210000}"/>
    <cellStyle name="Normal 4 5 5 2 2" xfId="4075" xr:uid="{00000000-0005-0000-0000-00000B210000}"/>
    <cellStyle name="Normal 4 5 5 2 2 2" xfId="5042" xr:uid="{00000000-0005-0000-0000-00000C210000}"/>
    <cellStyle name="Normal 4 5 5 2 2 2 2" xfId="6717" xr:uid="{00000000-0005-0000-0000-00000D210000}"/>
    <cellStyle name="Normal 4 5 5 2 2 2 2 2" xfId="10067" xr:uid="{00000000-0005-0000-0000-00000E210000}"/>
    <cellStyle name="Normal 4 5 5 2 2 2 3" xfId="11742" xr:uid="{00000000-0005-0000-0000-00000F210000}"/>
    <cellStyle name="Normal 4 5 5 2 2 2 4" xfId="8392" xr:uid="{00000000-0005-0000-0000-000010210000}"/>
    <cellStyle name="Normal 4 5 5 2 2 3" xfId="5750" xr:uid="{00000000-0005-0000-0000-000011210000}"/>
    <cellStyle name="Normal 4 5 5 2 2 3 2" xfId="9100" xr:uid="{00000000-0005-0000-0000-000012210000}"/>
    <cellStyle name="Normal 4 5 5 2 2 4" xfId="10775" xr:uid="{00000000-0005-0000-0000-000013210000}"/>
    <cellStyle name="Normal 4 5 5 2 2 5" xfId="7425" xr:uid="{00000000-0005-0000-0000-000014210000}"/>
    <cellStyle name="Normal 4 5 5 2 3" xfId="4311" xr:uid="{00000000-0005-0000-0000-000015210000}"/>
    <cellStyle name="Normal 4 5 5 2 3 2" xfId="5278" xr:uid="{00000000-0005-0000-0000-000016210000}"/>
    <cellStyle name="Normal 4 5 5 2 3 2 2" xfId="6953" xr:uid="{00000000-0005-0000-0000-000017210000}"/>
    <cellStyle name="Normal 4 5 5 2 3 2 2 2" xfId="10303" xr:uid="{00000000-0005-0000-0000-000018210000}"/>
    <cellStyle name="Normal 4 5 5 2 3 2 3" xfId="11978" xr:uid="{00000000-0005-0000-0000-000019210000}"/>
    <cellStyle name="Normal 4 5 5 2 3 2 4" xfId="8628" xr:uid="{00000000-0005-0000-0000-00001A210000}"/>
    <cellStyle name="Normal 4 5 5 2 3 3" xfId="5986" xr:uid="{00000000-0005-0000-0000-00001B210000}"/>
    <cellStyle name="Normal 4 5 5 2 3 3 2" xfId="9336" xr:uid="{00000000-0005-0000-0000-00001C210000}"/>
    <cellStyle name="Normal 4 5 5 2 3 4" xfId="11011" xr:uid="{00000000-0005-0000-0000-00001D210000}"/>
    <cellStyle name="Normal 4 5 5 2 3 5" xfId="7661" xr:uid="{00000000-0005-0000-0000-00001E210000}"/>
    <cellStyle name="Normal 4 5 5 2 4" xfId="4547" xr:uid="{00000000-0005-0000-0000-00001F210000}"/>
    <cellStyle name="Normal 4 5 5 2 4 2" xfId="6222" xr:uid="{00000000-0005-0000-0000-000020210000}"/>
    <cellStyle name="Normal 4 5 5 2 4 2 2" xfId="9572" xr:uid="{00000000-0005-0000-0000-000021210000}"/>
    <cellStyle name="Normal 4 5 5 2 4 3" xfId="11247" xr:uid="{00000000-0005-0000-0000-000022210000}"/>
    <cellStyle name="Normal 4 5 5 2 4 4" xfId="7897" xr:uid="{00000000-0005-0000-0000-000023210000}"/>
    <cellStyle name="Normal 4 5 5 2 5" xfId="4806" xr:uid="{00000000-0005-0000-0000-000024210000}"/>
    <cellStyle name="Normal 4 5 5 2 5 2" xfId="6481" xr:uid="{00000000-0005-0000-0000-000025210000}"/>
    <cellStyle name="Normal 4 5 5 2 5 2 2" xfId="9831" xr:uid="{00000000-0005-0000-0000-000026210000}"/>
    <cellStyle name="Normal 4 5 5 2 5 3" xfId="11506" xr:uid="{00000000-0005-0000-0000-000027210000}"/>
    <cellStyle name="Normal 4 5 5 2 5 4" xfId="8156" xr:uid="{00000000-0005-0000-0000-000028210000}"/>
    <cellStyle name="Normal 4 5 5 2 6" xfId="5514" xr:uid="{00000000-0005-0000-0000-000029210000}"/>
    <cellStyle name="Normal 4 5 5 2 6 2" xfId="8864" xr:uid="{00000000-0005-0000-0000-00002A210000}"/>
    <cellStyle name="Normal 4 5 5 2 7" xfId="10539" xr:uid="{00000000-0005-0000-0000-00002B210000}"/>
    <cellStyle name="Normal 4 5 5 2 8" xfId="7189" xr:uid="{00000000-0005-0000-0000-00002C210000}"/>
    <cellStyle name="Normal 4 5 5 3" xfId="3957" xr:uid="{00000000-0005-0000-0000-00002D210000}"/>
    <cellStyle name="Normal 4 5 5 3 2" xfId="4924" xr:uid="{00000000-0005-0000-0000-00002E210000}"/>
    <cellStyle name="Normal 4 5 5 3 2 2" xfId="6599" xr:uid="{00000000-0005-0000-0000-00002F210000}"/>
    <cellStyle name="Normal 4 5 5 3 2 2 2" xfId="9949" xr:uid="{00000000-0005-0000-0000-000030210000}"/>
    <cellStyle name="Normal 4 5 5 3 2 3" xfId="11624" xr:uid="{00000000-0005-0000-0000-000031210000}"/>
    <cellStyle name="Normal 4 5 5 3 2 4" xfId="8274" xr:uid="{00000000-0005-0000-0000-000032210000}"/>
    <cellStyle name="Normal 4 5 5 3 3" xfId="5632" xr:uid="{00000000-0005-0000-0000-000033210000}"/>
    <cellStyle name="Normal 4 5 5 3 3 2" xfId="8982" xr:uid="{00000000-0005-0000-0000-000034210000}"/>
    <cellStyle name="Normal 4 5 5 3 4" xfId="10657" xr:uid="{00000000-0005-0000-0000-000035210000}"/>
    <cellStyle name="Normal 4 5 5 3 5" xfId="7307" xr:uid="{00000000-0005-0000-0000-000036210000}"/>
    <cellStyle name="Normal 4 5 5 4" xfId="4193" xr:uid="{00000000-0005-0000-0000-000037210000}"/>
    <cellStyle name="Normal 4 5 5 4 2" xfId="5160" xr:uid="{00000000-0005-0000-0000-000038210000}"/>
    <cellStyle name="Normal 4 5 5 4 2 2" xfId="6835" xr:uid="{00000000-0005-0000-0000-000039210000}"/>
    <cellStyle name="Normal 4 5 5 4 2 2 2" xfId="10185" xr:uid="{00000000-0005-0000-0000-00003A210000}"/>
    <cellStyle name="Normal 4 5 5 4 2 3" xfId="11860" xr:uid="{00000000-0005-0000-0000-00003B210000}"/>
    <cellStyle name="Normal 4 5 5 4 2 4" xfId="8510" xr:uid="{00000000-0005-0000-0000-00003C210000}"/>
    <cellStyle name="Normal 4 5 5 4 3" xfId="5868" xr:uid="{00000000-0005-0000-0000-00003D210000}"/>
    <cellStyle name="Normal 4 5 5 4 3 2" xfId="9218" xr:uid="{00000000-0005-0000-0000-00003E210000}"/>
    <cellStyle name="Normal 4 5 5 4 4" xfId="10893" xr:uid="{00000000-0005-0000-0000-00003F210000}"/>
    <cellStyle name="Normal 4 5 5 4 5" xfId="7543" xr:uid="{00000000-0005-0000-0000-000040210000}"/>
    <cellStyle name="Normal 4 5 5 5" xfId="4429" xr:uid="{00000000-0005-0000-0000-000041210000}"/>
    <cellStyle name="Normal 4 5 5 5 2" xfId="6104" xr:uid="{00000000-0005-0000-0000-000042210000}"/>
    <cellStyle name="Normal 4 5 5 5 2 2" xfId="9454" xr:uid="{00000000-0005-0000-0000-000043210000}"/>
    <cellStyle name="Normal 4 5 5 5 3" xfId="11129" xr:uid="{00000000-0005-0000-0000-000044210000}"/>
    <cellStyle name="Normal 4 5 5 5 4" xfId="7779" xr:uid="{00000000-0005-0000-0000-000045210000}"/>
    <cellStyle name="Normal 4 5 5 6" xfId="4688" xr:uid="{00000000-0005-0000-0000-000046210000}"/>
    <cellStyle name="Normal 4 5 5 6 2" xfId="6363" xr:uid="{00000000-0005-0000-0000-000047210000}"/>
    <cellStyle name="Normal 4 5 5 6 2 2" xfId="9713" xr:uid="{00000000-0005-0000-0000-000048210000}"/>
    <cellStyle name="Normal 4 5 5 6 3" xfId="11388" xr:uid="{00000000-0005-0000-0000-000049210000}"/>
    <cellStyle name="Normal 4 5 5 6 4" xfId="8038" xr:uid="{00000000-0005-0000-0000-00004A210000}"/>
    <cellStyle name="Normal 4 5 5 7" xfId="5396" xr:uid="{00000000-0005-0000-0000-00004B210000}"/>
    <cellStyle name="Normal 4 5 5 7 2" xfId="8746" xr:uid="{00000000-0005-0000-0000-00004C210000}"/>
    <cellStyle name="Normal 4 5 5 8" xfId="10421" xr:uid="{00000000-0005-0000-0000-00004D210000}"/>
    <cellStyle name="Normal 4 5 5 9" xfId="7071" xr:uid="{00000000-0005-0000-0000-00004E210000}"/>
    <cellStyle name="Normal 4 5 6" xfId="3745" xr:uid="{00000000-0005-0000-0000-00004F210000}"/>
    <cellStyle name="Normal 4 5 6 2" xfId="3981" xr:uid="{00000000-0005-0000-0000-000050210000}"/>
    <cellStyle name="Normal 4 5 6 2 2" xfId="4948" xr:uid="{00000000-0005-0000-0000-000051210000}"/>
    <cellStyle name="Normal 4 5 6 2 2 2" xfId="6623" xr:uid="{00000000-0005-0000-0000-000052210000}"/>
    <cellStyle name="Normal 4 5 6 2 2 2 2" xfId="9973" xr:uid="{00000000-0005-0000-0000-000053210000}"/>
    <cellStyle name="Normal 4 5 6 2 2 3" xfId="11648" xr:uid="{00000000-0005-0000-0000-000054210000}"/>
    <cellStyle name="Normal 4 5 6 2 2 4" xfId="8298" xr:uid="{00000000-0005-0000-0000-000055210000}"/>
    <cellStyle name="Normal 4 5 6 2 3" xfId="5656" xr:uid="{00000000-0005-0000-0000-000056210000}"/>
    <cellStyle name="Normal 4 5 6 2 3 2" xfId="9006" xr:uid="{00000000-0005-0000-0000-000057210000}"/>
    <cellStyle name="Normal 4 5 6 2 4" xfId="10681" xr:uid="{00000000-0005-0000-0000-000058210000}"/>
    <cellStyle name="Normal 4 5 6 2 5" xfId="7331" xr:uid="{00000000-0005-0000-0000-000059210000}"/>
    <cellStyle name="Normal 4 5 6 3" xfId="4217" xr:uid="{00000000-0005-0000-0000-00005A210000}"/>
    <cellStyle name="Normal 4 5 6 3 2" xfId="5184" xr:uid="{00000000-0005-0000-0000-00005B210000}"/>
    <cellStyle name="Normal 4 5 6 3 2 2" xfId="6859" xr:uid="{00000000-0005-0000-0000-00005C210000}"/>
    <cellStyle name="Normal 4 5 6 3 2 2 2" xfId="10209" xr:uid="{00000000-0005-0000-0000-00005D210000}"/>
    <cellStyle name="Normal 4 5 6 3 2 3" xfId="11884" xr:uid="{00000000-0005-0000-0000-00005E210000}"/>
    <cellStyle name="Normal 4 5 6 3 2 4" xfId="8534" xr:uid="{00000000-0005-0000-0000-00005F210000}"/>
    <cellStyle name="Normal 4 5 6 3 3" xfId="5892" xr:uid="{00000000-0005-0000-0000-000060210000}"/>
    <cellStyle name="Normal 4 5 6 3 3 2" xfId="9242" xr:uid="{00000000-0005-0000-0000-000061210000}"/>
    <cellStyle name="Normal 4 5 6 3 4" xfId="10917" xr:uid="{00000000-0005-0000-0000-000062210000}"/>
    <cellStyle name="Normal 4 5 6 3 5" xfId="7567" xr:uid="{00000000-0005-0000-0000-000063210000}"/>
    <cellStyle name="Normal 4 5 6 4" xfId="4453" xr:uid="{00000000-0005-0000-0000-000064210000}"/>
    <cellStyle name="Normal 4 5 6 4 2" xfId="6128" xr:uid="{00000000-0005-0000-0000-000065210000}"/>
    <cellStyle name="Normal 4 5 6 4 2 2" xfId="9478" xr:uid="{00000000-0005-0000-0000-000066210000}"/>
    <cellStyle name="Normal 4 5 6 4 3" xfId="11153" xr:uid="{00000000-0005-0000-0000-000067210000}"/>
    <cellStyle name="Normal 4 5 6 4 4" xfId="7803" xr:uid="{00000000-0005-0000-0000-000068210000}"/>
    <cellStyle name="Normal 4 5 6 5" xfId="4712" xr:uid="{00000000-0005-0000-0000-000069210000}"/>
    <cellStyle name="Normal 4 5 6 5 2" xfId="6387" xr:uid="{00000000-0005-0000-0000-00006A210000}"/>
    <cellStyle name="Normal 4 5 6 5 2 2" xfId="9737" xr:uid="{00000000-0005-0000-0000-00006B210000}"/>
    <cellStyle name="Normal 4 5 6 5 3" xfId="11412" xr:uid="{00000000-0005-0000-0000-00006C210000}"/>
    <cellStyle name="Normal 4 5 6 5 4" xfId="8062" xr:uid="{00000000-0005-0000-0000-00006D210000}"/>
    <cellStyle name="Normal 4 5 6 6" xfId="5420" xr:uid="{00000000-0005-0000-0000-00006E210000}"/>
    <cellStyle name="Normal 4 5 6 6 2" xfId="8770" xr:uid="{00000000-0005-0000-0000-00006F210000}"/>
    <cellStyle name="Normal 4 5 6 7" xfId="10445" xr:uid="{00000000-0005-0000-0000-000070210000}"/>
    <cellStyle name="Normal 4 5 6 8" xfId="7095" xr:uid="{00000000-0005-0000-0000-000071210000}"/>
    <cellStyle name="Normal 4 5 7" xfId="3863" xr:uid="{00000000-0005-0000-0000-000072210000}"/>
    <cellStyle name="Normal 4 5 7 2" xfId="4830" xr:uid="{00000000-0005-0000-0000-000073210000}"/>
    <cellStyle name="Normal 4 5 7 2 2" xfId="6505" xr:uid="{00000000-0005-0000-0000-000074210000}"/>
    <cellStyle name="Normal 4 5 7 2 2 2" xfId="9855" xr:uid="{00000000-0005-0000-0000-000075210000}"/>
    <cellStyle name="Normal 4 5 7 2 3" xfId="11530" xr:uid="{00000000-0005-0000-0000-000076210000}"/>
    <cellStyle name="Normal 4 5 7 2 4" xfId="8180" xr:uid="{00000000-0005-0000-0000-000077210000}"/>
    <cellStyle name="Normal 4 5 7 3" xfId="5538" xr:uid="{00000000-0005-0000-0000-000078210000}"/>
    <cellStyle name="Normal 4 5 7 3 2" xfId="8888" xr:uid="{00000000-0005-0000-0000-000079210000}"/>
    <cellStyle name="Normal 4 5 7 4" xfId="10563" xr:uid="{00000000-0005-0000-0000-00007A210000}"/>
    <cellStyle name="Normal 4 5 7 5" xfId="7213" xr:uid="{00000000-0005-0000-0000-00007B210000}"/>
    <cellStyle name="Normal 4 5 8" xfId="4099" xr:uid="{00000000-0005-0000-0000-00007C210000}"/>
    <cellStyle name="Normal 4 5 8 2" xfId="5066" xr:uid="{00000000-0005-0000-0000-00007D210000}"/>
    <cellStyle name="Normal 4 5 8 2 2" xfId="6741" xr:uid="{00000000-0005-0000-0000-00007E210000}"/>
    <cellStyle name="Normal 4 5 8 2 2 2" xfId="10091" xr:uid="{00000000-0005-0000-0000-00007F210000}"/>
    <cellStyle name="Normal 4 5 8 2 3" xfId="11766" xr:uid="{00000000-0005-0000-0000-000080210000}"/>
    <cellStyle name="Normal 4 5 8 2 4" xfId="8416" xr:uid="{00000000-0005-0000-0000-000081210000}"/>
    <cellStyle name="Normal 4 5 8 3" xfId="5774" xr:uid="{00000000-0005-0000-0000-000082210000}"/>
    <cellStyle name="Normal 4 5 8 3 2" xfId="9124" xr:uid="{00000000-0005-0000-0000-000083210000}"/>
    <cellStyle name="Normal 4 5 8 4" xfId="10799" xr:uid="{00000000-0005-0000-0000-000084210000}"/>
    <cellStyle name="Normal 4 5 8 5" xfId="7449" xr:uid="{00000000-0005-0000-0000-000085210000}"/>
    <cellStyle name="Normal 4 5 9" xfId="4335" xr:uid="{00000000-0005-0000-0000-000086210000}"/>
    <cellStyle name="Normal 4 5 9 2" xfId="4594" xr:uid="{00000000-0005-0000-0000-000087210000}"/>
    <cellStyle name="Normal 4 5 9 2 2" xfId="6269" xr:uid="{00000000-0005-0000-0000-000088210000}"/>
    <cellStyle name="Normal 4 5 9 2 2 2" xfId="9619" xr:uid="{00000000-0005-0000-0000-000089210000}"/>
    <cellStyle name="Normal 4 5 9 2 3" xfId="11294" xr:uid="{00000000-0005-0000-0000-00008A210000}"/>
    <cellStyle name="Normal 4 5 9 2 4" xfId="7944" xr:uid="{00000000-0005-0000-0000-00008B210000}"/>
    <cellStyle name="Normal 4 5 9 3" xfId="6010" xr:uid="{00000000-0005-0000-0000-00008C210000}"/>
    <cellStyle name="Normal 4 5 9 3 2" xfId="9360" xr:uid="{00000000-0005-0000-0000-00008D210000}"/>
    <cellStyle name="Normal 4 5 9 4" xfId="11035" xr:uid="{00000000-0005-0000-0000-00008E210000}"/>
    <cellStyle name="Normal 4 5 9 5" xfId="7685" xr:uid="{00000000-0005-0000-0000-00008F210000}"/>
    <cellStyle name="Normal 4 6" xfId="2828" xr:uid="{00000000-0005-0000-0000-00000C0B0000}"/>
    <cellStyle name="Normal 4 7" xfId="2829" xr:uid="{00000000-0005-0000-0000-00000D0B0000}"/>
    <cellStyle name="Normal 5" xfId="2830" xr:uid="{00000000-0005-0000-0000-00000E0B0000}"/>
    <cellStyle name="Normal 5 2" xfId="2831" xr:uid="{00000000-0005-0000-0000-00000F0B0000}"/>
    <cellStyle name="Normal 5 2 2" xfId="2832" xr:uid="{00000000-0005-0000-0000-0000100B0000}"/>
    <cellStyle name="Normal 5 2 2 2" xfId="2833" xr:uid="{00000000-0005-0000-0000-0000110B0000}"/>
    <cellStyle name="Normal 5 2 2 2 2" xfId="2834" xr:uid="{00000000-0005-0000-0000-0000120B0000}"/>
    <cellStyle name="Normal 5 2 2 2 2 2" xfId="2835" xr:uid="{00000000-0005-0000-0000-0000130B0000}"/>
    <cellStyle name="Normal 5 2 2 3" xfId="2836" xr:uid="{00000000-0005-0000-0000-0000140B0000}"/>
    <cellStyle name="Normal 5 2 2 4" xfId="2837" xr:uid="{00000000-0005-0000-0000-0000150B0000}"/>
    <cellStyle name="Normal 5 2 3" xfId="2838" xr:uid="{00000000-0005-0000-0000-0000160B0000}"/>
    <cellStyle name="Normal 5 2 4" xfId="2839" xr:uid="{00000000-0005-0000-0000-0000170B0000}"/>
    <cellStyle name="Normal 5 2 5" xfId="2840" xr:uid="{00000000-0005-0000-0000-0000180B0000}"/>
    <cellStyle name="Normal 5 2 5 2" xfId="2841" xr:uid="{00000000-0005-0000-0000-0000190B0000}"/>
    <cellStyle name="Normal 5 2 6" xfId="2842" xr:uid="{00000000-0005-0000-0000-00001A0B0000}"/>
    <cellStyle name="Normal 5 2 7" xfId="2843" xr:uid="{00000000-0005-0000-0000-00001B0B0000}"/>
    <cellStyle name="Normal 5 2 8" xfId="2844" xr:uid="{00000000-0005-0000-0000-00001C0B0000}"/>
    <cellStyle name="Normal 5 3" xfId="2845" xr:uid="{00000000-0005-0000-0000-00001D0B0000}"/>
    <cellStyle name="Normal 5 3 2" xfId="2846" xr:uid="{00000000-0005-0000-0000-00001E0B0000}"/>
    <cellStyle name="Normal 5 3 2 2" xfId="2847" xr:uid="{00000000-0005-0000-0000-00001F0B0000}"/>
    <cellStyle name="Normal 5 3 3" xfId="2848" xr:uid="{00000000-0005-0000-0000-0000200B0000}"/>
    <cellStyle name="Normal 5 3 4" xfId="2849" xr:uid="{00000000-0005-0000-0000-0000210B0000}"/>
    <cellStyle name="Normal 5 3 5" xfId="2850" xr:uid="{00000000-0005-0000-0000-0000220B0000}"/>
    <cellStyle name="Normal 5 4" xfId="2851" xr:uid="{00000000-0005-0000-0000-0000230B0000}"/>
    <cellStyle name="Normal 5 4 10" xfId="4572" xr:uid="{00000000-0005-0000-0000-000097210000}"/>
    <cellStyle name="Normal 5 4 10 2" xfId="6247" xr:uid="{00000000-0005-0000-0000-000098210000}"/>
    <cellStyle name="Normal 5 4 10 2 2" xfId="9597" xr:uid="{00000000-0005-0000-0000-000099210000}"/>
    <cellStyle name="Normal 5 4 10 3" xfId="11272" xr:uid="{00000000-0005-0000-0000-00009A210000}"/>
    <cellStyle name="Normal 5 4 10 4" xfId="7922" xr:uid="{00000000-0005-0000-0000-00009B210000}"/>
    <cellStyle name="Normal 5 4 11" xfId="5303" xr:uid="{00000000-0005-0000-0000-00009C210000}"/>
    <cellStyle name="Normal 5 4 11 2" xfId="8653" xr:uid="{00000000-0005-0000-0000-00009D210000}"/>
    <cellStyle name="Normal 5 4 12" xfId="10328" xr:uid="{00000000-0005-0000-0000-00009E210000}"/>
    <cellStyle name="Normal 5 4 13" xfId="6978" xr:uid="{00000000-0005-0000-0000-00009F210000}"/>
    <cellStyle name="Normal 5 4 14" xfId="3418" xr:uid="{00000000-0005-0000-0000-000096210000}"/>
    <cellStyle name="Normal 5 4 2" xfId="2852" xr:uid="{00000000-0005-0000-0000-0000240B0000}"/>
    <cellStyle name="Normal 5 4 2 10" xfId="3651" xr:uid="{00000000-0005-0000-0000-0000A0210000}"/>
    <cellStyle name="Normal 5 4 2 2" xfId="3769" xr:uid="{00000000-0005-0000-0000-0000A1210000}"/>
    <cellStyle name="Normal 5 4 2 2 2" xfId="4005" xr:uid="{00000000-0005-0000-0000-0000A2210000}"/>
    <cellStyle name="Normal 5 4 2 2 2 2" xfId="4972" xr:uid="{00000000-0005-0000-0000-0000A3210000}"/>
    <cellStyle name="Normal 5 4 2 2 2 2 2" xfId="6647" xr:uid="{00000000-0005-0000-0000-0000A4210000}"/>
    <cellStyle name="Normal 5 4 2 2 2 2 2 2" xfId="9997" xr:uid="{00000000-0005-0000-0000-0000A5210000}"/>
    <cellStyle name="Normal 5 4 2 2 2 2 3" xfId="11672" xr:uid="{00000000-0005-0000-0000-0000A6210000}"/>
    <cellStyle name="Normal 5 4 2 2 2 2 4" xfId="8322" xr:uid="{00000000-0005-0000-0000-0000A7210000}"/>
    <cellStyle name="Normal 5 4 2 2 2 3" xfId="5680" xr:uid="{00000000-0005-0000-0000-0000A8210000}"/>
    <cellStyle name="Normal 5 4 2 2 2 3 2" xfId="9030" xr:uid="{00000000-0005-0000-0000-0000A9210000}"/>
    <cellStyle name="Normal 5 4 2 2 2 4" xfId="10705" xr:uid="{00000000-0005-0000-0000-0000AA210000}"/>
    <cellStyle name="Normal 5 4 2 2 2 5" xfId="7355" xr:uid="{00000000-0005-0000-0000-0000AB210000}"/>
    <cellStyle name="Normal 5 4 2 2 3" xfId="4241" xr:uid="{00000000-0005-0000-0000-0000AC210000}"/>
    <cellStyle name="Normal 5 4 2 2 3 2" xfId="5208" xr:uid="{00000000-0005-0000-0000-0000AD210000}"/>
    <cellStyle name="Normal 5 4 2 2 3 2 2" xfId="6883" xr:uid="{00000000-0005-0000-0000-0000AE210000}"/>
    <cellStyle name="Normal 5 4 2 2 3 2 2 2" xfId="10233" xr:uid="{00000000-0005-0000-0000-0000AF210000}"/>
    <cellStyle name="Normal 5 4 2 2 3 2 3" xfId="11908" xr:uid="{00000000-0005-0000-0000-0000B0210000}"/>
    <cellStyle name="Normal 5 4 2 2 3 2 4" xfId="8558" xr:uid="{00000000-0005-0000-0000-0000B1210000}"/>
    <cellStyle name="Normal 5 4 2 2 3 3" xfId="5916" xr:uid="{00000000-0005-0000-0000-0000B2210000}"/>
    <cellStyle name="Normal 5 4 2 2 3 3 2" xfId="9266" xr:uid="{00000000-0005-0000-0000-0000B3210000}"/>
    <cellStyle name="Normal 5 4 2 2 3 4" xfId="10941" xr:uid="{00000000-0005-0000-0000-0000B4210000}"/>
    <cellStyle name="Normal 5 4 2 2 3 5" xfId="7591" xr:uid="{00000000-0005-0000-0000-0000B5210000}"/>
    <cellStyle name="Normal 5 4 2 2 4" xfId="4477" xr:uid="{00000000-0005-0000-0000-0000B6210000}"/>
    <cellStyle name="Normal 5 4 2 2 4 2" xfId="6152" xr:uid="{00000000-0005-0000-0000-0000B7210000}"/>
    <cellStyle name="Normal 5 4 2 2 4 2 2" xfId="9502" xr:uid="{00000000-0005-0000-0000-0000B8210000}"/>
    <cellStyle name="Normal 5 4 2 2 4 3" xfId="11177" xr:uid="{00000000-0005-0000-0000-0000B9210000}"/>
    <cellStyle name="Normal 5 4 2 2 4 4" xfId="7827" xr:uid="{00000000-0005-0000-0000-0000BA210000}"/>
    <cellStyle name="Normal 5 4 2 2 5" xfId="4736" xr:uid="{00000000-0005-0000-0000-0000BB210000}"/>
    <cellStyle name="Normal 5 4 2 2 5 2" xfId="6411" xr:uid="{00000000-0005-0000-0000-0000BC210000}"/>
    <cellStyle name="Normal 5 4 2 2 5 2 2" xfId="9761" xr:uid="{00000000-0005-0000-0000-0000BD210000}"/>
    <cellStyle name="Normal 5 4 2 2 5 3" xfId="11436" xr:uid="{00000000-0005-0000-0000-0000BE210000}"/>
    <cellStyle name="Normal 5 4 2 2 5 4" xfId="8086" xr:uid="{00000000-0005-0000-0000-0000BF210000}"/>
    <cellStyle name="Normal 5 4 2 2 6" xfId="5444" xr:uid="{00000000-0005-0000-0000-0000C0210000}"/>
    <cellStyle name="Normal 5 4 2 2 6 2" xfId="8794" xr:uid="{00000000-0005-0000-0000-0000C1210000}"/>
    <cellStyle name="Normal 5 4 2 2 7" xfId="10469" xr:uid="{00000000-0005-0000-0000-0000C2210000}"/>
    <cellStyle name="Normal 5 4 2 2 8" xfId="7119" xr:uid="{00000000-0005-0000-0000-0000C3210000}"/>
    <cellStyle name="Normal 5 4 2 3" xfId="3887" xr:uid="{00000000-0005-0000-0000-0000C4210000}"/>
    <cellStyle name="Normal 5 4 2 3 2" xfId="4854" xr:uid="{00000000-0005-0000-0000-0000C5210000}"/>
    <cellStyle name="Normal 5 4 2 3 2 2" xfId="6529" xr:uid="{00000000-0005-0000-0000-0000C6210000}"/>
    <cellStyle name="Normal 5 4 2 3 2 2 2" xfId="9879" xr:uid="{00000000-0005-0000-0000-0000C7210000}"/>
    <cellStyle name="Normal 5 4 2 3 2 3" xfId="11554" xr:uid="{00000000-0005-0000-0000-0000C8210000}"/>
    <cellStyle name="Normal 5 4 2 3 2 4" xfId="8204" xr:uid="{00000000-0005-0000-0000-0000C9210000}"/>
    <cellStyle name="Normal 5 4 2 3 3" xfId="5562" xr:uid="{00000000-0005-0000-0000-0000CA210000}"/>
    <cellStyle name="Normal 5 4 2 3 3 2" xfId="8912" xr:uid="{00000000-0005-0000-0000-0000CB210000}"/>
    <cellStyle name="Normal 5 4 2 3 4" xfId="10587" xr:uid="{00000000-0005-0000-0000-0000CC210000}"/>
    <cellStyle name="Normal 5 4 2 3 5" xfId="7237" xr:uid="{00000000-0005-0000-0000-0000CD210000}"/>
    <cellStyle name="Normal 5 4 2 4" xfId="4123" xr:uid="{00000000-0005-0000-0000-0000CE210000}"/>
    <cellStyle name="Normal 5 4 2 4 2" xfId="5090" xr:uid="{00000000-0005-0000-0000-0000CF210000}"/>
    <cellStyle name="Normal 5 4 2 4 2 2" xfId="6765" xr:uid="{00000000-0005-0000-0000-0000D0210000}"/>
    <cellStyle name="Normal 5 4 2 4 2 2 2" xfId="10115" xr:uid="{00000000-0005-0000-0000-0000D1210000}"/>
    <cellStyle name="Normal 5 4 2 4 2 3" xfId="11790" xr:uid="{00000000-0005-0000-0000-0000D2210000}"/>
    <cellStyle name="Normal 5 4 2 4 2 4" xfId="8440" xr:uid="{00000000-0005-0000-0000-0000D3210000}"/>
    <cellStyle name="Normal 5 4 2 4 3" xfId="5798" xr:uid="{00000000-0005-0000-0000-0000D4210000}"/>
    <cellStyle name="Normal 5 4 2 4 3 2" xfId="9148" xr:uid="{00000000-0005-0000-0000-0000D5210000}"/>
    <cellStyle name="Normal 5 4 2 4 4" xfId="10823" xr:uid="{00000000-0005-0000-0000-0000D6210000}"/>
    <cellStyle name="Normal 5 4 2 4 5" xfId="7473" xr:uid="{00000000-0005-0000-0000-0000D7210000}"/>
    <cellStyle name="Normal 5 4 2 5" xfId="4359" xr:uid="{00000000-0005-0000-0000-0000D8210000}"/>
    <cellStyle name="Normal 5 4 2 5 2" xfId="6034" xr:uid="{00000000-0005-0000-0000-0000D9210000}"/>
    <cellStyle name="Normal 5 4 2 5 2 2" xfId="9384" xr:uid="{00000000-0005-0000-0000-0000DA210000}"/>
    <cellStyle name="Normal 5 4 2 5 3" xfId="11059" xr:uid="{00000000-0005-0000-0000-0000DB210000}"/>
    <cellStyle name="Normal 5 4 2 5 4" xfId="7709" xr:uid="{00000000-0005-0000-0000-0000DC210000}"/>
    <cellStyle name="Normal 5 4 2 6" xfId="4618" xr:uid="{00000000-0005-0000-0000-0000DD210000}"/>
    <cellStyle name="Normal 5 4 2 6 2" xfId="6293" xr:uid="{00000000-0005-0000-0000-0000DE210000}"/>
    <cellStyle name="Normal 5 4 2 6 2 2" xfId="9643" xr:uid="{00000000-0005-0000-0000-0000DF210000}"/>
    <cellStyle name="Normal 5 4 2 6 3" xfId="11318" xr:uid="{00000000-0005-0000-0000-0000E0210000}"/>
    <cellStyle name="Normal 5 4 2 6 4" xfId="7968" xr:uid="{00000000-0005-0000-0000-0000E1210000}"/>
    <cellStyle name="Normal 5 4 2 7" xfId="5326" xr:uid="{00000000-0005-0000-0000-0000E2210000}"/>
    <cellStyle name="Normal 5 4 2 7 2" xfId="8676" xr:uid="{00000000-0005-0000-0000-0000E3210000}"/>
    <cellStyle name="Normal 5 4 2 8" xfId="10351" xr:uid="{00000000-0005-0000-0000-0000E4210000}"/>
    <cellStyle name="Normal 5 4 2 9" xfId="7001" xr:uid="{00000000-0005-0000-0000-0000E5210000}"/>
    <cellStyle name="Normal 5 4 3" xfId="3674" xr:uid="{00000000-0005-0000-0000-0000E6210000}"/>
    <cellStyle name="Normal 5 4 3 2" xfId="3792" xr:uid="{00000000-0005-0000-0000-0000E7210000}"/>
    <cellStyle name="Normal 5 4 3 2 2" xfId="4028" xr:uid="{00000000-0005-0000-0000-0000E8210000}"/>
    <cellStyle name="Normal 5 4 3 2 2 2" xfId="4995" xr:uid="{00000000-0005-0000-0000-0000E9210000}"/>
    <cellStyle name="Normal 5 4 3 2 2 2 2" xfId="6670" xr:uid="{00000000-0005-0000-0000-0000EA210000}"/>
    <cellStyle name="Normal 5 4 3 2 2 2 2 2" xfId="10020" xr:uid="{00000000-0005-0000-0000-0000EB210000}"/>
    <cellStyle name="Normal 5 4 3 2 2 2 3" xfId="11695" xr:uid="{00000000-0005-0000-0000-0000EC210000}"/>
    <cellStyle name="Normal 5 4 3 2 2 2 4" xfId="8345" xr:uid="{00000000-0005-0000-0000-0000ED210000}"/>
    <cellStyle name="Normal 5 4 3 2 2 3" xfId="5703" xr:uid="{00000000-0005-0000-0000-0000EE210000}"/>
    <cellStyle name="Normal 5 4 3 2 2 3 2" xfId="9053" xr:uid="{00000000-0005-0000-0000-0000EF210000}"/>
    <cellStyle name="Normal 5 4 3 2 2 4" xfId="10728" xr:uid="{00000000-0005-0000-0000-0000F0210000}"/>
    <cellStyle name="Normal 5 4 3 2 2 5" xfId="7378" xr:uid="{00000000-0005-0000-0000-0000F1210000}"/>
    <cellStyle name="Normal 5 4 3 2 3" xfId="4264" xr:uid="{00000000-0005-0000-0000-0000F2210000}"/>
    <cellStyle name="Normal 5 4 3 2 3 2" xfId="5231" xr:uid="{00000000-0005-0000-0000-0000F3210000}"/>
    <cellStyle name="Normal 5 4 3 2 3 2 2" xfId="6906" xr:uid="{00000000-0005-0000-0000-0000F4210000}"/>
    <cellStyle name="Normal 5 4 3 2 3 2 2 2" xfId="10256" xr:uid="{00000000-0005-0000-0000-0000F5210000}"/>
    <cellStyle name="Normal 5 4 3 2 3 2 3" xfId="11931" xr:uid="{00000000-0005-0000-0000-0000F6210000}"/>
    <cellStyle name="Normal 5 4 3 2 3 2 4" xfId="8581" xr:uid="{00000000-0005-0000-0000-0000F7210000}"/>
    <cellStyle name="Normal 5 4 3 2 3 3" xfId="5939" xr:uid="{00000000-0005-0000-0000-0000F8210000}"/>
    <cellStyle name="Normal 5 4 3 2 3 3 2" xfId="9289" xr:uid="{00000000-0005-0000-0000-0000F9210000}"/>
    <cellStyle name="Normal 5 4 3 2 3 4" xfId="10964" xr:uid="{00000000-0005-0000-0000-0000FA210000}"/>
    <cellStyle name="Normal 5 4 3 2 3 5" xfId="7614" xr:uid="{00000000-0005-0000-0000-0000FB210000}"/>
    <cellStyle name="Normal 5 4 3 2 4" xfId="4500" xr:uid="{00000000-0005-0000-0000-0000FC210000}"/>
    <cellStyle name="Normal 5 4 3 2 4 2" xfId="6175" xr:uid="{00000000-0005-0000-0000-0000FD210000}"/>
    <cellStyle name="Normal 5 4 3 2 4 2 2" xfId="9525" xr:uid="{00000000-0005-0000-0000-0000FE210000}"/>
    <cellStyle name="Normal 5 4 3 2 4 3" xfId="11200" xr:uid="{00000000-0005-0000-0000-0000FF210000}"/>
    <cellStyle name="Normal 5 4 3 2 4 4" xfId="7850" xr:uid="{00000000-0005-0000-0000-000000220000}"/>
    <cellStyle name="Normal 5 4 3 2 5" xfId="4759" xr:uid="{00000000-0005-0000-0000-000001220000}"/>
    <cellStyle name="Normal 5 4 3 2 5 2" xfId="6434" xr:uid="{00000000-0005-0000-0000-000002220000}"/>
    <cellStyle name="Normal 5 4 3 2 5 2 2" xfId="9784" xr:uid="{00000000-0005-0000-0000-000003220000}"/>
    <cellStyle name="Normal 5 4 3 2 5 3" xfId="11459" xr:uid="{00000000-0005-0000-0000-000004220000}"/>
    <cellStyle name="Normal 5 4 3 2 5 4" xfId="8109" xr:uid="{00000000-0005-0000-0000-000005220000}"/>
    <cellStyle name="Normal 5 4 3 2 6" xfId="5467" xr:uid="{00000000-0005-0000-0000-000006220000}"/>
    <cellStyle name="Normal 5 4 3 2 6 2" xfId="8817" xr:uid="{00000000-0005-0000-0000-000007220000}"/>
    <cellStyle name="Normal 5 4 3 2 7" xfId="10492" xr:uid="{00000000-0005-0000-0000-000008220000}"/>
    <cellStyle name="Normal 5 4 3 2 8" xfId="7142" xr:uid="{00000000-0005-0000-0000-000009220000}"/>
    <cellStyle name="Normal 5 4 3 3" xfId="3910" xr:uid="{00000000-0005-0000-0000-00000A220000}"/>
    <cellStyle name="Normal 5 4 3 3 2" xfId="4877" xr:uid="{00000000-0005-0000-0000-00000B220000}"/>
    <cellStyle name="Normal 5 4 3 3 2 2" xfId="6552" xr:uid="{00000000-0005-0000-0000-00000C220000}"/>
    <cellStyle name="Normal 5 4 3 3 2 2 2" xfId="9902" xr:uid="{00000000-0005-0000-0000-00000D220000}"/>
    <cellStyle name="Normal 5 4 3 3 2 3" xfId="11577" xr:uid="{00000000-0005-0000-0000-00000E220000}"/>
    <cellStyle name="Normal 5 4 3 3 2 4" xfId="8227" xr:uid="{00000000-0005-0000-0000-00000F220000}"/>
    <cellStyle name="Normal 5 4 3 3 3" xfId="5585" xr:uid="{00000000-0005-0000-0000-000010220000}"/>
    <cellStyle name="Normal 5 4 3 3 3 2" xfId="8935" xr:uid="{00000000-0005-0000-0000-000011220000}"/>
    <cellStyle name="Normal 5 4 3 3 4" xfId="10610" xr:uid="{00000000-0005-0000-0000-000012220000}"/>
    <cellStyle name="Normal 5 4 3 3 5" xfId="7260" xr:uid="{00000000-0005-0000-0000-000013220000}"/>
    <cellStyle name="Normal 5 4 3 4" xfId="4146" xr:uid="{00000000-0005-0000-0000-000014220000}"/>
    <cellStyle name="Normal 5 4 3 4 2" xfId="5113" xr:uid="{00000000-0005-0000-0000-000015220000}"/>
    <cellStyle name="Normal 5 4 3 4 2 2" xfId="6788" xr:uid="{00000000-0005-0000-0000-000016220000}"/>
    <cellStyle name="Normal 5 4 3 4 2 2 2" xfId="10138" xr:uid="{00000000-0005-0000-0000-000017220000}"/>
    <cellStyle name="Normal 5 4 3 4 2 3" xfId="11813" xr:uid="{00000000-0005-0000-0000-000018220000}"/>
    <cellStyle name="Normal 5 4 3 4 2 4" xfId="8463" xr:uid="{00000000-0005-0000-0000-000019220000}"/>
    <cellStyle name="Normal 5 4 3 4 3" xfId="5821" xr:uid="{00000000-0005-0000-0000-00001A220000}"/>
    <cellStyle name="Normal 5 4 3 4 3 2" xfId="9171" xr:uid="{00000000-0005-0000-0000-00001B220000}"/>
    <cellStyle name="Normal 5 4 3 4 4" xfId="10846" xr:uid="{00000000-0005-0000-0000-00001C220000}"/>
    <cellStyle name="Normal 5 4 3 4 5" xfId="7496" xr:uid="{00000000-0005-0000-0000-00001D220000}"/>
    <cellStyle name="Normal 5 4 3 5" xfId="4382" xr:uid="{00000000-0005-0000-0000-00001E220000}"/>
    <cellStyle name="Normal 5 4 3 5 2" xfId="6057" xr:uid="{00000000-0005-0000-0000-00001F220000}"/>
    <cellStyle name="Normal 5 4 3 5 2 2" xfId="9407" xr:uid="{00000000-0005-0000-0000-000020220000}"/>
    <cellStyle name="Normal 5 4 3 5 3" xfId="11082" xr:uid="{00000000-0005-0000-0000-000021220000}"/>
    <cellStyle name="Normal 5 4 3 5 4" xfId="7732" xr:uid="{00000000-0005-0000-0000-000022220000}"/>
    <cellStyle name="Normal 5 4 3 6" xfId="4641" xr:uid="{00000000-0005-0000-0000-000023220000}"/>
    <cellStyle name="Normal 5 4 3 6 2" xfId="6316" xr:uid="{00000000-0005-0000-0000-000024220000}"/>
    <cellStyle name="Normal 5 4 3 6 2 2" xfId="9666" xr:uid="{00000000-0005-0000-0000-000025220000}"/>
    <cellStyle name="Normal 5 4 3 6 3" xfId="11341" xr:uid="{00000000-0005-0000-0000-000026220000}"/>
    <cellStyle name="Normal 5 4 3 6 4" xfId="7991" xr:uid="{00000000-0005-0000-0000-000027220000}"/>
    <cellStyle name="Normal 5 4 3 7" xfId="5349" xr:uid="{00000000-0005-0000-0000-000028220000}"/>
    <cellStyle name="Normal 5 4 3 7 2" xfId="8699" xr:uid="{00000000-0005-0000-0000-000029220000}"/>
    <cellStyle name="Normal 5 4 3 8" xfId="10374" xr:uid="{00000000-0005-0000-0000-00002A220000}"/>
    <cellStyle name="Normal 5 4 3 9" xfId="7024" xr:uid="{00000000-0005-0000-0000-00002B220000}"/>
    <cellStyle name="Normal 5 4 4" xfId="3698" xr:uid="{00000000-0005-0000-0000-00002C220000}"/>
    <cellStyle name="Normal 5 4 4 2" xfId="3816" xr:uid="{00000000-0005-0000-0000-00002D220000}"/>
    <cellStyle name="Normal 5 4 4 2 2" xfId="4052" xr:uid="{00000000-0005-0000-0000-00002E220000}"/>
    <cellStyle name="Normal 5 4 4 2 2 2" xfId="5019" xr:uid="{00000000-0005-0000-0000-00002F220000}"/>
    <cellStyle name="Normal 5 4 4 2 2 2 2" xfId="6694" xr:uid="{00000000-0005-0000-0000-000030220000}"/>
    <cellStyle name="Normal 5 4 4 2 2 2 2 2" xfId="10044" xr:uid="{00000000-0005-0000-0000-000031220000}"/>
    <cellStyle name="Normal 5 4 4 2 2 2 3" xfId="11719" xr:uid="{00000000-0005-0000-0000-000032220000}"/>
    <cellStyle name="Normal 5 4 4 2 2 2 4" xfId="8369" xr:uid="{00000000-0005-0000-0000-000033220000}"/>
    <cellStyle name="Normal 5 4 4 2 2 3" xfId="5727" xr:uid="{00000000-0005-0000-0000-000034220000}"/>
    <cellStyle name="Normal 5 4 4 2 2 3 2" xfId="9077" xr:uid="{00000000-0005-0000-0000-000035220000}"/>
    <cellStyle name="Normal 5 4 4 2 2 4" xfId="10752" xr:uid="{00000000-0005-0000-0000-000036220000}"/>
    <cellStyle name="Normal 5 4 4 2 2 5" xfId="7402" xr:uid="{00000000-0005-0000-0000-000037220000}"/>
    <cellStyle name="Normal 5 4 4 2 3" xfId="4288" xr:uid="{00000000-0005-0000-0000-000038220000}"/>
    <cellStyle name="Normal 5 4 4 2 3 2" xfId="5255" xr:uid="{00000000-0005-0000-0000-000039220000}"/>
    <cellStyle name="Normal 5 4 4 2 3 2 2" xfId="6930" xr:uid="{00000000-0005-0000-0000-00003A220000}"/>
    <cellStyle name="Normal 5 4 4 2 3 2 2 2" xfId="10280" xr:uid="{00000000-0005-0000-0000-00003B220000}"/>
    <cellStyle name="Normal 5 4 4 2 3 2 3" xfId="11955" xr:uid="{00000000-0005-0000-0000-00003C220000}"/>
    <cellStyle name="Normal 5 4 4 2 3 2 4" xfId="8605" xr:uid="{00000000-0005-0000-0000-00003D220000}"/>
    <cellStyle name="Normal 5 4 4 2 3 3" xfId="5963" xr:uid="{00000000-0005-0000-0000-00003E220000}"/>
    <cellStyle name="Normal 5 4 4 2 3 3 2" xfId="9313" xr:uid="{00000000-0005-0000-0000-00003F220000}"/>
    <cellStyle name="Normal 5 4 4 2 3 4" xfId="10988" xr:uid="{00000000-0005-0000-0000-000040220000}"/>
    <cellStyle name="Normal 5 4 4 2 3 5" xfId="7638" xr:uid="{00000000-0005-0000-0000-000041220000}"/>
    <cellStyle name="Normal 5 4 4 2 4" xfId="4524" xr:uid="{00000000-0005-0000-0000-000042220000}"/>
    <cellStyle name="Normal 5 4 4 2 4 2" xfId="6199" xr:uid="{00000000-0005-0000-0000-000043220000}"/>
    <cellStyle name="Normal 5 4 4 2 4 2 2" xfId="9549" xr:uid="{00000000-0005-0000-0000-000044220000}"/>
    <cellStyle name="Normal 5 4 4 2 4 3" xfId="11224" xr:uid="{00000000-0005-0000-0000-000045220000}"/>
    <cellStyle name="Normal 5 4 4 2 4 4" xfId="7874" xr:uid="{00000000-0005-0000-0000-000046220000}"/>
    <cellStyle name="Normal 5 4 4 2 5" xfId="4783" xr:uid="{00000000-0005-0000-0000-000047220000}"/>
    <cellStyle name="Normal 5 4 4 2 5 2" xfId="6458" xr:uid="{00000000-0005-0000-0000-000048220000}"/>
    <cellStyle name="Normal 5 4 4 2 5 2 2" xfId="9808" xr:uid="{00000000-0005-0000-0000-000049220000}"/>
    <cellStyle name="Normal 5 4 4 2 5 3" xfId="11483" xr:uid="{00000000-0005-0000-0000-00004A220000}"/>
    <cellStyle name="Normal 5 4 4 2 5 4" xfId="8133" xr:uid="{00000000-0005-0000-0000-00004B220000}"/>
    <cellStyle name="Normal 5 4 4 2 6" xfId="5491" xr:uid="{00000000-0005-0000-0000-00004C220000}"/>
    <cellStyle name="Normal 5 4 4 2 6 2" xfId="8841" xr:uid="{00000000-0005-0000-0000-00004D220000}"/>
    <cellStyle name="Normal 5 4 4 2 7" xfId="10516" xr:uid="{00000000-0005-0000-0000-00004E220000}"/>
    <cellStyle name="Normal 5 4 4 2 8" xfId="7166" xr:uid="{00000000-0005-0000-0000-00004F220000}"/>
    <cellStyle name="Normal 5 4 4 3" xfId="3934" xr:uid="{00000000-0005-0000-0000-000050220000}"/>
    <cellStyle name="Normal 5 4 4 3 2" xfId="4901" xr:uid="{00000000-0005-0000-0000-000051220000}"/>
    <cellStyle name="Normal 5 4 4 3 2 2" xfId="6576" xr:uid="{00000000-0005-0000-0000-000052220000}"/>
    <cellStyle name="Normal 5 4 4 3 2 2 2" xfId="9926" xr:uid="{00000000-0005-0000-0000-000053220000}"/>
    <cellStyle name="Normal 5 4 4 3 2 3" xfId="11601" xr:uid="{00000000-0005-0000-0000-000054220000}"/>
    <cellStyle name="Normal 5 4 4 3 2 4" xfId="8251" xr:uid="{00000000-0005-0000-0000-000055220000}"/>
    <cellStyle name="Normal 5 4 4 3 3" xfId="5609" xr:uid="{00000000-0005-0000-0000-000056220000}"/>
    <cellStyle name="Normal 5 4 4 3 3 2" xfId="8959" xr:uid="{00000000-0005-0000-0000-000057220000}"/>
    <cellStyle name="Normal 5 4 4 3 4" xfId="10634" xr:uid="{00000000-0005-0000-0000-000058220000}"/>
    <cellStyle name="Normal 5 4 4 3 5" xfId="7284" xr:uid="{00000000-0005-0000-0000-000059220000}"/>
    <cellStyle name="Normal 5 4 4 4" xfId="4170" xr:uid="{00000000-0005-0000-0000-00005A220000}"/>
    <cellStyle name="Normal 5 4 4 4 2" xfId="5137" xr:uid="{00000000-0005-0000-0000-00005B220000}"/>
    <cellStyle name="Normal 5 4 4 4 2 2" xfId="6812" xr:uid="{00000000-0005-0000-0000-00005C220000}"/>
    <cellStyle name="Normal 5 4 4 4 2 2 2" xfId="10162" xr:uid="{00000000-0005-0000-0000-00005D220000}"/>
    <cellStyle name="Normal 5 4 4 4 2 3" xfId="11837" xr:uid="{00000000-0005-0000-0000-00005E220000}"/>
    <cellStyle name="Normal 5 4 4 4 2 4" xfId="8487" xr:uid="{00000000-0005-0000-0000-00005F220000}"/>
    <cellStyle name="Normal 5 4 4 4 3" xfId="5845" xr:uid="{00000000-0005-0000-0000-000060220000}"/>
    <cellStyle name="Normal 5 4 4 4 3 2" xfId="9195" xr:uid="{00000000-0005-0000-0000-000061220000}"/>
    <cellStyle name="Normal 5 4 4 4 4" xfId="10870" xr:uid="{00000000-0005-0000-0000-000062220000}"/>
    <cellStyle name="Normal 5 4 4 4 5" xfId="7520" xr:uid="{00000000-0005-0000-0000-000063220000}"/>
    <cellStyle name="Normal 5 4 4 5" xfId="4406" xr:uid="{00000000-0005-0000-0000-000064220000}"/>
    <cellStyle name="Normal 5 4 4 5 2" xfId="6081" xr:uid="{00000000-0005-0000-0000-000065220000}"/>
    <cellStyle name="Normal 5 4 4 5 2 2" xfId="9431" xr:uid="{00000000-0005-0000-0000-000066220000}"/>
    <cellStyle name="Normal 5 4 4 5 3" xfId="11106" xr:uid="{00000000-0005-0000-0000-000067220000}"/>
    <cellStyle name="Normal 5 4 4 5 4" xfId="7756" xr:uid="{00000000-0005-0000-0000-000068220000}"/>
    <cellStyle name="Normal 5 4 4 6" xfId="4665" xr:uid="{00000000-0005-0000-0000-000069220000}"/>
    <cellStyle name="Normal 5 4 4 6 2" xfId="6340" xr:uid="{00000000-0005-0000-0000-00006A220000}"/>
    <cellStyle name="Normal 5 4 4 6 2 2" xfId="9690" xr:uid="{00000000-0005-0000-0000-00006B220000}"/>
    <cellStyle name="Normal 5 4 4 6 3" xfId="11365" xr:uid="{00000000-0005-0000-0000-00006C220000}"/>
    <cellStyle name="Normal 5 4 4 6 4" xfId="8015" xr:uid="{00000000-0005-0000-0000-00006D220000}"/>
    <cellStyle name="Normal 5 4 4 7" xfId="5373" xr:uid="{00000000-0005-0000-0000-00006E220000}"/>
    <cellStyle name="Normal 5 4 4 7 2" xfId="8723" xr:uid="{00000000-0005-0000-0000-00006F220000}"/>
    <cellStyle name="Normal 5 4 4 8" xfId="10398" xr:uid="{00000000-0005-0000-0000-000070220000}"/>
    <cellStyle name="Normal 5 4 4 9" xfId="7048" xr:uid="{00000000-0005-0000-0000-000071220000}"/>
    <cellStyle name="Normal 5 4 5" xfId="3722" xr:uid="{00000000-0005-0000-0000-000072220000}"/>
    <cellStyle name="Normal 5 4 5 2" xfId="3840" xr:uid="{00000000-0005-0000-0000-000073220000}"/>
    <cellStyle name="Normal 5 4 5 2 2" xfId="4076" xr:uid="{00000000-0005-0000-0000-000074220000}"/>
    <cellStyle name="Normal 5 4 5 2 2 2" xfId="5043" xr:uid="{00000000-0005-0000-0000-000075220000}"/>
    <cellStyle name="Normal 5 4 5 2 2 2 2" xfId="6718" xr:uid="{00000000-0005-0000-0000-000076220000}"/>
    <cellStyle name="Normal 5 4 5 2 2 2 2 2" xfId="10068" xr:uid="{00000000-0005-0000-0000-000077220000}"/>
    <cellStyle name="Normal 5 4 5 2 2 2 3" xfId="11743" xr:uid="{00000000-0005-0000-0000-000078220000}"/>
    <cellStyle name="Normal 5 4 5 2 2 2 4" xfId="8393" xr:uid="{00000000-0005-0000-0000-000079220000}"/>
    <cellStyle name="Normal 5 4 5 2 2 3" xfId="5751" xr:uid="{00000000-0005-0000-0000-00007A220000}"/>
    <cellStyle name="Normal 5 4 5 2 2 3 2" xfId="9101" xr:uid="{00000000-0005-0000-0000-00007B220000}"/>
    <cellStyle name="Normal 5 4 5 2 2 4" xfId="10776" xr:uid="{00000000-0005-0000-0000-00007C220000}"/>
    <cellStyle name="Normal 5 4 5 2 2 5" xfId="7426" xr:uid="{00000000-0005-0000-0000-00007D220000}"/>
    <cellStyle name="Normal 5 4 5 2 3" xfId="4312" xr:uid="{00000000-0005-0000-0000-00007E220000}"/>
    <cellStyle name="Normal 5 4 5 2 3 2" xfId="5279" xr:uid="{00000000-0005-0000-0000-00007F220000}"/>
    <cellStyle name="Normal 5 4 5 2 3 2 2" xfId="6954" xr:uid="{00000000-0005-0000-0000-000080220000}"/>
    <cellStyle name="Normal 5 4 5 2 3 2 2 2" xfId="10304" xr:uid="{00000000-0005-0000-0000-000081220000}"/>
    <cellStyle name="Normal 5 4 5 2 3 2 3" xfId="11979" xr:uid="{00000000-0005-0000-0000-000082220000}"/>
    <cellStyle name="Normal 5 4 5 2 3 2 4" xfId="8629" xr:uid="{00000000-0005-0000-0000-000083220000}"/>
    <cellStyle name="Normal 5 4 5 2 3 3" xfId="5987" xr:uid="{00000000-0005-0000-0000-000084220000}"/>
    <cellStyle name="Normal 5 4 5 2 3 3 2" xfId="9337" xr:uid="{00000000-0005-0000-0000-000085220000}"/>
    <cellStyle name="Normal 5 4 5 2 3 4" xfId="11012" xr:uid="{00000000-0005-0000-0000-000086220000}"/>
    <cellStyle name="Normal 5 4 5 2 3 5" xfId="7662" xr:uid="{00000000-0005-0000-0000-000087220000}"/>
    <cellStyle name="Normal 5 4 5 2 4" xfId="4548" xr:uid="{00000000-0005-0000-0000-000088220000}"/>
    <cellStyle name="Normal 5 4 5 2 4 2" xfId="6223" xr:uid="{00000000-0005-0000-0000-000089220000}"/>
    <cellStyle name="Normal 5 4 5 2 4 2 2" xfId="9573" xr:uid="{00000000-0005-0000-0000-00008A220000}"/>
    <cellStyle name="Normal 5 4 5 2 4 3" xfId="11248" xr:uid="{00000000-0005-0000-0000-00008B220000}"/>
    <cellStyle name="Normal 5 4 5 2 4 4" xfId="7898" xr:uid="{00000000-0005-0000-0000-00008C220000}"/>
    <cellStyle name="Normal 5 4 5 2 5" xfId="4807" xr:uid="{00000000-0005-0000-0000-00008D220000}"/>
    <cellStyle name="Normal 5 4 5 2 5 2" xfId="6482" xr:uid="{00000000-0005-0000-0000-00008E220000}"/>
    <cellStyle name="Normal 5 4 5 2 5 2 2" xfId="9832" xr:uid="{00000000-0005-0000-0000-00008F220000}"/>
    <cellStyle name="Normal 5 4 5 2 5 3" xfId="11507" xr:uid="{00000000-0005-0000-0000-000090220000}"/>
    <cellStyle name="Normal 5 4 5 2 5 4" xfId="8157" xr:uid="{00000000-0005-0000-0000-000091220000}"/>
    <cellStyle name="Normal 5 4 5 2 6" xfId="5515" xr:uid="{00000000-0005-0000-0000-000092220000}"/>
    <cellStyle name="Normal 5 4 5 2 6 2" xfId="8865" xr:uid="{00000000-0005-0000-0000-000093220000}"/>
    <cellStyle name="Normal 5 4 5 2 7" xfId="10540" xr:uid="{00000000-0005-0000-0000-000094220000}"/>
    <cellStyle name="Normal 5 4 5 2 8" xfId="7190" xr:uid="{00000000-0005-0000-0000-000095220000}"/>
    <cellStyle name="Normal 5 4 5 3" xfId="3958" xr:uid="{00000000-0005-0000-0000-000096220000}"/>
    <cellStyle name="Normal 5 4 5 3 2" xfId="4925" xr:uid="{00000000-0005-0000-0000-000097220000}"/>
    <cellStyle name="Normal 5 4 5 3 2 2" xfId="6600" xr:uid="{00000000-0005-0000-0000-000098220000}"/>
    <cellStyle name="Normal 5 4 5 3 2 2 2" xfId="9950" xr:uid="{00000000-0005-0000-0000-000099220000}"/>
    <cellStyle name="Normal 5 4 5 3 2 3" xfId="11625" xr:uid="{00000000-0005-0000-0000-00009A220000}"/>
    <cellStyle name="Normal 5 4 5 3 2 4" xfId="8275" xr:uid="{00000000-0005-0000-0000-00009B220000}"/>
    <cellStyle name="Normal 5 4 5 3 3" xfId="5633" xr:uid="{00000000-0005-0000-0000-00009C220000}"/>
    <cellStyle name="Normal 5 4 5 3 3 2" xfId="8983" xr:uid="{00000000-0005-0000-0000-00009D220000}"/>
    <cellStyle name="Normal 5 4 5 3 4" xfId="10658" xr:uid="{00000000-0005-0000-0000-00009E220000}"/>
    <cellStyle name="Normal 5 4 5 3 5" xfId="7308" xr:uid="{00000000-0005-0000-0000-00009F220000}"/>
    <cellStyle name="Normal 5 4 5 4" xfId="4194" xr:uid="{00000000-0005-0000-0000-0000A0220000}"/>
    <cellStyle name="Normal 5 4 5 4 2" xfId="5161" xr:uid="{00000000-0005-0000-0000-0000A1220000}"/>
    <cellStyle name="Normal 5 4 5 4 2 2" xfId="6836" xr:uid="{00000000-0005-0000-0000-0000A2220000}"/>
    <cellStyle name="Normal 5 4 5 4 2 2 2" xfId="10186" xr:uid="{00000000-0005-0000-0000-0000A3220000}"/>
    <cellStyle name="Normal 5 4 5 4 2 3" xfId="11861" xr:uid="{00000000-0005-0000-0000-0000A4220000}"/>
    <cellStyle name="Normal 5 4 5 4 2 4" xfId="8511" xr:uid="{00000000-0005-0000-0000-0000A5220000}"/>
    <cellStyle name="Normal 5 4 5 4 3" xfId="5869" xr:uid="{00000000-0005-0000-0000-0000A6220000}"/>
    <cellStyle name="Normal 5 4 5 4 3 2" xfId="9219" xr:uid="{00000000-0005-0000-0000-0000A7220000}"/>
    <cellStyle name="Normal 5 4 5 4 4" xfId="10894" xr:uid="{00000000-0005-0000-0000-0000A8220000}"/>
    <cellStyle name="Normal 5 4 5 4 5" xfId="7544" xr:uid="{00000000-0005-0000-0000-0000A9220000}"/>
    <cellStyle name="Normal 5 4 5 5" xfId="4430" xr:uid="{00000000-0005-0000-0000-0000AA220000}"/>
    <cellStyle name="Normal 5 4 5 5 2" xfId="6105" xr:uid="{00000000-0005-0000-0000-0000AB220000}"/>
    <cellStyle name="Normal 5 4 5 5 2 2" xfId="9455" xr:uid="{00000000-0005-0000-0000-0000AC220000}"/>
    <cellStyle name="Normal 5 4 5 5 3" xfId="11130" xr:uid="{00000000-0005-0000-0000-0000AD220000}"/>
    <cellStyle name="Normal 5 4 5 5 4" xfId="7780" xr:uid="{00000000-0005-0000-0000-0000AE220000}"/>
    <cellStyle name="Normal 5 4 5 6" xfId="4689" xr:uid="{00000000-0005-0000-0000-0000AF220000}"/>
    <cellStyle name="Normal 5 4 5 6 2" xfId="6364" xr:uid="{00000000-0005-0000-0000-0000B0220000}"/>
    <cellStyle name="Normal 5 4 5 6 2 2" xfId="9714" xr:uid="{00000000-0005-0000-0000-0000B1220000}"/>
    <cellStyle name="Normal 5 4 5 6 3" xfId="11389" xr:uid="{00000000-0005-0000-0000-0000B2220000}"/>
    <cellStyle name="Normal 5 4 5 6 4" xfId="8039" xr:uid="{00000000-0005-0000-0000-0000B3220000}"/>
    <cellStyle name="Normal 5 4 5 7" xfId="5397" xr:uid="{00000000-0005-0000-0000-0000B4220000}"/>
    <cellStyle name="Normal 5 4 5 7 2" xfId="8747" xr:uid="{00000000-0005-0000-0000-0000B5220000}"/>
    <cellStyle name="Normal 5 4 5 8" xfId="10422" xr:uid="{00000000-0005-0000-0000-0000B6220000}"/>
    <cellStyle name="Normal 5 4 5 9" xfId="7072" xr:uid="{00000000-0005-0000-0000-0000B7220000}"/>
    <cellStyle name="Normal 5 4 6" xfId="3746" xr:uid="{00000000-0005-0000-0000-0000B8220000}"/>
    <cellStyle name="Normal 5 4 6 2" xfId="3982" xr:uid="{00000000-0005-0000-0000-0000B9220000}"/>
    <cellStyle name="Normal 5 4 6 2 2" xfId="4949" xr:uid="{00000000-0005-0000-0000-0000BA220000}"/>
    <cellStyle name="Normal 5 4 6 2 2 2" xfId="6624" xr:uid="{00000000-0005-0000-0000-0000BB220000}"/>
    <cellStyle name="Normal 5 4 6 2 2 2 2" xfId="9974" xr:uid="{00000000-0005-0000-0000-0000BC220000}"/>
    <cellStyle name="Normal 5 4 6 2 2 3" xfId="11649" xr:uid="{00000000-0005-0000-0000-0000BD220000}"/>
    <cellStyle name="Normal 5 4 6 2 2 4" xfId="8299" xr:uid="{00000000-0005-0000-0000-0000BE220000}"/>
    <cellStyle name="Normal 5 4 6 2 3" xfId="5657" xr:uid="{00000000-0005-0000-0000-0000BF220000}"/>
    <cellStyle name="Normal 5 4 6 2 3 2" xfId="9007" xr:uid="{00000000-0005-0000-0000-0000C0220000}"/>
    <cellStyle name="Normal 5 4 6 2 4" xfId="10682" xr:uid="{00000000-0005-0000-0000-0000C1220000}"/>
    <cellStyle name="Normal 5 4 6 2 5" xfId="7332" xr:uid="{00000000-0005-0000-0000-0000C2220000}"/>
    <cellStyle name="Normal 5 4 6 3" xfId="4218" xr:uid="{00000000-0005-0000-0000-0000C3220000}"/>
    <cellStyle name="Normal 5 4 6 3 2" xfId="5185" xr:uid="{00000000-0005-0000-0000-0000C4220000}"/>
    <cellStyle name="Normal 5 4 6 3 2 2" xfId="6860" xr:uid="{00000000-0005-0000-0000-0000C5220000}"/>
    <cellStyle name="Normal 5 4 6 3 2 2 2" xfId="10210" xr:uid="{00000000-0005-0000-0000-0000C6220000}"/>
    <cellStyle name="Normal 5 4 6 3 2 3" xfId="11885" xr:uid="{00000000-0005-0000-0000-0000C7220000}"/>
    <cellStyle name="Normal 5 4 6 3 2 4" xfId="8535" xr:uid="{00000000-0005-0000-0000-0000C8220000}"/>
    <cellStyle name="Normal 5 4 6 3 3" xfId="5893" xr:uid="{00000000-0005-0000-0000-0000C9220000}"/>
    <cellStyle name="Normal 5 4 6 3 3 2" xfId="9243" xr:uid="{00000000-0005-0000-0000-0000CA220000}"/>
    <cellStyle name="Normal 5 4 6 3 4" xfId="10918" xr:uid="{00000000-0005-0000-0000-0000CB220000}"/>
    <cellStyle name="Normal 5 4 6 3 5" xfId="7568" xr:uid="{00000000-0005-0000-0000-0000CC220000}"/>
    <cellStyle name="Normal 5 4 6 4" xfId="4454" xr:uid="{00000000-0005-0000-0000-0000CD220000}"/>
    <cellStyle name="Normal 5 4 6 4 2" xfId="6129" xr:uid="{00000000-0005-0000-0000-0000CE220000}"/>
    <cellStyle name="Normal 5 4 6 4 2 2" xfId="9479" xr:uid="{00000000-0005-0000-0000-0000CF220000}"/>
    <cellStyle name="Normal 5 4 6 4 3" xfId="11154" xr:uid="{00000000-0005-0000-0000-0000D0220000}"/>
    <cellStyle name="Normal 5 4 6 4 4" xfId="7804" xr:uid="{00000000-0005-0000-0000-0000D1220000}"/>
    <cellStyle name="Normal 5 4 6 5" xfId="4713" xr:uid="{00000000-0005-0000-0000-0000D2220000}"/>
    <cellStyle name="Normal 5 4 6 5 2" xfId="6388" xr:uid="{00000000-0005-0000-0000-0000D3220000}"/>
    <cellStyle name="Normal 5 4 6 5 2 2" xfId="9738" xr:uid="{00000000-0005-0000-0000-0000D4220000}"/>
    <cellStyle name="Normal 5 4 6 5 3" xfId="11413" xr:uid="{00000000-0005-0000-0000-0000D5220000}"/>
    <cellStyle name="Normal 5 4 6 5 4" xfId="8063" xr:uid="{00000000-0005-0000-0000-0000D6220000}"/>
    <cellStyle name="Normal 5 4 6 6" xfId="5421" xr:uid="{00000000-0005-0000-0000-0000D7220000}"/>
    <cellStyle name="Normal 5 4 6 6 2" xfId="8771" xr:uid="{00000000-0005-0000-0000-0000D8220000}"/>
    <cellStyle name="Normal 5 4 6 7" xfId="10446" xr:uid="{00000000-0005-0000-0000-0000D9220000}"/>
    <cellStyle name="Normal 5 4 6 8" xfId="7096" xr:uid="{00000000-0005-0000-0000-0000DA220000}"/>
    <cellStyle name="Normal 5 4 7" xfId="3864" xr:uid="{00000000-0005-0000-0000-0000DB220000}"/>
    <cellStyle name="Normal 5 4 7 2" xfId="4831" xr:uid="{00000000-0005-0000-0000-0000DC220000}"/>
    <cellStyle name="Normal 5 4 7 2 2" xfId="6506" xr:uid="{00000000-0005-0000-0000-0000DD220000}"/>
    <cellStyle name="Normal 5 4 7 2 2 2" xfId="9856" xr:uid="{00000000-0005-0000-0000-0000DE220000}"/>
    <cellStyle name="Normal 5 4 7 2 3" xfId="11531" xr:uid="{00000000-0005-0000-0000-0000DF220000}"/>
    <cellStyle name="Normal 5 4 7 2 4" xfId="8181" xr:uid="{00000000-0005-0000-0000-0000E0220000}"/>
    <cellStyle name="Normal 5 4 7 3" xfId="5539" xr:uid="{00000000-0005-0000-0000-0000E1220000}"/>
    <cellStyle name="Normal 5 4 7 3 2" xfId="8889" xr:uid="{00000000-0005-0000-0000-0000E2220000}"/>
    <cellStyle name="Normal 5 4 7 4" xfId="10564" xr:uid="{00000000-0005-0000-0000-0000E3220000}"/>
    <cellStyle name="Normal 5 4 7 5" xfId="7214" xr:uid="{00000000-0005-0000-0000-0000E4220000}"/>
    <cellStyle name="Normal 5 4 8" xfId="4100" xr:uid="{00000000-0005-0000-0000-0000E5220000}"/>
    <cellStyle name="Normal 5 4 8 2" xfId="5067" xr:uid="{00000000-0005-0000-0000-0000E6220000}"/>
    <cellStyle name="Normal 5 4 8 2 2" xfId="6742" xr:uid="{00000000-0005-0000-0000-0000E7220000}"/>
    <cellStyle name="Normal 5 4 8 2 2 2" xfId="10092" xr:uid="{00000000-0005-0000-0000-0000E8220000}"/>
    <cellStyle name="Normal 5 4 8 2 3" xfId="11767" xr:uid="{00000000-0005-0000-0000-0000E9220000}"/>
    <cellStyle name="Normal 5 4 8 2 4" xfId="8417" xr:uid="{00000000-0005-0000-0000-0000EA220000}"/>
    <cellStyle name="Normal 5 4 8 3" xfId="5775" xr:uid="{00000000-0005-0000-0000-0000EB220000}"/>
    <cellStyle name="Normal 5 4 8 3 2" xfId="9125" xr:uid="{00000000-0005-0000-0000-0000EC220000}"/>
    <cellStyle name="Normal 5 4 8 4" xfId="10800" xr:uid="{00000000-0005-0000-0000-0000ED220000}"/>
    <cellStyle name="Normal 5 4 8 5" xfId="7450" xr:uid="{00000000-0005-0000-0000-0000EE220000}"/>
    <cellStyle name="Normal 5 4 9" xfId="4336" xr:uid="{00000000-0005-0000-0000-0000EF220000}"/>
    <cellStyle name="Normal 5 4 9 2" xfId="4595" xr:uid="{00000000-0005-0000-0000-0000F0220000}"/>
    <cellStyle name="Normal 5 4 9 2 2" xfId="6270" xr:uid="{00000000-0005-0000-0000-0000F1220000}"/>
    <cellStyle name="Normal 5 4 9 2 2 2" xfId="9620" xr:uid="{00000000-0005-0000-0000-0000F2220000}"/>
    <cellStyle name="Normal 5 4 9 2 3" xfId="11295" xr:uid="{00000000-0005-0000-0000-0000F3220000}"/>
    <cellStyle name="Normal 5 4 9 2 4" xfId="7945" xr:uid="{00000000-0005-0000-0000-0000F4220000}"/>
    <cellStyle name="Normal 5 4 9 3" xfId="6011" xr:uid="{00000000-0005-0000-0000-0000F5220000}"/>
    <cellStyle name="Normal 5 4 9 3 2" xfId="9361" xr:uid="{00000000-0005-0000-0000-0000F6220000}"/>
    <cellStyle name="Normal 5 4 9 4" xfId="11036" xr:uid="{00000000-0005-0000-0000-0000F7220000}"/>
    <cellStyle name="Normal 5 4 9 5" xfId="7686" xr:uid="{00000000-0005-0000-0000-0000F8220000}"/>
    <cellStyle name="Normal 5 5" xfId="2853" xr:uid="{00000000-0005-0000-0000-0000250B0000}"/>
    <cellStyle name="Normal 5 6" xfId="2854" xr:uid="{00000000-0005-0000-0000-0000260B0000}"/>
    <cellStyle name="Normal 5 7" xfId="2855" xr:uid="{00000000-0005-0000-0000-0000270B0000}"/>
    <cellStyle name="Normal 5 8" xfId="3403" xr:uid="{00000000-0005-0000-0000-000090210000}"/>
    <cellStyle name="Normal 6" xfId="2856" xr:uid="{00000000-0005-0000-0000-0000280B0000}"/>
    <cellStyle name="Normal 6 2" xfId="2857" xr:uid="{00000000-0005-0000-0000-0000290B0000}"/>
    <cellStyle name="Normal 6 2 2" xfId="2858" xr:uid="{00000000-0005-0000-0000-00002A0B0000}"/>
    <cellStyle name="Normal 6 2 2 3" xfId="2859" xr:uid="{00000000-0005-0000-0000-00002B0B0000}"/>
    <cellStyle name="Normal 6 2 3" xfId="2860" xr:uid="{00000000-0005-0000-0000-00002C0B0000}"/>
    <cellStyle name="Normal 6 2 3 2" xfId="2861" xr:uid="{00000000-0005-0000-0000-00002D0B0000}"/>
    <cellStyle name="Normal 6 2 3 2 2" xfId="2862" xr:uid="{00000000-0005-0000-0000-00002E0B0000}"/>
    <cellStyle name="Normal 6 2 3 3" xfId="2863" xr:uid="{00000000-0005-0000-0000-00002F0B0000}"/>
    <cellStyle name="Normal 6 3" xfId="2864" xr:uid="{00000000-0005-0000-0000-0000300B0000}"/>
    <cellStyle name="Normal 6 3 2" xfId="2865" xr:uid="{00000000-0005-0000-0000-0000310B0000}"/>
    <cellStyle name="Normal 6 3 3" xfId="2866" xr:uid="{00000000-0005-0000-0000-0000320B0000}"/>
    <cellStyle name="Normal 6 4" xfId="2867" xr:uid="{00000000-0005-0000-0000-0000330B0000}"/>
    <cellStyle name="Normal 6 4 2" xfId="2868" xr:uid="{00000000-0005-0000-0000-0000340B0000}"/>
    <cellStyle name="Normal 6 4 2 2" xfId="2869" xr:uid="{00000000-0005-0000-0000-0000350B0000}"/>
    <cellStyle name="Normal 6 4 3" xfId="2870" xr:uid="{00000000-0005-0000-0000-0000360B0000}"/>
    <cellStyle name="Normal 6 5" xfId="2871" xr:uid="{00000000-0005-0000-0000-0000370B0000}"/>
    <cellStyle name="Normal 6 5 10" xfId="4573" xr:uid="{00000000-0005-0000-0000-000003230000}"/>
    <cellStyle name="Normal 6 5 10 2" xfId="6248" xr:uid="{00000000-0005-0000-0000-000004230000}"/>
    <cellStyle name="Normal 6 5 10 2 2" xfId="9598" xr:uid="{00000000-0005-0000-0000-000005230000}"/>
    <cellStyle name="Normal 6 5 10 3" xfId="11273" xr:uid="{00000000-0005-0000-0000-000006230000}"/>
    <cellStyle name="Normal 6 5 10 4" xfId="7923" xr:uid="{00000000-0005-0000-0000-000007230000}"/>
    <cellStyle name="Normal 6 5 11" xfId="5304" xr:uid="{00000000-0005-0000-0000-000008230000}"/>
    <cellStyle name="Normal 6 5 11 2" xfId="8654" xr:uid="{00000000-0005-0000-0000-000009230000}"/>
    <cellStyle name="Normal 6 5 12" xfId="10329" xr:uid="{00000000-0005-0000-0000-00000A230000}"/>
    <cellStyle name="Normal 6 5 13" xfId="6979" xr:uid="{00000000-0005-0000-0000-00000B230000}"/>
    <cellStyle name="Normal 6 5 14" xfId="3419" xr:uid="{00000000-0005-0000-0000-000002230000}"/>
    <cellStyle name="Normal 6 5 2" xfId="3652" xr:uid="{00000000-0005-0000-0000-00000C230000}"/>
    <cellStyle name="Normal 6 5 2 2" xfId="3770" xr:uid="{00000000-0005-0000-0000-00000D230000}"/>
    <cellStyle name="Normal 6 5 2 2 2" xfId="4006" xr:uid="{00000000-0005-0000-0000-00000E230000}"/>
    <cellStyle name="Normal 6 5 2 2 2 2" xfId="4973" xr:uid="{00000000-0005-0000-0000-00000F230000}"/>
    <cellStyle name="Normal 6 5 2 2 2 2 2" xfId="6648" xr:uid="{00000000-0005-0000-0000-000010230000}"/>
    <cellStyle name="Normal 6 5 2 2 2 2 2 2" xfId="9998" xr:uid="{00000000-0005-0000-0000-000011230000}"/>
    <cellStyle name="Normal 6 5 2 2 2 2 3" xfId="11673" xr:uid="{00000000-0005-0000-0000-000012230000}"/>
    <cellStyle name="Normal 6 5 2 2 2 2 4" xfId="8323" xr:uid="{00000000-0005-0000-0000-000013230000}"/>
    <cellStyle name="Normal 6 5 2 2 2 3" xfId="5681" xr:uid="{00000000-0005-0000-0000-000014230000}"/>
    <cellStyle name="Normal 6 5 2 2 2 3 2" xfId="9031" xr:uid="{00000000-0005-0000-0000-000015230000}"/>
    <cellStyle name="Normal 6 5 2 2 2 4" xfId="10706" xr:uid="{00000000-0005-0000-0000-000016230000}"/>
    <cellStyle name="Normal 6 5 2 2 2 5" xfId="7356" xr:uid="{00000000-0005-0000-0000-000017230000}"/>
    <cellStyle name="Normal 6 5 2 2 3" xfId="4242" xr:uid="{00000000-0005-0000-0000-000018230000}"/>
    <cellStyle name="Normal 6 5 2 2 3 2" xfId="5209" xr:uid="{00000000-0005-0000-0000-000019230000}"/>
    <cellStyle name="Normal 6 5 2 2 3 2 2" xfId="6884" xr:uid="{00000000-0005-0000-0000-00001A230000}"/>
    <cellStyle name="Normal 6 5 2 2 3 2 2 2" xfId="10234" xr:uid="{00000000-0005-0000-0000-00001B230000}"/>
    <cellStyle name="Normal 6 5 2 2 3 2 3" xfId="11909" xr:uid="{00000000-0005-0000-0000-00001C230000}"/>
    <cellStyle name="Normal 6 5 2 2 3 2 4" xfId="8559" xr:uid="{00000000-0005-0000-0000-00001D230000}"/>
    <cellStyle name="Normal 6 5 2 2 3 3" xfId="5917" xr:uid="{00000000-0005-0000-0000-00001E230000}"/>
    <cellStyle name="Normal 6 5 2 2 3 3 2" xfId="9267" xr:uid="{00000000-0005-0000-0000-00001F230000}"/>
    <cellStyle name="Normal 6 5 2 2 3 4" xfId="10942" xr:uid="{00000000-0005-0000-0000-000020230000}"/>
    <cellStyle name="Normal 6 5 2 2 3 5" xfId="7592" xr:uid="{00000000-0005-0000-0000-000021230000}"/>
    <cellStyle name="Normal 6 5 2 2 4" xfId="4478" xr:uid="{00000000-0005-0000-0000-000022230000}"/>
    <cellStyle name="Normal 6 5 2 2 4 2" xfId="6153" xr:uid="{00000000-0005-0000-0000-000023230000}"/>
    <cellStyle name="Normal 6 5 2 2 4 2 2" xfId="9503" xr:uid="{00000000-0005-0000-0000-000024230000}"/>
    <cellStyle name="Normal 6 5 2 2 4 3" xfId="11178" xr:uid="{00000000-0005-0000-0000-000025230000}"/>
    <cellStyle name="Normal 6 5 2 2 4 4" xfId="7828" xr:uid="{00000000-0005-0000-0000-000026230000}"/>
    <cellStyle name="Normal 6 5 2 2 5" xfId="4737" xr:uid="{00000000-0005-0000-0000-000027230000}"/>
    <cellStyle name="Normal 6 5 2 2 5 2" xfId="6412" xr:uid="{00000000-0005-0000-0000-000028230000}"/>
    <cellStyle name="Normal 6 5 2 2 5 2 2" xfId="9762" xr:uid="{00000000-0005-0000-0000-000029230000}"/>
    <cellStyle name="Normal 6 5 2 2 5 3" xfId="11437" xr:uid="{00000000-0005-0000-0000-00002A230000}"/>
    <cellStyle name="Normal 6 5 2 2 5 4" xfId="8087" xr:uid="{00000000-0005-0000-0000-00002B230000}"/>
    <cellStyle name="Normal 6 5 2 2 6" xfId="5445" xr:uid="{00000000-0005-0000-0000-00002C230000}"/>
    <cellStyle name="Normal 6 5 2 2 6 2" xfId="8795" xr:uid="{00000000-0005-0000-0000-00002D230000}"/>
    <cellStyle name="Normal 6 5 2 2 7" xfId="10470" xr:uid="{00000000-0005-0000-0000-00002E230000}"/>
    <cellStyle name="Normal 6 5 2 2 8" xfId="7120" xr:uid="{00000000-0005-0000-0000-00002F230000}"/>
    <cellStyle name="Normal 6 5 2 3" xfId="3888" xr:uid="{00000000-0005-0000-0000-000030230000}"/>
    <cellStyle name="Normal 6 5 2 3 2" xfId="4855" xr:uid="{00000000-0005-0000-0000-000031230000}"/>
    <cellStyle name="Normal 6 5 2 3 2 2" xfId="6530" xr:uid="{00000000-0005-0000-0000-000032230000}"/>
    <cellStyle name="Normal 6 5 2 3 2 2 2" xfId="9880" xr:uid="{00000000-0005-0000-0000-000033230000}"/>
    <cellStyle name="Normal 6 5 2 3 2 3" xfId="11555" xr:uid="{00000000-0005-0000-0000-000034230000}"/>
    <cellStyle name="Normal 6 5 2 3 2 4" xfId="8205" xr:uid="{00000000-0005-0000-0000-000035230000}"/>
    <cellStyle name="Normal 6 5 2 3 3" xfId="5563" xr:uid="{00000000-0005-0000-0000-000036230000}"/>
    <cellStyle name="Normal 6 5 2 3 3 2" xfId="8913" xr:uid="{00000000-0005-0000-0000-000037230000}"/>
    <cellStyle name="Normal 6 5 2 3 4" xfId="10588" xr:uid="{00000000-0005-0000-0000-000038230000}"/>
    <cellStyle name="Normal 6 5 2 3 5" xfId="7238" xr:uid="{00000000-0005-0000-0000-000039230000}"/>
    <cellStyle name="Normal 6 5 2 4" xfId="4124" xr:uid="{00000000-0005-0000-0000-00003A230000}"/>
    <cellStyle name="Normal 6 5 2 4 2" xfId="5091" xr:uid="{00000000-0005-0000-0000-00003B230000}"/>
    <cellStyle name="Normal 6 5 2 4 2 2" xfId="6766" xr:uid="{00000000-0005-0000-0000-00003C230000}"/>
    <cellStyle name="Normal 6 5 2 4 2 2 2" xfId="10116" xr:uid="{00000000-0005-0000-0000-00003D230000}"/>
    <cellStyle name="Normal 6 5 2 4 2 3" xfId="11791" xr:uid="{00000000-0005-0000-0000-00003E230000}"/>
    <cellStyle name="Normal 6 5 2 4 2 4" xfId="8441" xr:uid="{00000000-0005-0000-0000-00003F230000}"/>
    <cellStyle name="Normal 6 5 2 4 3" xfId="5799" xr:uid="{00000000-0005-0000-0000-000040230000}"/>
    <cellStyle name="Normal 6 5 2 4 3 2" xfId="9149" xr:uid="{00000000-0005-0000-0000-000041230000}"/>
    <cellStyle name="Normal 6 5 2 4 4" xfId="10824" xr:uid="{00000000-0005-0000-0000-000042230000}"/>
    <cellStyle name="Normal 6 5 2 4 5" xfId="7474" xr:uid="{00000000-0005-0000-0000-000043230000}"/>
    <cellStyle name="Normal 6 5 2 5" xfId="4360" xr:uid="{00000000-0005-0000-0000-000044230000}"/>
    <cellStyle name="Normal 6 5 2 5 2" xfId="6035" xr:uid="{00000000-0005-0000-0000-000045230000}"/>
    <cellStyle name="Normal 6 5 2 5 2 2" xfId="9385" xr:uid="{00000000-0005-0000-0000-000046230000}"/>
    <cellStyle name="Normal 6 5 2 5 3" xfId="11060" xr:uid="{00000000-0005-0000-0000-000047230000}"/>
    <cellStyle name="Normal 6 5 2 5 4" xfId="7710" xr:uid="{00000000-0005-0000-0000-000048230000}"/>
    <cellStyle name="Normal 6 5 2 6" xfId="4619" xr:uid="{00000000-0005-0000-0000-000049230000}"/>
    <cellStyle name="Normal 6 5 2 6 2" xfId="6294" xr:uid="{00000000-0005-0000-0000-00004A230000}"/>
    <cellStyle name="Normal 6 5 2 6 2 2" xfId="9644" xr:uid="{00000000-0005-0000-0000-00004B230000}"/>
    <cellStyle name="Normal 6 5 2 6 3" xfId="11319" xr:uid="{00000000-0005-0000-0000-00004C230000}"/>
    <cellStyle name="Normal 6 5 2 6 4" xfId="7969" xr:uid="{00000000-0005-0000-0000-00004D230000}"/>
    <cellStyle name="Normal 6 5 2 7" xfId="5327" xr:uid="{00000000-0005-0000-0000-00004E230000}"/>
    <cellStyle name="Normal 6 5 2 7 2" xfId="8677" xr:uid="{00000000-0005-0000-0000-00004F230000}"/>
    <cellStyle name="Normal 6 5 2 8" xfId="10352" xr:uid="{00000000-0005-0000-0000-000050230000}"/>
    <cellStyle name="Normal 6 5 2 9" xfId="7002" xr:uid="{00000000-0005-0000-0000-000051230000}"/>
    <cellStyle name="Normal 6 5 3" xfId="3675" xr:uid="{00000000-0005-0000-0000-000052230000}"/>
    <cellStyle name="Normal 6 5 3 2" xfId="3793" xr:uid="{00000000-0005-0000-0000-000053230000}"/>
    <cellStyle name="Normal 6 5 3 2 2" xfId="4029" xr:uid="{00000000-0005-0000-0000-000054230000}"/>
    <cellStyle name="Normal 6 5 3 2 2 2" xfId="4996" xr:uid="{00000000-0005-0000-0000-000055230000}"/>
    <cellStyle name="Normal 6 5 3 2 2 2 2" xfId="6671" xr:uid="{00000000-0005-0000-0000-000056230000}"/>
    <cellStyle name="Normal 6 5 3 2 2 2 2 2" xfId="10021" xr:uid="{00000000-0005-0000-0000-000057230000}"/>
    <cellStyle name="Normal 6 5 3 2 2 2 3" xfId="11696" xr:uid="{00000000-0005-0000-0000-000058230000}"/>
    <cellStyle name="Normal 6 5 3 2 2 2 4" xfId="8346" xr:uid="{00000000-0005-0000-0000-000059230000}"/>
    <cellStyle name="Normal 6 5 3 2 2 3" xfId="5704" xr:uid="{00000000-0005-0000-0000-00005A230000}"/>
    <cellStyle name="Normal 6 5 3 2 2 3 2" xfId="9054" xr:uid="{00000000-0005-0000-0000-00005B230000}"/>
    <cellStyle name="Normal 6 5 3 2 2 4" xfId="10729" xr:uid="{00000000-0005-0000-0000-00005C230000}"/>
    <cellStyle name="Normal 6 5 3 2 2 5" xfId="7379" xr:uid="{00000000-0005-0000-0000-00005D230000}"/>
    <cellStyle name="Normal 6 5 3 2 3" xfId="4265" xr:uid="{00000000-0005-0000-0000-00005E230000}"/>
    <cellStyle name="Normal 6 5 3 2 3 2" xfId="5232" xr:uid="{00000000-0005-0000-0000-00005F230000}"/>
    <cellStyle name="Normal 6 5 3 2 3 2 2" xfId="6907" xr:uid="{00000000-0005-0000-0000-000060230000}"/>
    <cellStyle name="Normal 6 5 3 2 3 2 2 2" xfId="10257" xr:uid="{00000000-0005-0000-0000-000061230000}"/>
    <cellStyle name="Normal 6 5 3 2 3 2 3" xfId="11932" xr:uid="{00000000-0005-0000-0000-000062230000}"/>
    <cellStyle name="Normal 6 5 3 2 3 2 4" xfId="8582" xr:uid="{00000000-0005-0000-0000-000063230000}"/>
    <cellStyle name="Normal 6 5 3 2 3 3" xfId="5940" xr:uid="{00000000-0005-0000-0000-000064230000}"/>
    <cellStyle name="Normal 6 5 3 2 3 3 2" xfId="9290" xr:uid="{00000000-0005-0000-0000-000065230000}"/>
    <cellStyle name="Normal 6 5 3 2 3 4" xfId="10965" xr:uid="{00000000-0005-0000-0000-000066230000}"/>
    <cellStyle name="Normal 6 5 3 2 3 5" xfId="7615" xr:uid="{00000000-0005-0000-0000-000067230000}"/>
    <cellStyle name="Normal 6 5 3 2 4" xfId="4501" xr:uid="{00000000-0005-0000-0000-000068230000}"/>
    <cellStyle name="Normal 6 5 3 2 4 2" xfId="6176" xr:uid="{00000000-0005-0000-0000-000069230000}"/>
    <cellStyle name="Normal 6 5 3 2 4 2 2" xfId="9526" xr:uid="{00000000-0005-0000-0000-00006A230000}"/>
    <cellStyle name="Normal 6 5 3 2 4 3" xfId="11201" xr:uid="{00000000-0005-0000-0000-00006B230000}"/>
    <cellStyle name="Normal 6 5 3 2 4 4" xfId="7851" xr:uid="{00000000-0005-0000-0000-00006C230000}"/>
    <cellStyle name="Normal 6 5 3 2 5" xfId="4760" xr:uid="{00000000-0005-0000-0000-00006D230000}"/>
    <cellStyle name="Normal 6 5 3 2 5 2" xfId="6435" xr:uid="{00000000-0005-0000-0000-00006E230000}"/>
    <cellStyle name="Normal 6 5 3 2 5 2 2" xfId="9785" xr:uid="{00000000-0005-0000-0000-00006F230000}"/>
    <cellStyle name="Normal 6 5 3 2 5 3" xfId="11460" xr:uid="{00000000-0005-0000-0000-000070230000}"/>
    <cellStyle name="Normal 6 5 3 2 5 4" xfId="8110" xr:uid="{00000000-0005-0000-0000-000071230000}"/>
    <cellStyle name="Normal 6 5 3 2 6" xfId="5468" xr:uid="{00000000-0005-0000-0000-000072230000}"/>
    <cellStyle name="Normal 6 5 3 2 6 2" xfId="8818" xr:uid="{00000000-0005-0000-0000-000073230000}"/>
    <cellStyle name="Normal 6 5 3 2 7" xfId="10493" xr:uid="{00000000-0005-0000-0000-000074230000}"/>
    <cellStyle name="Normal 6 5 3 2 8" xfId="7143" xr:uid="{00000000-0005-0000-0000-000075230000}"/>
    <cellStyle name="Normal 6 5 3 3" xfId="3911" xr:uid="{00000000-0005-0000-0000-000076230000}"/>
    <cellStyle name="Normal 6 5 3 3 2" xfId="4878" xr:uid="{00000000-0005-0000-0000-000077230000}"/>
    <cellStyle name="Normal 6 5 3 3 2 2" xfId="6553" xr:uid="{00000000-0005-0000-0000-000078230000}"/>
    <cellStyle name="Normal 6 5 3 3 2 2 2" xfId="9903" xr:uid="{00000000-0005-0000-0000-000079230000}"/>
    <cellStyle name="Normal 6 5 3 3 2 3" xfId="11578" xr:uid="{00000000-0005-0000-0000-00007A230000}"/>
    <cellStyle name="Normal 6 5 3 3 2 4" xfId="8228" xr:uid="{00000000-0005-0000-0000-00007B230000}"/>
    <cellStyle name="Normal 6 5 3 3 3" xfId="5586" xr:uid="{00000000-0005-0000-0000-00007C230000}"/>
    <cellStyle name="Normal 6 5 3 3 3 2" xfId="8936" xr:uid="{00000000-0005-0000-0000-00007D230000}"/>
    <cellStyle name="Normal 6 5 3 3 4" xfId="10611" xr:uid="{00000000-0005-0000-0000-00007E230000}"/>
    <cellStyle name="Normal 6 5 3 3 5" xfId="7261" xr:uid="{00000000-0005-0000-0000-00007F230000}"/>
    <cellStyle name="Normal 6 5 3 4" xfId="4147" xr:uid="{00000000-0005-0000-0000-000080230000}"/>
    <cellStyle name="Normal 6 5 3 4 2" xfId="5114" xr:uid="{00000000-0005-0000-0000-000081230000}"/>
    <cellStyle name="Normal 6 5 3 4 2 2" xfId="6789" xr:uid="{00000000-0005-0000-0000-000082230000}"/>
    <cellStyle name="Normal 6 5 3 4 2 2 2" xfId="10139" xr:uid="{00000000-0005-0000-0000-000083230000}"/>
    <cellStyle name="Normal 6 5 3 4 2 3" xfId="11814" xr:uid="{00000000-0005-0000-0000-000084230000}"/>
    <cellStyle name="Normal 6 5 3 4 2 4" xfId="8464" xr:uid="{00000000-0005-0000-0000-000085230000}"/>
    <cellStyle name="Normal 6 5 3 4 3" xfId="5822" xr:uid="{00000000-0005-0000-0000-000086230000}"/>
    <cellStyle name="Normal 6 5 3 4 3 2" xfId="9172" xr:uid="{00000000-0005-0000-0000-000087230000}"/>
    <cellStyle name="Normal 6 5 3 4 4" xfId="10847" xr:uid="{00000000-0005-0000-0000-000088230000}"/>
    <cellStyle name="Normal 6 5 3 4 5" xfId="7497" xr:uid="{00000000-0005-0000-0000-000089230000}"/>
    <cellStyle name="Normal 6 5 3 5" xfId="4383" xr:uid="{00000000-0005-0000-0000-00008A230000}"/>
    <cellStyle name="Normal 6 5 3 5 2" xfId="6058" xr:uid="{00000000-0005-0000-0000-00008B230000}"/>
    <cellStyle name="Normal 6 5 3 5 2 2" xfId="9408" xr:uid="{00000000-0005-0000-0000-00008C230000}"/>
    <cellStyle name="Normal 6 5 3 5 3" xfId="11083" xr:uid="{00000000-0005-0000-0000-00008D230000}"/>
    <cellStyle name="Normal 6 5 3 5 4" xfId="7733" xr:uid="{00000000-0005-0000-0000-00008E230000}"/>
    <cellStyle name="Normal 6 5 3 6" xfId="4642" xr:uid="{00000000-0005-0000-0000-00008F230000}"/>
    <cellStyle name="Normal 6 5 3 6 2" xfId="6317" xr:uid="{00000000-0005-0000-0000-000090230000}"/>
    <cellStyle name="Normal 6 5 3 6 2 2" xfId="9667" xr:uid="{00000000-0005-0000-0000-000091230000}"/>
    <cellStyle name="Normal 6 5 3 6 3" xfId="11342" xr:uid="{00000000-0005-0000-0000-000092230000}"/>
    <cellStyle name="Normal 6 5 3 6 4" xfId="7992" xr:uid="{00000000-0005-0000-0000-000093230000}"/>
    <cellStyle name="Normal 6 5 3 7" xfId="5350" xr:uid="{00000000-0005-0000-0000-000094230000}"/>
    <cellStyle name="Normal 6 5 3 7 2" xfId="8700" xr:uid="{00000000-0005-0000-0000-000095230000}"/>
    <cellStyle name="Normal 6 5 3 8" xfId="10375" xr:uid="{00000000-0005-0000-0000-000096230000}"/>
    <cellStyle name="Normal 6 5 3 9" xfId="7025" xr:uid="{00000000-0005-0000-0000-000097230000}"/>
    <cellStyle name="Normal 6 5 4" xfId="3699" xr:uid="{00000000-0005-0000-0000-000098230000}"/>
    <cellStyle name="Normal 6 5 4 2" xfId="3817" xr:uid="{00000000-0005-0000-0000-000099230000}"/>
    <cellStyle name="Normal 6 5 4 2 2" xfId="4053" xr:uid="{00000000-0005-0000-0000-00009A230000}"/>
    <cellStyle name="Normal 6 5 4 2 2 2" xfId="5020" xr:uid="{00000000-0005-0000-0000-00009B230000}"/>
    <cellStyle name="Normal 6 5 4 2 2 2 2" xfId="6695" xr:uid="{00000000-0005-0000-0000-00009C230000}"/>
    <cellStyle name="Normal 6 5 4 2 2 2 2 2" xfId="10045" xr:uid="{00000000-0005-0000-0000-00009D230000}"/>
    <cellStyle name="Normal 6 5 4 2 2 2 3" xfId="11720" xr:uid="{00000000-0005-0000-0000-00009E230000}"/>
    <cellStyle name="Normal 6 5 4 2 2 2 4" xfId="8370" xr:uid="{00000000-0005-0000-0000-00009F230000}"/>
    <cellStyle name="Normal 6 5 4 2 2 3" xfId="5728" xr:uid="{00000000-0005-0000-0000-0000A0230000}"/>
    <cellStyle name="Normal 6 5 4 2 2 3 2" xfId="9078" xr:uid="{00000000-0005-0000-0000-0000A1230000}"/>
    <cellStyle name="Normal 6 5 4 2 2 4" xfId="10753" xr:uid="{00000000-0005-0000-0000-0000A2230000}"/>
    <cellStyle name="Normal 6 5 4 2 2 5" xfId="7403" xr:uid="{00000000-0005-0000-0000-0000A3230000}"/>
    <cellStyle name="Normal 6 5 4 2 3" xfId="4289" xr:uid="{00000000-0005-0000-0000-0000A4230000}"/>
    <cellStyle name="Normal 6 5 4 2 3 2" xfId="5256" xr:uid="{00000000-0005-0000-0000-0000A5230000}"/>
    <cellStyle name="Normal 6 5 4 2 3 2 2" xfId="6931" xr:uid="{00000000-0005-0000-0000-0000A6230000}"/>
    <cellStyle name="Normal 6 5 4 2 3 2 2 2" xfId="10281" xr:uid="{00000000-0005-0000-0000-0000A7230000}"/>
    <cellStyle name="Normal 6 5 4 2 3 2 3" xfId="11956" xr:uid="{00000000-0005-0000-0000-0000A8230000}"/>
    <cellStyle name="Normal 6 5 4 2 3 2 4" xfId="8606" xr:uid="{00000000-0005-0000-0000-0000A9230000}"/>
    <cellStyle name="Normal 6 5 4 2 3 3" xfId="5964" xr:uid="{00000000-0005-0000-0000-0000AA230000}"/>
    <cellStyle name="Normal 6 5 4 2 3 3 2" xfId="9314" xr:uid="{00000000-0005-0000-0000-0000AB230000}"/>
    <cellStyle name="Normal 6 5 4 2 3 4" xfId="10989" xr:uid="{00000000-0005-0000-0000-0000AC230000}"/>
    <cellStyle name="Normal 6 5 4 2 3 5" xfId="7639" xr:uid="{00000000-0005-0000-0000-0000AD230000}"/>
    <cellStyle name="Normal 6 5 4 2 4" xfId="4525" xr:uid="{00000000-0005-0000-0000-0000AE230000}"/>
    <cellStyle name="Normal 6 5 4 2 4 2" xfId="6200" xr:uid="{00000000-0005-0000-0000-0000AF230000}"/>
    <cellStyle name="Normal 6 5 4 2 4 2 2" xfId="9550" xr:uid="{00000000-0005-0000-0000-0000B0230000}"/>
    <cellStyle name="Normal 6 5 4 2 4 3" xfId="11225" xr:uid="{00000000-0005-0000-0000-0000B1230000}"/>
    <cellStyle name="Normal 6 5 4 2 4 4" xfId="7875" xr:uid="{00000000-0005-0000-0000-0000B2230000}"/>
    <cellStyle name="Normal 6 5 4 2 5" xfId="4784" xr:uid="{00000000-0005-0000-0000-0000B3230000}"/>
    <cellStyle name="Normal 6 5 4 2 5 2" xfId="6459" xr:uid="{00000000-0005-0000-0000-0000B4230000}"/>
    <cellStyle name="Normal 6 5 4 2 5 2 2" xfId="9809" xr:uid="{00000000-0005-0000-0000-0000B5230000}"/>
    <cellStyle name="Normal 6 5 4 2 5 3" xfId="11484" xr:uid="{00000000-0005-0000-0000-0000B6230000}"/>
    <cellStyle name="Normal 6 5 4 2 5 4" xfId="8134" xr:uid="{00000000-0005-0000-0000-0000B7230000}"/>
    <cellStyle name="Normal 6 5 4 2 6" xfId="5492" xr:uid="{00000000-0005-0000-0000-0000B8230000}"/>
    <cellStyle name="Normal 6 5 4 2 6 2" xfId="8842" xr:uid="{00000000-0005-0000-0000-0000B9230000}"/>
    <cellStyle name="Normal 6 5 4 2 7" xfId="10517" xr:uid="{00000000-0005-0000-0000-0000BA230000}"/>
    <cellStyle name="Normal 6 5 4 2 8" xfId="7167" xr:uid="{00000000-0005-0000-0000-0000BB230000}"/>
    <cellStyle name="Normal 6 5 4 3" xfId="3935" xr:uid="{00000000-0005-0000-0000-0000BC230000}"/>
    <cellStyle name="Normal 6 5 4 3 2" xfId="4902" xr:uid="{00000000-0005-0000-0000-0000BD230000}"/>
    <cellStyle name="Normal 6 5 4 3 2 2" xfId="6577" xr:uid="{00000000-0005-0000-0000-0000BE230000}"/>
    <cellStyle name="Normal 6 5 4 3 2 2 2" xfId="9927" xr:uid="{00000000-0005-0000-0000-0000BF230000}"/>
    <cellStyle name="Normal 6 5 4 3 2 3" xfId="11602" xr:uid="{00000000-0005-0000-0000-0000C0230000}"/>
    <cellStyle name="Normal 6 5 4 3 2 4" xfId="8252" xr:uid="{00000000-0005-0000-0000-0000C1230000}"/>
    <cellStyle name="Normal 6 5 4 3 3" xfId="5610" xr:uid="{00000000-0005-0000-0000-0000C2230000}"/>
    <cellStyle name="Normal 6 5 4 3 3 2" xfId="8960" xr:uid="{00000000-0005-0000-0000-0000C3230000}"/>
    <cellStyle name="Normal 6 5 4 3 4" xfId="10635" xr:uid="{00000000-0005-0000-0000-0000C4230000}"/>
    <cellStyle name="Normal 6 5 4 3 5" xfId="7285" xr:uid="{00000000-0005-0000-0000-0000C5230000}"/>
    <cellStyle name="Normal 6 5 4 4" xfId="4171" xr:uid="{00000000-0005-0000-0000-0000C6230000}"/>
    <cellStyle name="Normal 6 5 4 4 2" xfId="5138" xr:uid="{00000000-0005-0000-0000-0000C7230000}"/>
    <cellStyle name="Normal 6 5 4 4 2 2" xfId="6813" xr:uid="{00000000-0005-0000-0000-0000C8230000}"/>
    <cellStyle name="Normal 6 5 4 4 2 2 2" xfId="10163" xr:uid="{00000000-0005-0000-0000-0000C9230000}"/>
    <cellStyle name="Normal 6 5 4 4 2 3" xfId="11838" xr:uid="{00000000-0005-0000-0000-0000CA230000}"/>
    <cellStyle name="Normal 6 5 4 4 2 4" xfId="8488" xr:uid="{00000000-0005-0000-0000-0000CB230000}"/>
    <cellStyle name="Normal 6 5 4 4 3" xfId="5846" xr:uid="{00000000-0005-0000-0000-0000CC230000}"/>
    <cellStyle name="Normal 6 5 4 4 3 2" xfId="9196" xr:uid="{00000000-0005-0000-0000-0000CD230000}"/>
    <cellStyle name="Normal 6 5 4 4 4" xfId="10871" xr:uid="{00000000-0005-0000-0000-0000CE230000}"/>
    <cellStyle name="Normal 6 5 4 4 5" xfId="7521" xr:uid="{00000000-0005-0000-0000-0000CF230000}"/>
    <cellStyle name="Normal 6 5 4 5" xfId="4407" xr:uid="{00000000-0005-0000-0000-0000D0230000}"/>
    <cellStyle name="Normal 6 5 4 5 2" xfId="6082" xr:uid="{00000000-0005-0000-0000-0000D1230000}"/>
    <cellStyle name="Normal 6 5 4 5 2 2" xfId="9432" xr:uid="{00000000-0005-0000-0000-0000D2230000}"/>
    <cellStyle name="Normal 6 5 4 5 3" xfId="11107" xr:uid="{00000000-0005-0000-0000-0000D3230000}"/>
    <cellStyle name="Normal 6 5 4 5 4" xfId="7757" xr:uid="{00000000-0005-0000-0000-0000D4230000}"/>
    <cellStyle name="Normal 6 5 4 6" xfId="4666" xr:uid="{00000000-0005-0000-0000-0000D5230000}"/>
    <cellStyle name="Normal 6 5 4 6 2" xfId="6341" xr:uid="{00000000-0005-0000-0000-0000D6230000}"/>
    <cellStyle name="Normal 6 5 4 6 2 2" xfId="9691" xr:uid="{00000000-0005-0000-0000-0000D7230000}"/>
    <cellStyle name="Normal 6 5 4 6 3" xfId="11366" xr:uid="{00000000-0005-0000-0000-0000D8230000}"/>
    <cellStyle name="Normal 6 5 4 6 4" xfId="8016" xr:uid="{00000000-0005-0000-0000-0000D9230000}"/>
    <cellStyle name="Normal 6 5 4 7" xfId="5374" xr:uid="{00000000-0005-0000-0000-0000DA230000}"/>
    <cellStyle name="Normal 6 5 4 7 2" xfId="8724" xr:uid="{00000000-0005-0000-0000-0000DB230000}"/>
    <cellStyle name="Normal 6 5 4 8" xfId="10399" xr:uid="{00000000-0005-0000-0000-0000DC230000}"/>
    <cellStyle name="Normal 6 5 4 9" xfId="7049" xr:uid="{00000000-0005-0000-0000-0000DD230000}"/>
    <cellStyle name="Normal 6 5 5" xfId="3723" xr:uid="{00000000-0005-0000-0000-0000DE230000}"/>
    <cellStyle name="Normal 6 5 5 2" xfId="3841" xr:uid="{00000000-0005-0000-0000-0000DF230000}"/>
    <cellStyle name="Normal 6 5 5 2 2" xfId="4077" xr:uid="{00000000-0005-0000-0000-0000E0230000}"/>
    <cellStyle name="Normal 6 5 5 2 2 2" xfId="5044" xr:uid="{00000000-0005-0000-0000-0000E1230000}"/>
    <cellStyle name="Normal 6 5 5 2 2 2 2" xfId="6719" xr:uid="{00000000-0005-0000-0000-0000E2230000}"/>
    <cellStyle name="Normal 6 5 5 2 2 2 2 2" xfId="10069" xr:uid="{00000000-0005-0000-0000-0000E3230000}"/>
    <cellStyle name="Normal 6 5 5 2 2 2 3" xfId="11744" xr:uid="{00000000-0005-0000-0000-0000E4230000}"/>
    <cellStyle name="Normal 6 5 5 2 2 2 4" xfId="8394" xr:uid="{00000000-0005-0000-0000-0000E5230000}"/>
    <cellStyle name="Normal 6 5 5 2 2 3" xfId="5752" xr:uid="{00000000-0005-0000-0000-0000E6230000}"/>
    <cellStyle name="Normal 6 5 5 2 2 3 2" xfId="9102" xr:uid="{00000000-0005-0000-0000-0000E7230000}"/>
    <cellStyle name="Normal 6 5 5 2 2 4" xfId="10777" xr:uid="{00000000-0005-0000-0000-0000E8230000}"/>
    <cellStyle name="Normal 6 5 5 2 2 5" xfId="7427" xr:uid="{00000000-0005-0000-0000-0000E9230000}"/>
    <cellStyle name="Normal 6 5 5 2 3" xfId="4313" xr:uid="{00000000-0005-0000-0000-0000EA230000}"/>
    <cellStyle name="Normal 6 5 5 2 3 2" xfId="5280" xr:uid="{00000000-0005-0000-0000-0000EB230000}"/>
    <cellStyle name="Normal 6 5 5 2 3 2 2" xfId="6955" xr:uid="{00000000-0005-0000-0000-0000EC230000}"/>
    <cellStyle name="Normal 6 5 5 2 3 2 2 2" xfId="10305" xr:uid="{00000000-0005-0000-0000-0000ED230000}"/>
    <cellStyle name="Normal 6 5 5 2 3 2 3" xfId="11980" xr:uid="{00000000-0005-0000-0000-0000EE230000}"/>
    <cellStyle name="Normal 6 5 5 2 3 2 4" xfId="8630" xr:uid="{00000000-0005-0000-0000-0000EF230000}"/>
    <cellStyle name="Normal 6 5 5 2 3 3" xfId="5988" xr:uid="{00000000-0005-0000-0000-0000F0230000}"/>
    <cellStyle name="Normal 6 5 5 2 3 3 2" xfId="9338" xr:uid="{00000000-0005-0000-0000-0000F1230000}"/>
    <cellStyle name="Normal 6 5 5 2 3 4" xfId="11013" xr:uid="{00000000-0005-0000-0000-0000F2230000}"/>
    <cellStyle name="Normal 6 5 5 2 3 5" xfId="7663" xr:uid="{00000000-0005-0000-0000-0000F3230000}"/>
    <cellStyle name="Normal 6 5 5 2 4" xfId="4549" xr:uid="{00000000-0005-0000-0000-0000F4230000}"/>
    <cellStyle name="Normal 6 5 5 2 4 2" xfId="6224" xr:uid="{00000000-0005-0000-0000-0000F5230000}"/>
    <cellStyle name="Normal 6 5 5 2 4 2 2" xfId="9574" xr:uid="{00000000-0005-0000-0000-0000F6230000}"/>
    <cellStyle name="Normal 6 5 5 2 4 3" xfId="11249" xr:uid="{00000000-0005-0000-0000-0000F7230000}"/>
    <cellStyle name="Normal 6 5 5 2 4 4" xfId="7899" xr:uid="{00000000-0005-0000-0000-0000F8230000}"/>
    <cellStyle name="Normal 6 5 5 2 5" xfId="4808" xr:uid="{00000000-0005-0000-0000-0000F9230000}"/>
    <cellStyle name="Normal 6 5 5 2 5 2" xfId="6483" xr:uid="{00000000-0005-0000-0000-0000FA230000}"/>
    <cellStyle name="Normal 6 5 5 2 5 2 2" xfId="9833" xr:uid="{00000000-0005-0000-0000-0000FB230000}"/>
    <cellStyle name="Normal 6 5 5 2 5 3" xfId="11508" xr:uid="{00000000-0005-0000-0000-0000FC230000}"/>
    <cellStyle name="Normal 6 5 5 2 5 4" xfId="8158" xr:uid="{00000000-0005-0000-0000-0000FD230000}"/>
    <cellStyle name="Normal 6 5 5 2 6" xfId="5516" xr:uid="{00000000-0005-0000-0000-0000FE230000}"/>
    <cellStyle name="Normal 6 5 5 2 6 2" xfId="8866" xr:uid="{00000000-0005-0000-0000-0000FF230000}"/>
    <cellStyle name="Normal 6 5 5 2 7" xfId="10541" xr:uid="{00000000-0005-0000-0000-000000240000}"/>
    <cellStyle name="Normal 6 5 5 2 8" xfId="7191" xr:uid="{00000000-0005-0000-0000-000001240000}"/>
    <cellStyle name="Normal 6 5 5 3" xfId="3959" xr:uid="{00000000-0005-0000-0000-000002240000}"/>
    <cellStyle name="Normal 6 5 5 3 2" xfId="4926" xr:uid="{00000000-0005-0000-0000-000003240000}"/>
    <cellStyle name="Normal 6 5 5 3 2 2" xfId="6601" xr:uid="{00000000-0005-0000-0000-000004240000}"/>
    <cellStyle name="Normal 6 5 5 3 2 2 2" xfId="9951" xr:uid="{00000000-0005-0000-0000-000005240000}"/>
    <cellStyle name="Normal 6 5 5 3 2 3" xfId="11626" xr:uid="{00000000-0005-0000-0000-000006240000}"/>
    <cellStyle name="Normal 6 5 5 3 2 4" xfId="8276" xr:uid="{00000000-0005-0000-0000-000007240000}"/>
    <cellStyle name="Normal 6 5 5 3 3" xfId="5634" xr:uid="{00000000-0005-0000-0000-000008240000}"/>
    <cellStyle name="Normal 6 5 5 3 3 2" xfId="8984" xr:uid="{00000000-0005-0000-0000-000009240000}"/>
    <cellStyle name="Normal 6 5 5 3 4" xfId="10659" xr:uid="{00000000-0005-0000-0000-00000A240000}"/>
    <cellStyle name="Normal 6 5 5 3 5" xfId="7309" xr:uid="{00000000-0005-0000-0000-00000B240000}"/>
    <cellStyle name="Normal 6 5 5 4" xfId="4195" xr:uid="{00000000-0005-0000-0000-00000C240000}"/>
    <cellStyle name="Normal 6 5 5 4 2" xfId="5162" xr:uid="{00000000-0005-0000-0000-00000D240000}"/>
    <cellStyle name="Normal 6 5 5 4 2 2" xfId="6837" xr:uid="{00000000-0005-0000-0000-00000E240000}"/>
    <cellStyle name="Normal 6 5 5 4 2 2 2" xfId="10187" xr:uid="{00000000-0005-0000-0000-00000F240000}"/>
    <cellStyle name="Normal 6 5 5 4 2 3" xfId="11862" xr:uid="{00000000-0005-0000-0000-000010240000}"/>
    <cellStyle name="Normal 6 5 5 4 2 4" xfId="8512" xr:uid="{00000000-0005-0000-0000-000011240000}"/>
    <cellStyle name="Normal 6 5 5 4 3" xfId="5870" xr:uid="{00000000-0005-0000-0000-000012240000}"/>
    <cellStyle name="Normal 6 5 5 4 3 2" xfId="9220" xr:uid="{00000000-0005-0000-0000-000013240000}"/>
    <cellStyle name="Normal 6 5 5 4 4" xfId="10895" xr:uid="{00000000-0005-0000-0000-000014240000}"/>
    <cellStyle name="Normal 6 5 5 4 5" xfId="7545" xr:uid="{00000000-0005-0000-0000-000015240000}"/>
    <cellStyle name="Normal 6 5 5 5" xfId="4431" xr:uid="{00000000-0005-0000-0000-000016240000}"/>
    <cellStyle name="Normal 6 5 5 5 2" xfId="6106" xr:uid="{00000000-0005-0000-0000-000017240000}"/>
    <cellStyle name="Normal 6 5 5 5 2 2" xfId="9456" xr:uid="{00000000-0005-0000-0000-000018240000}"/>
    <cellStyle name="Normal 6 5 5 5 3" xfId="11131" xr:uid="{00000000-0005-0000-0000-000019240000}"/>
    <cellStyle name="Normal 6 5 5 5 4" xfId="7781" xr:uid="{00000000-0005-0000-0000-00001A240000}"/>
    <cellStyle name="Normal 6 5 5 6" xfId="4690" xr:uid="{00000000-0005-0000-0000-00001B240000}"/>
    <cellStyle name="Normal 6 5 5 6 2" xfId="6365" xr:uid="{00000000-0005-0000-0000-00001C240000}"/>
    <cellStyle name="Normal 6 5 5 6 2 2" xfId="9715" xr:uid="{00000000-0005-0000-0000-00001D240000}"/>
    <cellStyle name="Normal 6 5 5 6 3" xfId="11390" xr:uid="{00000000-0005-0000-0000-00001E240000}"/>
    <cellStyle name="Normal 6 5 5 6 4" xfId="8040" xr:uid="{00000000-0005-0000-0000-00001F240000}"/>
    <cellStyle name="Normal 6 5 5 7" xfId="5398" xr:uid="{00000000-0005-0000-0000-000020240000}"/>
    <cellStyle name="Normal 6 5 5 7 2" xfId="8748" xr:uid="{00000000-0005-0000-0000-000021240000}"/>
    <cellStyle name="Normal 6 5 5 8" xfId="10423" xr:uid="{00000000-0005-0000-0000-000022240000}"/>
    <cellStyle name="Normal 6 5 5 9" xfId="7073" xr:uid="{00000000-0005-0000-0000-000023240000}"/>
    <cellStyle name="Normal 6 5 6" xfId="3747" xr:uid="{00000000-0005-0000-0000-000024240000}"/>
    <cellStyle name="Normal 6 5 6 2" xfId="3983" xr:uid="{00000000-0005-0000-0000-000025240000}"/>
    <cellStyle name="Normal 6 5 6 2 2" xfId="4950" xr:uid="{00000000-0005-0000-0000-000026240000}"/>
    <cellStyle name="Normal 6 5 6 2 2 2" xfId="6625" xr:uid="{00000000-0005-0000-0000-000027240000}"/>
    <cellStyle name="Normal 6 5 6 2 2 2 2" xfId="9975" xr:uid="{00000000-0005-0000-0000-000028240000}"/>
    <cellStyle name="Normal 6 5 6 2 2 3" xfId="11650" xr:uid="{00000000-0005-0000-0000-000029240000}"/>
    <cellStyle name="Normal 6 5 6 2 2 4" xfId="8300" xr:uid="{00000000-0005-0000-0000-00002A240000}"/>
    <cellStyle name="Normal 6 5 6 2 3" xfId="5658" xr:uid="{00000000-0005-0000-0000-00002B240000}"/>
    <cellStyle name="Normal 6 5 6 2 3 2" xfId="9008" xr:uid="{00000000-0005-0000-0000-00002C240000}"/>
    <cellStyle name="Normal 6 5 6 2 4" xfId="10683" xr:uid="{00000000-0005-0000-0000-00002D240000}"/>
    <cellStyle name="Normal 6 5 6 2 5" xfId="7333" xr:uid="{00000000-0005-0000-0000-00002E240000}"/>
    <cellStyle name="Normal 6 5 6 3" xfId="4219" xr:uid="{00000000-0005-0000-0000-00002F240000}"/>
    <cellStyle name="Normal 6 5 6 3 2" xfId="5186" xr:uid="{00000000-0005-0000-0000-000030240000}"/>
    <cellStyle name="Normal 6 5 6 3 2 2" xfId="6861" xr:uid="{00000000-0005-0000-0000-000031240000}"/>
    <cellStyle name="Normal 6 5 6 3 2 2 2" xfId="10211" xr:uid="{00000000-0005-0000-0000-000032240000}"/>
    <cellStyle name="Normal 6 5 6 3 2 3" xfId="11886" xr:uid="{00000000-0005-0000-0000-000033240000}"/>
    <cellStyle name="Normal 6 5 6 3 2 4" xfId="8536" xr:uid="{00000000-0005-0000-0000-000034240000}"/>
    <cellStyle name="Normal 6 5 6 3 3" xfId="5894" xr:uid="{00000000-0005-0000-0000-000035240000}"/>
    <cellStyle name="Normal 6 5 6 3 3 2" xfId="9244" xr:uid="{00000000-0005-0000-0000-000036240000}"/>
    <cellStyle name="Normal 6 5 6 3 4" xfId="10919" xr:uid="{00000000-0005-0000-0000-000037240000}"/>
    <cellStyle name="Normal 6 5 6 3 5" xfId="7569" xr:uid="{00000000-0005-0000-0000-000038240000}"/>
    <cellStyle name="Normal 6 5 6 4" xfId="4455" xr:uid="{00000000-0005-0000-0000-000039240000}"/>
    <cellStyle name="Normal 6 5 6 4 2" xfId="6130" xr:uid="{00000000-0005-0000-0000-00003A240000}"/>
    <cellStyle name="Normal 6 5 6 4 2 2" xfId="9480" xr:uid="{00000000-0005-0000-0000-00003B240000}"/>
    <cellStyle name="Normal 6 5 6 4 3" xfId="11155" xr:uid="{00000000-0005-0000-0000-00003C240000}"/>
    <cellStyle name="Normal 6 5 6 4 4" xfId="7805" xr:uid="{00000000-0005-0000-0000-00003D240000}"/>
    <cellStyle name="Normal 6 5 6 5" xfId="4714" xr:uid="{00000000-0005-0000-0000-00003E240000}"/>
    <cellStyle name="Normal 6 5 6 5 2" xfId="6389" xr:uid="{00000000-0005-0000-0000-00003F240000}"/>
    <cellStyle name="Normal 6 5 6 5 2 2" xfId="9739" xr:uid="{00000000-0005-0000-0000-000040240000}"/>
    <cellStyle name="Normal 6 5 6 5 3" xfId="11414" xr:uid="{00000000-0005-0000-0000-000041240000}"/>
    <cellStyle name="Normal 6 5 6 5 4" xfId="8064" xr:uid="{00000000-0005-0000-0000-000042240000}"/>
    <cellStyle name="Normal 6 5 6 6" xfId="5422" xr:uid="{00000000-0005-0000-0000-000043240000}"/>
    <cellStyle name="Normal 6 5 6 6 2" xfId="8772" xr:uid="{00000000-0005-0000-0000-000044240000}"/>
    <cellStyle name="Normal 6 5 6 7" xfId="10447" xr:uid="{00000000-0005-0000-0000-000045240000}"/>
    <cellStyle name="Normal 6 5 6 8" xfId="7097" xr:uid="{00000000-0005-0000-0000-000046240000}"/>
    <cellStyle name="Normal 6 5 7" xfId="3865" xr:uid="{00000000-0005-0000-0000-000047240000}"/>
    <cellStyle name="Normal 6 5 7 2" xfId="4832" xr:uid="{00000000-0005-0000-0000-000048240000}"/>
    <cellStyle name="Normal 6 5 7 2 2" xfId="6507" xr:uid="{00000000-0005-0000-0000-000049240000}"/>
    <cellStyle name="Normal 6 5 7 2 2 2" xfId="9857" xr:uid="{00000000-0005-0000-0000-00004A240000}"/>
    <cellStyle name="Normal 6 5 7 2 3" xfId="11532" xr:uid="{00000000-0005-0000-0000-00004B240000}"/>
    <cellStyle name="Normal 6 5 7 2 4" xfId="8182" xr:uid="{00000000-0005-0000-0000-00004C240000}"/>
    <cellStyle name="Normal 6 5 7 3" xfId="5540" xr:uid="{00000000-0005-0000-0000-00004D240000}"/>
    <cellStyle name="Normal 6 5 7 3 2" xfId="8890" xr:uid="{00000000-0005-0000-0000-00004E240000}"/>
    <cellStyle name="Normal 6 5 7 4" xfId="10565" xr:uid="{00000000-0005-0000-0000-00004F240000}"/>
    <cellStyle name="Normal 6 5 7 5" xfId="7215" xr:uid="{00000000-0005-0000-0000-000050240000}"/>
    <cellStyle name="Normal 6 5 8" xfId="4101" xr:uid="{00000000-0005-0000-0000-000051240000}"/>
    <cellStyle name="Normal 6 5 8 2" xfId="5068" xr:uid="{00000000-0005-0000-0000-000052240000}"/>
    <cellStyle name="Normal 6 5 8 2 2" xfId="6743" xr:uid="{00000000-0005-0000-0000-000053240000}"/>
    <cellStyle name="Normal 6 5 8 2 2 2" xfId="10093" xr:uid="{00000000-0005-0000-0000-000054240000}"/>
    <cellStyle name="Normal 6 5 8 2 3" xfId="11768" xr:uid="{00000000-0005-0000-0000-000055240000}"/>
    <cellStyle name="Normal 6 5 8 2 4" xfId="8418" xr:uid="{00000000-0005-0000-0000-000056240000}"/>
    <cellStyle name="Normal 6 5 8 3" xfId="5776" xr:uid="{00000000-0005-0000-0000-000057240000}"/>
    <cellStyle name="Normal 6 5 8 3 2" xfId="9126" xr:uid="{00000000-0005-0000-0000-000058240000}"/>
    <cellStyle name="Normal 6 5 8 4" xfId="10801" xr:uid="{00000000-0005-0000-0000-000059240000}"/>
    <cellStyle name="Normal 6 5 8 5" xfId="7451" xr:uid="{00000000-0005-0000-0000-00005A240000}"/>
    <cellStyle name="Normal 6 5 9" xfId="4337" xr:uid="{00000000-0005-0000-0000-00005B240000}"/>
    <cellStyle name="Normal 6 5 9 2" xfId="4596" xr:uid="{00000000-0005-0000-0000-00005C240000}"/>
    <cellStyle name="Normal 6 5 9 2 2" xfId="6271" xr:uid="{00000000-0005-0000-0000-00005D240000}"/>
    <cellStyle name="Normal 6 5 9 2 2 2" xfId="9621" xr:uid="{00000000-0005-0000-0000-00005E240000}"/>
    <cellStyle name="Normal 6 5 9 2 3" xfId="11296" xr:uid="{00000000-0005-0000-0000-00005F240000}"/>
    <cellStyle name="Normal 6 5 9 2 4" xfId="7946" xr:uid="{00000000-0005-0000-0000-000060240000}"/>
    <cellStyle name="Normal 6 5 9 3" xfId="6012" xr:uid="{00000000-0005-0000-0000-000061240000}"/>
    <cellStyle name="Normal 6 5 9 3 2" xfId="9362" xr:uid="{00000000-0005-0000-0000-000062240000}"/>
    <cellStyle name="Normal 6 5 9 4" xfId="11037" xr:uid="{00000000-0005-0000-0000-000063240000}"/>
    <cellStyle name="Normal 6 5 9 5" xfId="7687" xr:uid="{00000000-0005-0000-0000-000064240000}"/>
    <cellStyle name="Normal 6 6" xfId="2872" xr:uid="{00000000-0005-0000-0000-0000380B0000}"/>
    <cellStyle name="Normal 7" xfId="2873" xr:uid="{00000000-0005-0000-0000-0000390B0000}"/>
    <cellStyle name="Normal 7 2" xfId="2874" xr:uid="{00000000-0005-0000-0000-00003A0B0000}"/>
    <cellStyle name="Normal 7 2 2" xfId="2875" xr:uid="{00000000-0005-0000-0000-00003B0B0000}"/>
    <cellStyle name="Normal 7 2 2 2" xfId="2876" xr:uid="{00000000-0005-0000-0000-00003C0B0000}"/>
    <cellStyle name="Normal 7 2 2 2 2" xfId="2877" xr:uid="{00000000-0005-0000-0000-00003D0B0000}"/>
    <cellStyle name="Normal 7 2 2 3" xfId="2878" xr:uid="{00000000-0005-0000-0000-00003E0B0000}"/>
    <cellStyle name="Normal 7 2 3" xfId="2879" xr:uid="{00000000-0005-0000-0000-00003F0B0000}"/>
    <cellStyle name="Normal 7 2 3 2" xfId="2880" xr:uid="{00000000-0005-0000-0000-0000400B0000}"/>
    <cellStyle name="Normal 7 2 4" xfId="2881" xr:uid="{00000000-0005-0000-0000-0000410B0000}"/>
    <cellStyle name="Normal 7 2 5" xfId="2882" xr:uid="{00000000-0005-0000-0000-0000420B0000}"/>
    <cellStyle name="Normal 7 2 5 2" xfId="2883" xr:uid="{00000000-0005-0000-0000-0000430B0000}"/>
    <cellStyle name="Normal 7 2 6" xfId="2884" xr:uid="{00000000-0005-0000-0000-0000440B0000}"/>
    <cellStyle name="Normal 7 3" xfId="2885" xr:uid="{00000000-0005-0000-0000-0000450B0000}"/>
    <cellStyle name="Normal 7 3 2" xfId="2886" xr:uid="{00000000-0005-0000-0000-0000460B0000}"/>
    <cellStyle name="Normal 7 3 3" xfId="2887" xr:uid="{00000000-0005-0000-0000-0000470B0000}"/>
    <cellStyle name="Normal 7 4" xfId="2888" xr:uid="{00000000-0005-0000-0000-0000480B0000}"/>
    <cellStyle name="Normal 7 4 10" xfId="4574" xr:uid="{00000000-0005-0000-0000-00006C240000}"/>
    <cellStyle name="Normal 7 4 10 2" xfId="6249" xr:uid="{00000000-0005-0000-0000-00006D240000}"/>
    <cellStyle name="Normal 7 4 10 2 2" xfId="9599" xr:uid="{00000000-0005-0000-0000-00006E240000}"/>
    <cellStyle name="Normal 7 4 10 3" xfId="11274" xr:uid="{00000000-0005-0000-0000-00006F240000}"/>
    <cellStyle name="Normal 7 4 10 4" xfId="7924" xr:uid="{00000000-0005-0000-0000-000070240000}"/>
    <cellStyle name="Normal 7 4 11" xfId="5305" xr:uid="{00000000-0005-0000-0000-000071240000}"/>
    <cellStyle name="Normal 7 4 11 2" xfId="8655" xr:uid="{00000000-0005-0000-0000-000072240000}"/>
    <cellStyle name="Normal 7 4 12" xfId="10330" xr:uid="{00000000-0005-0000-0000-000073240000}"/>
    <cellStyle name="Normal 7 4 13" xfId="6980" xr:uid="{00000000-0005-0000-0000-000074240000}"/>
    <cellStyle name="Normal 7 4 14" xfId="3420" xr:uid="{00000000-0005-0000-0000-00006B240000}"/>
    <cellStyle name="Normal 7 4 2" xfId="2889" xr:uid="{00000000-0005-0000-0000-0000490B0000}"/>
    <cellStyle name="Normal 7 4 2 10" xfId="3653" xr:uid="{00000000-0005-0000-0000-000075240000}"/>
    <cellStyle name="Normal 7 4 2 2" xfId="3771" xr:uid="{00000000-0005-0000-0000-000076240000}"/>
    <cellStyle name="Normal 7 4 2 2 2" xfId="4007" xr:uid="{00000000-0005-0000-0000-000077240000}"/>
    <cellStyle name="Normal 7 4 2 2 2 2" xfId="4974" xr:uid="{00000000-0005-0000-0000-000078240000}"/>
    <cellStyle name="Normal 7 4 2 2 2 2 2" xfId="6649" xr:uid="{00000000-0005-0000-0000-000079240000}"/>
    <cellStyle name="Normal 7 4 2 2 2 2 2 2" xfId="9999" xr:uid="{00000000-0005-0000-0000-00007A240000}"/>
    <cellStyle name="Normal 7 4 2 2 2 2 3" xfId="11674" xr:uid="{00000000-0005-0000-0000-00007B240000}"/>
    <cellStyle name="Normal 7 4 2 2 2 2 4" xfId="8324" xr:uid="{00000000-0005-0000-0000-00007C240000}"/>
    <cellStyle name="Normal 7 4 2 2 2 3" xfId="5682" xr:uid="{00000000-0005-0000-0000-00007D240000}"/>
    <cellStyle name="Normal 7 4 2 2 2 3 2" xfId="9032" xr:uid="{00000000-0005-0000-0000-00007E240000}"/>
    <cellStyle name="Normal 7 4 2 2 2 4" xfId="10707" xr:uid="{00000000-0005-0000-0000-00007F240000}"/>
    <cellStyle name="Normal 7 4 2 2 2 5" xfId="7357" xr:uid="{00000000-0005-0000-0000-000080240000}"/>
    <cellStyle name="Normal 7 4 2 2 3" xfId="4243" xr:uid="{00000000-0005-0000-0000-000081240000}"/>
    <cellStyle name="Normal 7 4 2 2 3 2" xfId="5210" xr:uid="{00000000-0005-0000-0000-000082240000}"/>
    <cellStyle name="Normal 7 4 2 2 3 2 2" xfId="6885" xr:uid="{00000000-0005-0000-0000-000083240000}"/>
    <cellStyle name="Normal 7 4 2 2 3 2 2 2" xfId="10235" xr:uid="{00000000-0005-0000-0000-000084240000}"/>
    <cellStyle name="Normal 7 4 2 2 3 2 3" xfId="11910" xr:uid="{00000000-0005-0000-0000-000085240000}"/>
    <cellStyle name="Normal 7 4 2 2 3 2 4" xfId="8560" xr:uid="{00000000-0005-0000-0000-000086240000}"/>
    <cellStyle name="Normal 7 4 2 2 3 3" xfId="5918" xr:uid="{00000000-0005-0000-0000-000087240000}"/>
    <cellStyle name="Normal 7 4 2 2 3 3 2" xfId="9268" xr:uid="{00000000-0005-0000-0000-000088240000}"/>
    <cellStyle name="Normal 7 4 2 2 3 4" xfId="10943" xr:uid="{00000000-0005-0000-0000-000089240000}"/>
    <cellStyle name="Normal 7 4 2 2 3 5" xfId="7593" xr:uid="{00000000-0005-0000-0000-00008A240000}"/>
    <cellStyle name="Normal 7 4 2 2 4" xfId="4479" xr:uid="{00000000-0005-0000-0000-00008B240000}"/>
    <cellStyle name="Normal 7 4 2 2 4 2" xfId="6154" xr:uid="{00000000-0005-0000-0000-00008C240000}"/>
    <cellStyle name="Normal 7 4 2 2 4 2 2" xfId="9504" xr:uid="{00000000-0005-0000-0000-00008D240000}"/>
    <cellStyle name="Normal 7 4 2 2 4 3" xfId="11179" xr:uid="{00000000-0005-0000-0000-00008E240000}"/>
    <cellStyle name="Normal 7 4 2 2 4 4" xfId="7829" xr:uid="{00000000-0005-0000-0000-00008F240000}"/>
    <cellStyle name="Normal 7 4 2 2 5" xfId="4738" xr:uid="{00000000-0005-0000-0000-000090240000}"/>
    <cellStyle name="Normal 7 4 2 2 5 2" xfId="6413" xr:uid="{00000000-0005-0000-0000-000091240000}"/>
    <cellStyle name="Normal 7 4 2 2 5 2 2" xfId="9763" xr:uid="{00000000-0005-0000-0000-000092240000}"/>
    <cellStyle name="Normal 7 4 2 2 5 3" xfId="11438" xr:uid="{00000000-0005-0000-0000-000093240000}"/>
    <cellStyle name="Normal 7 4 2 2 5 4" xfId="8088" xr:uid="{00000000-0005-0000-0000-000094240000}"/>
    <cellStyle name="Normal 7 4 2 2 6" xfId="5446" xr:uid="{00000000-0005-0000-0000-000095240000}"/>
    <cellStyle name="Normal 7 4 2 2 6 2" xfId="8796" xr:uid="{00000000-0005-0000-0000-000096240000}"/>
    <cellStyle name="Normal 7 4 2 2 7" xfId="10471" xr:uid="{00000000-0005-0000-0000-000097240000}"/>
    <cellStyle name="Normal 7 4 2 2 8" xfId="7121" xr:uid="{00000000-0005-0000-0000-000098240000}"/>
    <cellStyle name="Normal 7 4 2 3" xfId="3889" xr:uid="{00000000-0005-0000-0000-000099240000}"/>
    <cellStyle name="Normal 7 4 2 3 2" xfId="4856" xr:uid="{00000000-0005-0000-0000-00009A240000}"/>
    <cellStyle name="Normal 7 4 2 3 2 2" xfId="6531" xr:uid="{00000000-0005-0000-0000-00009B240000}"/>
    <cellStyle name="Normal 7 4 2 3 2 2 2" xfId="9881" xr:uid="{00000000-0005-0000-0000-00009C240000}"/>
    <cellStyle name="Normal 7 4 2 3 2 3" xfId="11556" xr:uid="{00000000-0005-0000-0000-00009D240000}"/>
    <cellStyle name="Normal 7 4 2 3 2 4" xfId="8206" xr:uid="{00000000-0005-0000-0000-00009E240000}"/>
    <cellStyle name="Normal 7 4 2 3 3" xfId="5564" xr:uid="{00000000-0005-0000-0000-00009F240000}"/>
    <cellStyle name="Normal 7 4 2 3 3 2" xfId="8914" xr:uid="{00000000-0005-0000-0000-0000A0240000}"/>
    <cellStyle name="Normal 7 4 2 3 4" xfId="10589" xr:uid="{00000000-0005-0000-0000-0000A1240000}"/>
    <cellStyle name="Normal 7 4 2 3 5" xfId="7239" xr:uid="{00000000-0005-0000-0000-0000A2240000}"/>
    <cellStyle name="Normal 7 4 2 4" xfId="4125" xr:uid="{00000000-0005-0000-0000-0000A3240000}"/>
    <cellStyle name="Normal 7 4 2 4 2" xfId="5092" xr:uid="{00000000-0005-0000-0000-0000A4240000}"/>
    <cellStyle name="Normal 7 4 2 4 2 2" xfId="6767" xr:uid="{00000000-0005-0000-0000-0000A5240000}"/>
    <cellStyle name="Normal 7 4 2 4 2 2 2" xfId="10117" xr:uid="{00000000-0005-0000-0000-0000A6240000}"/>
    <cellStyle name="Normal 7 4 2 4 2 3" xfId="11792" xr:uid="{00000000-0005-0000-0000-0000A7240000}"/>
    <cellStyle name="Normal 7 4 2 4 2 4" xfId="8442" xr:uid="{00000000-0005-0000-0000-0000A8240000}"/>
    <cellStyle name="Normal 7 4 2 4 3" xfId="5800" xr:uid="{00000000-0005-0000-0000-0000A9240000}"/>
    <cellStyle name="Normal 7 4 2 4 3 2" xfId="9150" xr:uid="{00000000-0005-0000-0000-0000AA240000}"/>
    <cellStyle name="Normal 7 4 2 4 4" xfId="10825" xr:uid="{00000000-0005-0000-0000-0000AB240000}"/>
    <cellStyle name="Normal 7 4 2 4 5" xfId="7475" xr:uid="{00000000-0005-0000-0000-0000AC240000}"/>
    <cellStyle name="Normal 7 4 2 5" xfId="4361" xr:uid="{00000000-0005-0000-0000-0000AD240000}"/>
    <cellStyle name="Normal 7 4 2 5 2" xfId="6036" xr:uid="{00000000-0005-0000-0000-0000AE240000}"/>
    <cellStyle name="Normal 7 4 2 5 2 2" xfId="9386" xr:uid="{00000000-0005-0000-0000-0000AF240000}"/>
    <cellStyle name="Normal 7 4 2 5 3" xfId="11061" xr:uid="{00000000-0005-0000-0000-0000B0240000}"/>
    <cellStyle name="Normal 7 4 2 5 4" xfId="7711" xr:uid="{00000000-0005-0000-0000-0000B1240000}"/>
    <cellStyle name="Normal 7 4 2 6" xfId="4620" xr:uid="{00000000-0005-0000-0000-0000B2240000}"/>
    <cellStyle name="Normal 7 4 2 6 2" xfId="6295" xr:uid="{00000000-0005-0000-0000-0000B3240000}"/>
    <cellStyle name="Normal 7 4 2 6 2 2" xfId="9645" xr:uid="{00000000-0005-0000-0000-0000B4240000}"/>
    <cellStyle name="Normal 7 4 2 6 3" xfId="11320" xr:uid="{00000000-0005-0000-0000-0000B5240000}"/>
    <cellStyle name="Normal 7 4 2 6 4" xfId="7970" xr:uid="{00000000-0005-0000-0000-0000B6240000}"/>
    <cellStyle name="Normal 7 4 2 7" xfId="5328" xr:uid="{00000000-0005-0000-0000-0000B7240000}"/>
    <cellStyle name="Normal 7 4 2 7 2" xfId="8678" xr:uid="{00000000-0005-0000-0000-0000B8240000}"/>
    <cellStyle name="Normal 7 4 2 8" xfId="10353" xr:uid="{00000000-0005-0000-0000-0000B9240000}"/>
    <cellStyle name="Normal 7 4 2 9" xfId="7003" xr:uid="{00000000-0005-0000-0000-0000BA240000}"/>
    <cellStyle name="Normal 7 4 3" xfId="3676" xr:uid="{00000000-0005-0000-0000-0000BB240000}"/>
    <cellStyle name="Normal 7 4 3 2" xfId="3794" xr:uid="{00000000-0005-0000-0000-0000BC240000}"/>
    <cellStyle name="Normal 7 4 3 2 2" xfId="4030" xr:uid="{00000000-0005-0000-0000-0000BD240000}"/>
    <cellStyle name="Normal 7 4 3 2 2 2" xfId="4997" xr:uid="{00000000-0005-0000-0000-0000BE240000}"/>
    <cellStyle name="Normal 7 4 3 2 2 2 2" xfId="6672" xr:uid="{00000000-0005-0000-0000-0000BF240000}"/>
    <cellStyle name="Normal 7 4 3 2 2 2 2 2" xfId="10022" xr:uid="{00000000-0005-0000-0000-0000C0240000}"/>
    <cellStyle name="Normal 7 4 3 2 2 2 3" xfId="11697" xr:uid="{00000000-0005-0000-0000-0000C1240000}"/>
    <cellStyle name="Normal 7 4 3 2 2 2 4" xfId="8347" xr:uid="{00000000-0005-0000-0000-0000C2240000}"/>
    <cellStyle name="Normal 7 4 3 2 2 3" xfId="5705" xr:uid="{00000000-0005-0000-0000-0000C3240000}"/>
    <cellStyle name="Normal 7 4 3 2 2 3 2" xfId="9055" xr:uid="{00000000-0005-0000-0000-0000C4240000}"/>
    <cellStyle name="Normal 7 4 3 2 2 4" xfId="10730" xr:uid="{00000000-0005-0000-0000-0000C5240000}"/>
    <cellStyle name="Normal 7 4 3 2 2 5" xfId="7380" xr:uid="{00000000-0005-0000-0000-0000C6240000}"/>
    <cellStyle name="Normal 7 4 3 2 3" xfId="4266" xr:uid="{00000000-0005-0000-0000-0000C7240000}"/>
    <cellStyle name="Normal 7 4 3 2 3 2" xfId="5233" xr:uid="{00000000-0005-0000-0000-0000C8240000}"/>
    <cellStyle name="Normal 7 4 3 2 3 2 2" xfId="6908" xr:uid="{00000000-0005-0000-0000-0000C9240000}"/>
    <cellStyle name="Normal 7 4 3 2 3 2 2 2" xfId="10258" xr:uid="{00000000-0005-0000-0000-0000CA240000}"/>
    <cellStyle name="Normal 7 4 3 2 3 2 3" xfId="11933" xr:uid="{00000000-0005-0000-0000-0000CB240000}"/>
    <cellStyle name="Normal 7 4 3 2 3 2 4" xfId="8583" xr:uid="{00000000-0005-0000-0000-0000CC240000}"/>
    <cellStyle name="Normal 7 4 3 2 3 3" xfId="5941" xr:uid="{00000000-0005-0000-0000-0000CD240000}"/>
    <cellStyle name="Normal 7 4 3 2 3 3 2" xfId="9291" xr:uid="{00000000-0005-0000-0000-0000CE240000}"/>
    <cellStyle name="Normal 7 4 3 2 3 4" xfId="10966" xr:uid="{00000000-0005-0000-0000-0000CF240000}"/>
    <cellStyle name="Normal 7 4 3 2 3 5" xfId="7616" xr:uid="{00000000-0005-0000-0000-0000D0240000}"/>
    <cellStyle name="Normal 7 4 3 2 4" xfId="4502" xr:uid="{00000000-0005-0000-0000-0000D1240000}"/>
    <cellStyle name="Normal 7 4 3 2 4 2" xfId="6177" xr:uid="{00000000-0005-0000-0000-0000D2240000}"/>
    <cellStyle name="Normal 7 4 3 2 4 2 2" xfId="9527" xr:uid="{00000000-0005-0000-0000-0000D3240000}"/>
    <cellStyle name="Normal 7 4 3 2 4 3" xfId="11202" xr:uid="{00000000-0005-0000-0000-0000D4240000}"/>
    <cellStyle name="Normal 7 4 3 2 4 4" xfId="7852" xr:uid="{00000000-0005-0000-0000-0000D5240000}"/>
    <cellStyle name="Normal 7 4 3 2 5" xfId="4761" xr:uid="{00000000-0005-0000-0000-0000D6240000}"/>
    <cellStyle name="Normal 7 4 3 2 5 2" xfId="6436" xr:uid="{00000000-0005-0000-0000-0000D7240000}"/>
    <cellStyle name="Normal 7 4 3 2 5 2 2" xfId="9786" xr:uid="{00000000-0005-0000-0000-0000D8240000}"/>
    <cellStyle name="Normal 7 4 3 2 5 3" xfId="11461" xr:uid="{00000000-0005-0000-0000-0000D9240000}"/>
    <cellStyle name="Normal 7 4 3 2 5 4" xfId="8111" xr:uid="{00000000-0005-0000-0000-0000DA240000}"/>
    <cellStyle name="Normal 7 4 3 2 6" xfId="5469" xr:uid="{00000000-0005-0000-0000-0000DB240000}"/>
    <cellStyle name="Normal 7 4 3 2 6 2" xfId="8819" xr:uid="{00000000-0005-0000-0000-0000DC240000}"/>
    <cellStyle name="Normal 7 4 3 2 7" xfId="10494" xr:uid="{00000000-0005-0000-0000-0000DD240000}"/>
    <cellStyle name="Normal 7 4 3 2 8" xfId="7144" xr:uid="{00000000-0005-0000-0000-0000DE240000}"/>
    <cellStyle name="Normal 7 4 3 3" xfId="3912" xr:uid="{00000000-0005-0000-0000-0000DF240000}"/>
    <cellStyle name="Normal 7 4 3 3 2" xfId="4879" xr:uid="{00000000-0005-0000-0000-0000E0240000}"/>
    <cellStyle name="Normal 7 4 3 3 2 2" xfId="6554" xr:uid="{00000000-0005-0000-0000-0000E1240000}"/>
    <cellStyle name="Normal 7 4 3 3 2 2 2" xfId="9904" xr:uid="{00000000-0005-0000-0000-0000E2240000}"/>
    <cellStyle name="Normal 7 4 3 3 2 3" xfId="11579" xr:uid="{00000000-0005-0000-0000-0000E3240000}"/>
    <cellStyle name="Normal 7 4 3 3 2 4" xfId="8229" xr:uid="{00000000-0005-0000-0000-0000E4240000}"/>
    <cellStyle name="Normal 7 4 3 3 3" xfId="5587" xr:uid="{00000000-0005-0000-0000-0000E5240000}"/>
    <cellStyle name="Normal 7 4 3 3 3 2" xfId="8937" xr:uid="{00000000-0005-0000-0000-0000E6240000}"/>
    <cellStyle name="Normal 7 4 3 3 4" xfId="10612" xr:uid="{00000000-0005-0000-0000-0000E7240000}"/>
    <cellStyle name="Normal 7 4 3 3 5" xfId="7262" xr:uid="{00000000-0005-0000-0000-0000E8240000}"/>
    <cellStyle name="Normal 7 4 3 4" xfId="4148" xr:uid="{00000000-0005-0000-0000-0000E9240000}"/>
    <cellStyle name="Normal 7 4 3 4 2" xfId="5115" xr:uid="{00000000-0005-0000-0000-0000EA240000}"/>
    <cellStyle name="Normal 7 4 3 4 2 2" xfId="6790" xr:uid="{00000000-0005-0000-0000-0000EB240000}"/>
    <cellStyle name="Normal 7 4 3 4 2 2 2" xfId="10140" xr:uid="{00000000-0005-0000-0000-0000EC240000}"/>
    <cellStyle name="Normal 7 4 3 4 2 3" xfId="11815" xr:uid="{00000000-0005-0000-0000-0000ED240000}"/>
    <cellStyle name="Normal 7 4 3 4 2 4" xfId="8465" xr:uid="{00000000-0005-0000-0000-0000EE240000}"/>
    <cellStyle name="Normal 7 4 3 4 3" xfId="5823" xr:uid="{00000000-0005-0000-0000-0000EF240000}"/>
    <cellStyle name="Normal 7 4 3 4 3 2" xfId="9173" xr:uid="{00000000-0005-0000-0000-0000F0240000}"/>
    <cellStyle name="Normal 7 4 3 4 4" xfId="10848" xr:uid="{00000000-0005-0000-0000-0000F1240000}"/>
    <cellStyle name="Normal 7 4 3 4 5" xfId="7498" xr:uid="{00000000-0005-0000-0000-0000F2240000}"/>
    <cellStyle name="Normal 7 4 3 5" xfId="4384" xr:uid="{00000000-0005-0000-0000-0000F3240000}"/>
    <cellStyle name="Normal 7 4 3 5 2" xfId="6059" xr:uid="{00000000-0005-0000-0000-0000F4240000}"/>
    <cellStyle name="Normal 7 4 3 5 2 2" xfId="9409" xr:uid="{00000000-0005-0000-0000-0000F5240000}"/>
    <cellStyle name="Normal 7 4 3 5 3" xfId="11084" xr:uid="{00000000-0005-0000-0000-0000F6240000}"/>
    <cellStyle name="Normal 7 4 3 5 4" xfId="7734" xr:uid="{00000000-0005-0000-0000-0000F7240000}"/>
    <cellStyle name="Normal 7 4 3 6" xfId="4643" xr:uid="{00000000-0005-0000-0000-0000F8240000}"/>
    <cellStyle name="Normal 7 4 3 6 2" xfId="6318" xr:uid="{00000000-0005-0000-0000-0000F9240000}"/>
    <cellStyle name="Normal 7 4 3 6 2 2" xfId="9668" xr:uid="{00000000-0005-0000-0000-0000FA240000}"/>
    <cellStyle name="Normal 7 4 3 6 3" xfId="11343" xr:uid="{00000000-0005-0000-0000-0000FB240000}"/>
    <cellStyle name="Normal 7 4 3 6 4" xfId="7993" xr:uid="{00000000-0005-0000-0000-0000FC240000}"/>
    <cellStyle name="Normal 7 4 3 7" xfId="5351" xr:uid="{00000000-0005-0000-0000-0000FD240000}"/>
    <cellStyle name="Normal 7 4 3 7 2" xfId="8701" xr:uid="{00000000-0005-0000-0000-0000FE240000}"/>
    <cellStyle name="Normal 7 4 3 8" xfId="10376" xr:uid="{00000000-0005-0000-0000-0000FF240000}"/>
    <cellStyle name="Normal 7 4 3 9" xfId="7026" xr:uid="{00000000-0005-0000-0000-000000250000}"/>
    <cellStyle name="Normal 7 4 4" xfId="3700" xr:uid="{00000000-0005-0000-0000-000001250000}"/>
    <cellStyle name="Normal 7 4 4 2" xfId="3818" xr:uid="{00000000-0005-0000-0000-000002250000}"/>
    <cellStyle name="Normal 7 4 4 2 2" xfId="4054" xr:uid="{00000000-0005-0000-0000-000003250000}"/>
    <cellStyle name="Normal 7 4 4 2 2 2" xfId="5021" xr:uid="{00000000-0005-0000-0000-000004250000}"/>
    <cellStyle name="Normal 7 4 4 2 2 2 2" xfId="6696" xr:uid="{00000000-0005-0000-0000-000005250000}"/>
    <cellStyle name="Normal 7 4 4 2 2 2 2 2" xfId="10046" xr:uid="{00000000-0005-0000-0000-000006250000}"/>
    <cellStyle name="Normal 7 4 4 2 2 2 3" xfId="11721" xr:uid="{00000000-0005-0000-0000-000007250000}"/>
    <cellStyle name="Normal 7 4 4 2 2 2 4" xfId="8371" xr:uid="{00000000-0005-0000-0000-000008250000}"/>
    <cellStyle name="Normal 7 4 4 2 2 3" xfId="5729" xr:uid="{00000000-0005-0000-0000-000009250000}"/>
    <cellStyle name="Normal 7 4 4 2 2 3 2" xfId="9079" xr:uid="{00000000-0005-0000-0000-00000A250000}"/>
    <cellStyle name="Normal 7 4 4 2 2 4" xfId="10754" xr:uid="{00000000-0005-0000-0000-00000B250000}"/>
    <cellStyle name="Normal 7 4 4 2 2 5" xfId="7404" xr:uid="{00000000-0005-0000-0000-00000C250000}"/>
    <cellStyle name="Normal 7 4 4 2 3" xfId="4290" xr:uid="{00000000-0005-0000-0000-00000D250000}"/>
    <cellStyle name="Normal 7 4 4 2 3 2" xfId="5257" xr:uid="{00000000-0005-0000-0000-00000E250000}"/>
    <cellStyle name="Normal 7 4 4 2 3 2 2" xfId="6932" xr:uid="{00000000-0005-0000-0000-00000F250000}"/>
    <cellStyle name="Normal 7 4 4 2 3 2 2 2" xfId="10282" xr:uid="{00000000-0005-0000-0000-000010250000}"/>
    <cellStyle name="Normal 7 4 4 2 3 2 3" xfId="11957" xr:uid="{00000000-0005-0000-0000-000011250000}"/>
    <cellStyle name="Normal 7 4 4 2 3 2 4" xfId="8607" xr:uid="{00000000-0005-0000-0000-000012250000}"/>
    <cellStyle name="Normal 7 4 4 2 3 3" xfId="5965" xr:uid="{00000000-0005-0000-0000-000013250000}"/>
    <cellStyle name="Normal 7 4 4 2 3 3 2" xfId="9315" xr:uid="{00000000-0005-0000-0000-000014250000}"/>
    <cellStyle name="Normal 7 4 4 2 3 4" xfId="10990" xr:uid="{00000000-0005-0000-0000-000015250000}"/>
    <cellStyle name="Normal 7 4 4 2 3 5" xfId="7640" xr:uid="{00000000-0005-0000-0000-000016250000}"/>
    <cellStyle name="Normal 7 4 4 2 4" xfId="4526" xr:uid="{00000000-0005-0000-0000-000017250000}"/>
    <cellStyle name="Normal 7 4 4 2 4 2" xfId="6201" xr:uid="{00000000-0005-0000-0000-000018250000}"/>
    <cellStyle name="Normal 7 4 4 2 4 2 2" xfId="9551" xr:uid="{00000000-0005-0000-0000-000019250000}"/>
    <cellStyle name="Normal 7 4 4 2 4 3" xfId="11226" xr:uid="{00000000-0005-0000-0000-00001A250000}"/>
    <cellStyle name="Normal 7 4 4 2 4 4" xfId="7876" xr:uid="{00000000-0005-0000-0000-00001B250000}"/>
    <cellStyle name="Normal 7 4 4 2 5" xfId="4785" xr:uid="{00000000-0005-0000-0000-00001C250000}"/>
    <cellStyle name="Normal 7 4 4 2 5 2" xfId="6460" xr:uid="{00000000-0005-0000-0000-00001D250000}"/>
    <cellStyle name="Normal 7 4 4 2 5 2 2" xfId="9810" xr:uid="{00000000-0005-0000-0000-00001E250000}"/>
    <cellStyle name="Normal 7 4 4 2 5 3" xfId="11485" xr:uid="{00000000-0005-0000-0000-00001F250000}"/>
    <cellStyle name="Normal 7 4 4 2 5 4" xfId="8135" xr:uid="{00000000-0005-0000-0000-000020250000}"/>
    <cellStyle name="Normal 7 4 4 2 6" xfId="5493" xr:uid="{00000000-0005-0000-0000-000021250000}"/>
    <cellStyle name="Normal 7 4 4 2 6 2" xfId="8843" xr:uid="{00000000-0005-0000-0000-000022250000}"/>
    <cellStyle name="Normal 7 4 4 2 7" xfId="10518" xr:uid="{00000000-0005-0000-0000-000023250000}"/>
    <cellStyle name="Normal 7 4 4 2 8" xfId="7168" xr:uid="{00000000-0005-0000-0000-000024250000}"/>
    <cellStyle name="Normal 7 4 4 3" xfId="3936" xr:uid="{00000000-0005-0000-0000-000025250000}"/>
    <cellStyle name="Normal 7 4 4 3 2" xfId="4903" xr:uid="{00000000-0005-0000-0000-000026250000}"/>
    <cellStyle name="Normal 7 4 4 3 2 2" xfId="6578" xr:uid="{00000000-0005-0000-0000-000027250000}"/>
    <cellStyle name="Normal 7 4 4 3 2 2 2" xfId="9928" xr:uid="{00000000-0005-0000-0000-000028250000}"/>
    <cellStyle name="Normal 7 4 4 3 2 3" xfId="11603" xr:uid="{00000000-0005-0000-0000-000029250000}"/>
    <cellStyle name="Normal 7 4 4 3 2 4" xfId="8253" xr:uid="{00000000-0005-0000-0000-00002A250000}"/>
    <cellStyle name="Normal 7 4 4 3 3" xfId="5611" xr:uid="{00000000-0005-0000-0000-00002B250000}"/>
    <cellStyle name="Normal 7 4 4 3 3 2" xfId="8961" xr:uid="{00000000-0005-0000-0000-00002C250000}"/>
    <cellStyle name="Normal 7 4 4 3 4" xfId="10636" xr:uid="{00000000-0005-0000-0000-00002D250000}"/>
    <cellStyle name="Normal 7 4 4 3 5" xfId="7286" xr:uid="{00000000-0005-0000-0000-00002E250000}"/>
    <cellStyle name="Normal 7 4 4 4" xfId="4172" xr:uid="{00000000-0005-0000-0000-00002F250000}"/>
    <cellStyle name="Normal 7 4 4 4 2" xfId="5139" xr:uid="{00000000-0005-0000-0000-000030250000}"/>
    <cellStyle name="Normal 7 4 4 4 2 2" xfId="6814" xr:uid="{00000000-0005-0000-0000-000031250000}"/>
    <cellStyle name="Normal 7 4 4 4 2 2 2" xfId="10164" xr:uid="{00000000-0005-0000-0000-000032250000}"/>
    <cellStyle name="Normal 7 4 4 4 2 3" xfId="11839" xr:uid="{00000000-0005-0000-0000-000033250000}"/>
    <cellStyle name="Normal 7 4 4 4 2 4" xfId="8489" xr:uid="{00000000-0005-0000-0000-000034250000}"/>
    <cellStyle name="Normal 7 4 4 4 3" xfId="5847" xr:uid="{00000000-0005-0000-0000-000035250000}"/>
    <cellStyle name="Normal 7 4 4 4 3 2" xfId="9197" xr:uid="{00000000-0005-0000-0000-000036250000}"/>
    <cellStyle name="Normal 7 4 4 4 4" xfId="10872" xr:uid="{00000000-0005-0000-0000-000037250000}"/>
    <cellStyle name="Normal 7 4 4 4 5" xfId="7522" xr:uid="{00000000-0005-0000-0000-000038250000}"/>
    <cellStyle name="Normal 7 4 4 5" xfId="4408" xr:uid="{00000000-0005-0000-0000-000039250000}"/>
    <cellStyle name="Normal 7 4 4 5 2" xfId="6083" xr:uid="{00000000-0005-0000-0000-00003A250000}"/>
    <cellStyle name="Normal 7 4 4 5 2 2" xfId="9433" xr:uid="{00000000-0005-0000-0000-00003B250000}"/>
    <cellStyle name="Normal 7 4 4 5 3" xfId="11108" xr:uid="{00000000-0005-0000-0000-00003C250000}"/>
    <cellStyle name="Normal 7 4 4 5 4" xfId="7758" xr:uid="{00000000-0005-0000-0000-00003D250000}"/>
    <cellStyle name="Normal 7 4 4 6" xfId="4667" xr:uid="{00000000-0005-0000-0000-00003E250000}"/>
    <cellStyle name="Normal 7 4 4 6 2" xfId="6342" xr:uid="{00000000-0005-0000-0000-00003F250000}"/>
    <cellStyle name="Normal 7 4 4 6 2 2" xfId="9692" xr:uid="{00000000-0005-0000-0000-000040250000}"/>
    <cellStyle name="Normal 7 4 4 6 3" xfId="11367" xr:uid="{00000000-0005-0000-0000-000041250000}"/>
    <cellStyle name="Normal 7 4 4 6 4" xfId="8017" xr:uid="{00000000-0005-0000-0000-000042250000}"/>
    <cellStyle name="Normal 7 4 4 7" xfId="5375" xr:uid="{00000000-0005-0000-0000-000043250000}"/>
    <cellStyle name="Normal 7 4 4 7 2" xfId="8725" xr:uid="{00000000-0005-0000-0000-000044250000}"/>
    <cellStyle name="Normal 7 4 4 8" xfId="10400" xr:uid="{00000000-0005-0000-0000-000045250000}"/>
    <cellStyle name="Normal 7 4 4 9" xfId="7050" xr:uid="{00000000-0005-0000-0000-000046250000}"/>
    <cellStyle name="Normal 7 4 5" xfId="3724" xr:uid="{00000000-0005-0000-0000-000047250000}"/>
    <cellStyle name="Normal 7 4 5 2" xfId="3842" xr:uid="{00000000-0005-0000-0000-000048250000}"/>
    <cellStyle name="Normal 7 4 5 2 2" xfId="4078" xr:uid="{00000000-0005-0000-0000-000049250000}"/>
    <cellStyle name="Normal 7 4 5 2 2 2" xfId="5045" xr:uid="{00000000-0005-0000-0000-00004A250000}"/>
    <cellStyle name="Normal 7 4 5 2 2 2 2" xfId="6720" xr:uid="{00000000-0005-0000-0000-00004B250000}"/>
    <cellStyle name="Normal 7 4 5 2 2 2 2 2" xfId="10070" xr:uid="{00000000-0005-0000-0000-00004C250000}"/>
    <cellStyle name="Normal 7 4 5 2 2 2 3" xfId="11745" xr:uid="{00000000-0005-0000-0000-00004D250000}"/>
    <cellStyle name="Normal 7 4 5 2 2 2 4" xfId="8395" xr:uid="{00000000-0005-0000-0000-00004E250000}"/>
    <cellStyle name="Normal 7 4 5 2 2 3" xfId="5753" xr:uid="{00000000-0005-0000-0000-00004F250000}"/>
    <cellStyle name="Normal 7 4 5 2 2 3 2" xfId="9103" xr:uid="{00000000-0005-0000-0000-000050250000}"/>
    <cellStyle name="Normal 7 4 5 2 2 4" xfId="10778" xr:uid="{00000000-0005-0000-0000-000051250000}"/>
    <cellStyle name="Normal 7 4 5 2 2 5" xfId="7428" xr:uid="{00000000-0005-0000-0000-000052250000}"/>
    <cellStyle name="Normal 7 4 5 2 3" xfId="4314" xr:uid="{00000000-0005-0000-0000-000053250000}"/>
    <cellStyle name="Normal 7 4 5 2 3 2" xfId="5281" xr:uid="{00000000-0005-0000-0000-000054250000}"/>
    <cellStyle name="Normal 7 4 5 2 3 2 2" xfId="6956" xr:uid="{00000000-0005-0000-0000-000055250000}"/>
    <cellStyle name="Normal 7 4 5 2 3 2 2 2" xfId="10306" xr:uid="{00000000-0005-0000-0000-000056250000}"/>
    <cellStyle name="Normal 7 4 5 2 3 2 3" xfId="11981" xr:uid="{00000000-0005-0000-0000-000057250000}"/>
    <cellStyle name="Normal 7 4 5 2 3 2 4" xfId="8631" xr:uid="{00000000-0005-0000-0000-000058250000}"/>
    <cellStyle name="Normal 7 4 5 2 3 3" xfId="5989" xr:uid="{00000000-0005-0000-0000-000059250000}"/>
    <cellStyle name="Normal 7 4 5 2 3 3 2" xfId="9339" xr:uid="{00000000-0005-0000-0000-00005A250000}"/>
    <cellStyle name="Normal 7 4 5 2 3 4" xfId="11014" xr:uid="{00000000-0005-0000-0000-00005B250000}"/>
    <cellStyle name="Normal 7 4 5 2 3 5" xfId="7664" xr:uid="{00000000-0005-0000-0000-00005C250000}"/>
    <cellStyle name="Normal 7 4 5 2 4" xfId="4550" xr:uid="{00000000-0005-0000-0000-00005D250000}"/>
    <cellStyle name="Normal 7 4 5 2 4 2" xfId="6225" xr:uid="{00000000-0005-0000-0000-00005E250000}"/>
    <cellStyle name="Normal 7 4 5 2 4 2 2" xfId="9575" xr:uid="{00000000-0005-0000-0000-00005F250000}"/>
    <cellStyle name="Normal 7 4 5 2 4 3" xfId="11250" xr:uid="{00000000-0005-0000-0000-000060250000}"/>
    <cellStyle name="Normal 7 4 5 2 4 4" xfId="7900" xr:uid="{00000000-0005-0000-0000-000061250000}"/>
    <cellStyle name="Normal 7 4 5 2 5" xfId="4809" xr:uid="{00000000-0005-0000-0000-000062250000}"/>
    <cellStyle name="Normal 7 4 5 2 5 2" xfId="6484" xr:uid="{00000000-0005-0000-0000-000063250000}"/>
    <cellStyle name="Normal 7 4 5 2 5 2 2" xfId="9834" xr:uid="{00000000-0005-0000-0000-000064250000}"/>
    <cellStyle name="Normal 7 4 5 2 5 3" xfId="11509" xr:uid="{00000000-0005-0000-0000-000065250000}"/>
    <cellStyle name="Normal 7 4 5 2 5 4" xfId="8159" xr:uid="{00000000-0005-0000-0000-000066250000}"/>
    <cellStyle name="Normal 7 4 5 2 6" xfId="5517" xr:uid="{00000000-0005-0000-0000-000067250000}"/>
    <cellStyle name="Normal 7 4 5 2 6 2" xfId="8867" xr:uid="{00000000-0005-0000-0000-000068250000}"/>
    <cellStyle name="Normal 7 4 5 2 7" xfId="10542" xr:uid="{00000000-0005-0000-0000-000069250000}"/>
    <cellStyle name="Normal 7 4 5 2 8" xfId="7192" xr:uid="{00000000-0005-0000-0000-00006A250000}"/>
    <cellStyle name="Normal 7 4 5 3" xfId="3960" xr:uid="{00000000-0005-0000-0000-00006B250000}"/>
    <cellStyle name="Normal 7 4 5 3 2" xfId="4927" xr:uid="{00000000-0005-0000-0000-00006C250000}"/>
    <cellStyle name="Normal 7 4 5 3 2 2" xfId="6602" xr:uid="{00000000-0005-0000-0000-00006D250000}"/>
    <cellStyle name="Normal 7 4 5 3 2 2 2" xfId="9952" xr:uid="{00000000-0005-0000-0000-00006E250000}"/>
    <cellStyle name="Normal 7 4 5 3 2 3" xfId="11627" xr:uid="{00000000-0005-0000-0000-00006F250000}"/>
    <cellStyle name="Normal 7 4 5 3 2 4" xfId="8277" xr:uid="{00000000-0005-0000-0000-000070250000}"/>
    <cellStyle name="Normal 7 4 5 3 3" xfId="5635" xr:uid="{00000000-0005-0000-0000-000071250000}"/>
    <cellStyle name="Normal 7 4 5 3 3 2" xfId="8985" xr:uid="{00000000-0005-0000-0000-000072250000}"/>
    <cellStyle name="Normal 7 4 5 3 4" xfId="10660" xr:uid="{00000000-0005-0000-0000-000073250000}"/>
    <cellStyle name="Normal 7 4 5 3 5" xfId="7310" xr:uid="{00000000-0005-0000-0000-000074250000}"/>
    <cellStyle name="Normal 7 4 5 4" xfId="4196" xr:uid="{00000000-0005-0000-0000-000075250000}"/>
    <cellStyle name="Normal 7 4 5 4 2" xfId="5163" xr:uid="{00000000-0005-0000-0000-000076250000}"/>
    <cellStyle name="Normal 7 4 5 4 2 2" xfId="6838" xr:uid="{00000000-0005-0000-0000-000077250000}"/>
    <cellStyle name="Normal 7 4 5 4 2 2 2" xfId="10188" xr:uid="{00000000-0005-0000-0000-000078250000}"/>
    <cellStyle name="Normal 7 4 5 4 2 3" xfId="11863" xr:uid="{00000000-0005-0000-0000-000079250000}"/>
    <cellStyle name="Normal 7 4 5 4 2 4" xfId="8513" xr:uid="{00000000-0005-0000-0000-00007A250000}"/>
    <cellStyle name="Normal 7 4 5 4 3" xfId="5871" xr:uid="{00000000-0005-0000-0000-00007B250000}"/>
    <cellStyle name="Normal 7 4 5 4 3 2" xfId="9221" xr:uid="{00000000-0005-0000-0000-00007C250000}"/>
    <cellStyle name="Normal 7 4 5 4 4" xfId="10896" xr:uid="{00000000-0005-0000-0000-00007D250000}"/>
    <cellStyle name="Normal 7 4 5 4 5" xfId="7546" xr:uid="{00000000-0005-0000-0000-00007E250000}"/>
    <cellStyle name="Normal 7 4 5 5" xfId="4432" xr:uid="{00000000-0005-0000-0000-00007F250000}"/>
    <cellStyle name="Normal 7 4 5 5 2" xfId="6107" xr:uid="{00000000-0005-0000-0000-000080250000}"/>
    <cellStyle name="Normal 7 4 5 5 2 2" xfId="9457" xr:uid="{00000000-0005-0000-0000-000081250000}"/>
    <cellStyle name="Normal 7 4 5 5 3" xfId="11132" xr:uid="{00000000-0005-0000-0000-000082250000}"/>
    <cellStyle name="Normal 7 4 5 5 4" xfId="7782" xr:uid="{00000000-0005-0000-0000-000083250000}"/>
    <cellStyle name="Normal 7 4 5 6" xfId="4691" xr:uid="{00000000-0005-0000-0000-000084250000}"/>
    <cellStyle name="Normal 7 4 5 6 2" xfId="6366" xr:uid="{00000000-0005-0000-0000-000085250000}"/>
    <cellStyle name="Normal 7 4 5 6 2 2" xfId="9716" xr:uid="{00000000-0005-0000-0000-000086250000}"/>
    <cellStyle name="Normal 7 4 5 6 3" xfId="11391" xr:uid="{00000000-0005-0000-0000-000087250000}"/>
    <cellStyle name="Normal 7 4 5 6 4" xfId="8041" xr:uid="{00000000-0005-0000-0000-000088250000}"/>
    <cellStyle name="Normal 7 4 5 7" xfId="5399" xr:uid="{00000000-0005-0000-0000-000089250000}"/>
    <cellStyle name="Normal 7 4 5 7 2" xfId="8749" xr:uid="{00000000-0005-0000-0000-00008A250000}"/>
    <cellStyle name="Normal 7 4 5 8" xfId="10424" xr:uid="{00000000-0005-0000-0000-00008B250000}"/>
    <cellStyle name="Normal 7 4 5 9" xfId="7074" xr:uid="{00000000-0005-0000-0000-00008C250000}"/>
    <cellStyle name="Normal 7 4 6" xfId="3748" xr:uid="{00000000-0005-0000-0000-00008D250000}"/>
    <cellStyle name="Normal 7 4 6 2" xfId="3984" xr:uid="{00000000-0005-0000-0000-00008E250000}"/>
    <cellStyle name="Normal 7 4 6 2 2" xfId="4951" xr:uid="{00000000-0005-0000-0000-00008F250000}"/>
    <cellStyle name="Normal 7 4 6 2 2 2" xfId="6626" xr:uid="{00000000-0005-0000-0000-000090250000}"/>
    <cellStyle name="Normal 7 4 6 2 2 2 2" xfId="9976" xr:uid="{00000000-0005-0000-0000-000091250000}"/>
    <cellStyle name="Normal 7 4 6 2 2 3" xfId="11651" xr:uid="{00000000-0005-0000-0000-000092250000}"/>
    <cellStyle name="Normal 7 4 6 2 2 4" xfId="8301" xr:uid="{00000000-0005-0000-0000-000093250000}"/>
    <cellStyle name="Normal 7 4 6 2 3" xfId="5659" xr:uid="{00000000-0005-0000-0000-000094250000}"/>
    <cellStyle name="Normal 7 4 6 2 3 2" xfId="9009" xr:uid="{00000000-0005-0000-0000-000095250000}"/>
    <cellStyle name="Normal 7 4 6 2 4" xfId="10684" xr:uid="{00000000-0005-0000-0000-000096250000}"/>
    <cellStyle name="Normal 7 4 6 2 5" xfId="7334" xr:uid="{00000000-0005-0000-0000-000097250000}"/>
    <cellStyle name="Normal 7 4 6 3" xfId="4220" xr:uid="{00000000-0005-0000-0000-000098250000}"/>
    <cellStyle name="Normal 7 4 6 3 2" xfId="5187" xr:uid="{00000000-0005-0000-0000-000099250000}"/>
    <cellStyle name="Normal 7 4 6 3 2 2" xfId="6862" xr:uid="{00000000-0005-0000-0000-00009A250000}"/>
    <cellStyle name="Normal 7 4 6 3 2 2 2" xfId="10212" xr:uid="{00000000-0005-0000-0000-00009B250000}"/>
    <cellStyle name="Normal 7 4 6 3 2 3" xfId="11887" xr:uid="{00000000-0005-0000-0000-00009C250000}"/>
    <cellStyle name="Normal 7 4 6 3 2 4" xfId="8537" xr:uid="{00000000-0005-0000-0000-00009D250000}"/>
    <cellStyle name="Normal 7 4 6 3 3" xfId="5895" xr:uid="{00000000-0005-0000-0000-00009E250000}"/>
    <cellStyle name="Normal 7 4 6 3 3 2" xfId="9245" xr:uid="{00000000-0005-0000-0000-00009F250000}"/>
    <cellStyle name="Normal 7 4 6 3 4" xfId="10920" xr:uid="{00000000-0005-0000-0000-0000A0250000}"/>
    <cellStyle name="Normal 7 4 6 3 5" xfId="7570" xr:uid="{00000000-0005-0000-0000-0000A1250000}"/>
    <cellStyle name="Normal 7 4 6 4" xfId="4456" xr:uid="{00000000-0005-0000-0000-0000A2250000}"/>
    <cellStyle name="Normal 7 4 6 4 2" xfId="6131" xr:uid="{00000000-0005-0000-0000-0000A3250000}"/>
    <cellStyle name="Normal 7 4 6 4 2 2" xfId="9481" xr:uid="{00000000-0005-0000-0000-0000A4250000}"/>
    <cellStyle name="Normal 7 4 6 4 3" xfId="11156" xr:uid="{00000000-0005-0000-0000-0000A5250000}"/>
    <cellStyle name="Normal 7 4 6 4 4" xfId="7806" xr:uid="{00000000-0005-0000-0000-0000A6250000}"/>
    <cellStyle name="Normal 7 4 6 5" xfId="4715" xr:uid="{00000000-0005-0000-0000-0000A7250000}"/>
    <cellStyle name="Normal 7 4 6 5 2" xfId="6390" xr:uid="{00000000-0005-0000-0000-0000A8250000}"/>
    <cellStyle name="Normal 7 4 6 5 2 2" xfId="9740" xr:uid="{00000000-0005-0000-0000-0000A9250000}"/>
    <cellStyle name="Normal 7 4 6 5 3" xfId="11415" xr:uid="{00000000-0005-0000-0000-0000AA250000}"/>
    <cellStyle name="Normal 7 4 6 5 4" xfId="8065" xr:uid="{00000000-0005-0000-0000-0000AB250000}"/>
    <cellStyle name="Normal 7 4 6 6" xfId="5423" xr:uid="{00000000-0005-0000-0000-0000AC250000}"/>
    <cellStyle name="Normal 7 4 6 6 2" xfId="8773" xr:uid="{00000000-0005-0000-0000-0000AD250000}"/>
    <cellStyle name="Normal 7 4 6 7" xfId="10448" xr:uid="{00000000-0005-0000-0000-0000AE250000}"/>
    <cellStyle name="Normal 7 4 6 8" xfId="7098" xr:uid="{00000000-0005-0000-0000-0000AF250000}"/>
    <cellStyle name="Normal 7 4 7" xfId="3866" xr:uid="{00000000-0005-0000-0000-0000B0250000}"/>
    <cellStyle name="Normal 7 4 7 2" xfId="4833" xr:uid="{00000000-0005-0000-0000-0000B1250000}"/>
    <cellStyle name="Normal 7 4 7 2 2" xfId="6508" xr:uid="{00000000-0005-0000-0000-0000B2250000}"/>
    <cellStyle name="Normal 7 4 7 2 2 2" xfId="9858" xr:uid="{00000000-0005-0000-0000-0000B3250000}"/>
    <cellStyle name="Normal 7 4 7 2 3" xfId="11533" xr:uid="{00000000-0005-0000-0000-0000B4250000}"/>
    <cellStyle name="Normal 7 4 7 2 4" xfId="8183" xr:uid="{00000000-0005-0000-0000-0000B5250000}"/>
    <cellStyle name="Normal 7 4 7 3" xfId="5541" xr:uid="{00000000-0005-0000-0000-0000B6250000}"/>
    <cellStyle name="Normal 7 4 7 3 2" xfId="8891" xr:uid="{00000000-0005-0000-0000-0000B7250000}"/>
    <cellStyle name="Normal 7 4 7 4" xfId="10566" xr:uid="{00000000-0005-0000-0000-0000B8250000}"/>
    <cellStyle name="Normal 7 4 7 5" xfId="7216" xr:uid="{00000000-0005-0000-0000-0000B9250000}"/>
    <cellStyle name="Normal 7 4 8" xfId="4102" xr:uid="{00000000-0005-0000-0000-0000BA250000}"/>
    <cellStyle name="Normal 7 4 8 2" xfId="5069" xr:uid="{00000000-0005-0000-0000-0000BB250000}"/>
    <cellStyle name="Normal 7 4 8 2 2" xfId="6744" xr:uid="{00000000-0005-0000-0000-0000BC250000}"/>
    <cellStyle name="Normal 7 4 8 2 2 2" xfId="10094" xr:uid="{00000000-0005-0000-0000-0000BD250000}"/>
    <cellStyle name="Normal 7 4 8 2 3" xfId="11769" xr:uid="{00000000-0005-0000-0000-0000BE250000}"/>
    <cellStyle name="Normal 7 4 8 2 4" xfId="8419" xr:uid="{00000000-0005-0000-0000-0000BF250000}"/>
    <cellStyle name="Normal 7 4 8 3" xfId="5777" xr:uid="{00000000-0005-0000-0000-0000C0250000}"/>
    <cellStyle name="Normal 7 4 8 3 2" xfId="9127" xr:uid="{00000000-0005-0000-0000-0000C1250000}"/>
    <cellStyle name="Normal 7 4 8 4" xfId="10802" xr:uid="{00000000-0005-0000-0000-0000C2250000}"/>
    <cellStyle name="Normal 7 4 8 5" xfId="7452" xr:uid="{00000000-0005-0000-0000-0000C3250000}"/>
    <cellStyle name="Normal 7 4 9" xfId="4338" xr:uid="{00000000-0005-0000-0000-0000C4250000}"/>
    <cellStyle name="Normal 7 4 9 2" xfId="4597" xr:uid="{00000000-0005-0000-0000-0000C5250000}"/>
    <cellStyle name="Normal 7 4 9 2 2" xfId="6272" xr:uid="{00000000-0005-0000-0000-0000C6250000}"/>
    <cellStyle name="Normal 7 4 9 2 2 2" xfId="9622" xr:uid="{00000000-0005-0000-0000-0000C7250000}"/>
    <cellStyle name="Normal 7 4 9 2 3" xfId="11297" xr:uid="{00000000-0005-0000-0000-0000C8250000}"/>
    <cellStyle name="Normal 7 4 9 2 4" xfId="7947" xr:uid="{00000000-0005-0000-0000-0000C9250000}"/>
    <cellStyle name="Normal 7 4 9 3" xfId="6013" xr:uid="{00000000-0005-0000-0000-0000CA250000}"/>
    <cellStyle name="Normal 7 4 9 3 2" xfId="9363" xr:uid="{00000000-0005-0000-0000-0000CB250000}"/>
    <cellStyle name="Normal 7 4 9 4" xfId="11038" xr:uid="{00000000-0005-0000-0000-0000CC250000}"/>
    <cellStyle name="Normal 7 4 9 5" xfId="7688" xr:uid="{00000000-0005-0000-0000-0000CD250000}"/>
    <cellStyle name="Normal 8" xfId="2890" xr:uid="{00000000-0005-0000-0000-00004A0B0000}"/>
    <cellStyle name="Normal 8 2" xfId="2891" xr:uid="{00000000-0005-0000-0000-00004B0B0000}"/>
    <cellStyle name="Normal 8 2 2" xfId="2892" xr:uid="{00000000-0005-0000-0000-00004C0B0000}"/>
    <cellStyle name="Normal 8 2 3" xfId="2893" xr:uid="{00000000-0005-0000-0000-00004D0B0000}"/>
    <cellStyle name="Normal 8 2 3 2" xfId="2894" xr:uid="{00000000-0005-0000-0000-00004E0B0000}"/>
    <cellStyle name="Normal 8 2 4" xfId="2895" xr:uid="{00000000-0005-0000-0000-00004F0B0000}"/>
    <cellStyle name="Normal 8 3" xfId="2896" xr:uid="{00000000-0005-0000-0000-0000500B0000}"/>
    <cellStyle name="Normal 8 3 2" xfId="2897" xr:uid="{00000000-0005-0000-0000-0000510B0000}"/>
    <cellStyle name="Normal 8 3 2 2" xfId="2898" xr:uid="{00000000-0005-0000-0000-0000520B0000}"/>
    <cellStyle name="Normal 8 3 2 2 2" xfId="2899" xr:uid="{00000000-0005-0000-0000-0000530B0000}"/>
    <cellStyle name="Normal 8 3 2 3" xfId="2900" xr:uid="{00000000-0005-0000-0000-0000540B0000}"/>
    <cellStyle name="Normal 8 3 3" xfId="2901" xr:uid="{00000000-0005-0000-0000-0000550B0000}"/>
    <cellStyle name="Normal 8 3 4" xfId="2902" xr:uid="{00000000-0005-0000-0000-0000560B0000}"/>
    <cellStyle name="Normal 8 3 5" xfId="2903" xr:uid="{00000000-0005-0000-0000-0000570B0000}"/>
    <cellStyle name="Normal 8 4" xfId="2904" xr:uid="{00000000-0005-0000-0000-0000580B0000}"/>
    <cellStyle name="Normal 8 5" xfId="2905" xr:uid="{00000000-0005-0000-0000-0000590B0000}"/>
    <cellStyle name="Normal 8 6" xfId="2906" xr:uid="{00000000-0005-0000-0000-00005A0B0000}"/>
    <cellStyle name="Normal 8 7" xfId="2907" xr:uid="{00000000-0005-0000-0000-00005B0B0000}"/>
    <cellStyle name="Normal 9" xfId="2908" xr:uid="{00000000-0005-0000-0000-00005C0B0000}"/>
    <cellStyle name="Normal 9 2" xfId="2909" xr:uid="{00000000-0005-0000-0000-00005D0B0000}"/>
    <cellStyle name="Normal 9 2 2" xfId="2910" xr:uid="{00000000-0005-0000-0000-00005E0B0000}"/>
    <cellStyle name="Normal 9 3" xfId="2911" xr:uid="{00000000-0005-0000-0000-00005F0B0000}"/>
    <cellStyle name="Normal 9 3 10" xfId="4575" xr:uid="{00000000-0005-0000-0000-0000D7250000}"/>
    <cellStyle name="Normal 9 3 10 2" xfId="6250" xr:uid="{00000000-0005-0000-0000-0000D8250000}"/>
    <cellStyle name="Normal 9 3 10 2 2" xfId="9600" xr:uid="{00000000-0005-0000-0000-0000D9250000}"/>
    <cellStyle name="Normal 9 3 10 3" xfId="11275" xr:uid="{00000000-0005-0000-0000-0000DA250000}"/>
    <cellStyle name="Normal 9 3 10 4" xfId="7925" xr:uid="{00000000-0005-0000-0000-0000DB250000}"/>
    <cellStyle name="Normal 9 3 11" xfId="5306" xr:uid="{00000000-0005-0000-0000-0000DC250000}"/>
    <cellStyle name="Normal 9 3 11 2" xfId="8656" xr:uid="{00000000-0005-0000-0000-0000DD250000}"/>
    <cellStyle name="Normal 9 3 12" xfId="10331" xr:uid="{00000000-0005-0000-0000-0000DE250000}"/>
    <cellStyle name="Normal 9 3 13" xfId="6981" xr:uid="{00000000-0005-0000-0000-0000DF250000}"/>
    <cellStyle name="Normal 9 3 14" xfId="3421" xr:uid="{00000000-0005-0000-0000-0000D6250000}"/>
    <cellStyle name="Normal 9 3 2" xfId="3654" xr:uid="{00000000-0005-0000-0000-0000E0250000}"/>
    <cellStyle name="Normal 9 3 2 2" xfId="3772" xr:uid="{00000000-0005-0000-0000-0000E1250000}"/>
    <cellStyle name="Normal 9 3 2 2 2" xfId="4008" xr:uid="{00000000-0005-0000-0000-0000E2250000}"/>
    <cellStyle name="Normal 9 3 2 2 2 2" xfId="4975" xr:uid="{00000000-0005-0000-0000-0000E3250000}"/>
    <cellStyle name="Normal 9 3 2 2 2 2 2" xfId="6650" xr:uid="{00000000-0005-0000-0000-0000E4250000}"/>
    <cellStyle name="Normal 9 3 2 2 2 2 2 2" xfId="10000" xr:uid="{00000000-0005-0000-0000-0000E5250000}"/>
    <cellStyle name="Normal 9 3 2 2 2 2 3" xfId="11675" xr:uid="{00000000-0005-0000-0000-0000E6250000}"/>
    <cellStyle name="Normal 9 3 2 2 2 2 4" xfId="8325" xr:uid="{00000000-0005-0000-0000-0000E7250000}"/>
    <cellStyle name="Normal 9 3 2 2 2 3" xfId="5683" xr:uid="{00000000-0005-0000-0000-0000E8250000}"/>
    <cellStyle name="Normal 9 3 2 2 2 3 2" xfId="9033" xr:uid="{00000000-0005-0000-0000-0000E9250000}"/>
    <cellStyle name="Normal 9 3 2 2 2 4" xfId="10708" xr:uid="{00000000-0005-0000-0000-0000EA250000}"/>
    <cellStyle name="Normal 9 3 2 2 2 5" xfId="7358" xr:uid="{00000000-0005-0000-0000-0000EB250000}"/>
    <cellStyle name="Normal 9 3 2 2 3" xfId="4244" xr:uid="{00000000-0005-0000-0000-0000EC250000}"/>
    <cellStyle name="Normal 9 3 2 2 3 2" xfId="5211" xr:uid="{00000000-0005-0000-0000-0000ED250000}"/>
    <cellStyle name="Normal 9 3 2 2 3 2 2" xfId="6886" xr:uid="{00000000-0005-0000-0000-0000EE250000}"/>
    <cellStyle name="Normal 9 3 2 2 3 2 2 2" xfId="10236" xr:uid="{00000000-0005-0000-0000-0000EF250000}"/>
    <cellStyle name="Normal 9 3 2 2 3 2 3" xfId="11911" xr:uid="{00000000-0005-0000-0000-0000F0250000}"/>
    <cellStyle name="Normal 9 3 2 2 3 2 4" xfId="8561" xr:uid="{00000000-0005-0000-0000-0000F1250000}"/>
    <cellStyle name="Normal 9 3 2 2 3 3" xfId="5919" xr:uid="{00000000-0005-0000-0000-0000F2250000}"/>
    <cellStyle name="Normal 9 3 2 2 3 3 2" xfId="9269" xr:uid="{00000000-0005-0000-0000-0000F3250000}"/>
    <cellStyle name="Normal 9 3 2 2 3 4" xfId="10944" xr:uid="{00000000-0005-0000-0000-0000F4250000}"/>
    <cellStyle name="Normal 9 3 2 2 3 5" xfId="7594" xr:uid="{00000000-0005-0000-0000-0000F5250000}"/>
    <cellStyle name="Normal 9 3 2 2 4" xfId="4480" xr:uid="{00000000-0005-0000-0000-0000F6250000}"/>
    <cellStyle name="Normal 9 3 2 2 4 2" xfId="6155" xr:uid="{00000000-0005-0000-0000-0000F7250000}"/>
    <cellStyle name="Normal 9 3 2 2 4 2 2" xfId="9505" xr:uid="{00000000-0005-0000-0000-0000F8250000}"/>
    <cellStyle name="Normal 9 3 2 2 4 3" xfId="11180" xr:uid="{00000000-0005-0000-0000-0000F9250000}"/>
    <cellStyle name="Normal 9 3 2 2 4 4" xfId="7830" xr:uid="{00000000-0005-0000-0000-0000FA250000}"/>
    <cellStyle name="Normal 9 3 2 2 5" xfId="4739" xr:uid="{00000000-0005-0000-0000-0000FB250000}"/>
    <cellStyle name="Normal 9 3 2 2 5 2" xfId="6414" xr:uid="{00000000-0005-0000-0000-0000FC250000}"/>
    <cellStyle name="Normal 9 3 2 2 5 2 2" xfId="9764" xr:uid="{00000000-0005-0000-0000-0000FD250000}"/>
    <cellStyle name="Normal 9 3 2 2 5 3" xfId="11439" xr:uid="{00000000-0005-0000-0000-0000FE250000}"/>
    <cellStyle name="Normal 9 3 2 2 5 4" xfId="8089" xr:uid="{00000000-0005-0000-0000-0000FF250000}"/>
    <cellStyle name="Normal 9 3 2 2 6" xfId="5447" xr:uid="{00000000-0005-0000-0000-000000260000}"/>
    <cellStyle name="Normal 9 3 2 2 6 2" xfId="8797" xr:uid="{00000000-0005-0000-0000-000001260000}"/>
    <cellStyle name="Normal 9 3 2 2 7" xfId="10472" xr:uid="{00000000-0005-0000-0000-000002260000}"/>
    <cellStyle name="Normal 9 3 2 2 8" xfId="7122" xr:uid="{00000000-0005-0000-0000-000003260000}"/>
    <cellStyle name="Normal 9 3 2 3" xfId="3890" xr:uid="{00000000-0005-0000-0000-000004260000}"/>
    <cellStyle name="Normal 9 3 2 3 2" xfId="4857" xr:uid="{00000000-0005-0000-0000-000005260000}"/>
    <cellStyle name="Normal 9 3 2 3 2 2" xfId="6532" xr:uid="{00000000-0005-0000-0000-000006260000}"/>
    <cellStyle name="Normal 9 3 2 3 2 2 2" xfId="9882" xr:uid="{00000000-0005-0000-0000-000007260000}"/>
    <cellStyle name="Normal 9 3 2 3 2 3" xfId="11557" xr:uid="{00000000-0005-0000-0000-000008260000}"/>
    <cellStyle name="Normal 9 3 2 3 2 4" xfId="8207" xr:uid="{00000000-0005-0000-0000-000009260000}"/>
    <cellStyle name="Normal 9 3 2 3 3" xfId="5565" xr:uid="{00000000-0005-0000-0000-00000A260000}"/>
    <cellStyle name="Normal 9 3 2 3 3 2" xfId="8915" xr:uid="{00000000-0005-0000-0000-00000B260000}"/>
    <cellStyle name="Normal 9 3 2 3 4" xfId="10590" xr:uid="{00000000-0005-0000-0000-00000C260000}"/>
    <cellStyle name="Normal 9 3 2 3 5" xfId="7240" xr:uid="{00000000-0005-0000-0000-00000D260000}"/>
    <cellStyle name="Normal 9 3 2 4" xfId="4126" xr:uid="{00000000-0005-0000-0000-00000E260000}"/>
    <cellStyle name="Normal 9 3 2 4 2" xfId="5093" xr:uid="{00000000-0005-0000-0000-00000F260000}"/>
    <cellStyle name="Normal 9 3 2 4 2 2" xfId="6768" xr:uid="{00000000-0005-0000-0000-000010260000}"/>
    <cellStyle name="Normal 9 3 2 4 2 2 2" xfId="10118" xr:uid="{00000000-0005-0000-0000-000011260000}"/>
    <cellStyle name="Normal 9 3 2 4 2 3" xfId="11793" xr:uid="{00000000-0005-0000-0000-000012260000}"/>
    <cellStyle name="Normal 9 3 2 4 2 4" xfId="8443" xr:uid="{00000000-0005-0000-0000-000013260000}"/>
    <cellStyle name="Normal 9 3 2 4 3" xfId="5801" xr:uid="{00000000-0005-0000-0000-000014260000}"/>
    <cellStyle name="Normal 9 3 2 4 3 2" xfId="9151" xr:uid="{00000000-0005-0000-0000-000015260000}"/>
    <cellStyle name="Normal 9 3 2 4 4" xfId="10826" xr:uid="{00000000-0005-0000-0000-000016260000}"/>
    <cellStyle name="Normal 9 3 2 4 5" xfId="7476" xr:uid="{00000000-0005-0000-0000-000017260000}"/>
    <cellStyle name="Normal 9 3 2 5" xfId="4362" xr:uid="{00000000-0005-0000-0000-000018260000}"/>
    <cellStyle name="Normal 9 3 2 5 2" xfId="6037" xr:uid="{00000000-0005-0000-0000-000019260000}"/>
    <cellStyle name="Normal 9 3 2 5 2 2" xfId="9387" xr:uid="{00000000-0005-0000-0000-00001A260000}"/>
    <cellStyle name="Normal 9 3 2 5 3" xfId="11062" xr:uid="{00000000-0005-0000-0000-00001B260000}"/>
    <cellStyle name="Normal 9 3 2 5 4" xfId="7712" xr:uid="{00000000-0005-0000-0000-00001C260000}"/>
    <cellStyle name="Normal 9 3 2 6" xfId="4621" xr:uid="{00000000-0005-0000-0000-00001D260000}"/>
    <cellStyle name="Normal 9 3 2 6 2" xfId="6296" xr:uid="{00000000-0005-0000-0000-00001E260000}"/>
    <cellStyle name="Normal 9 3 2 6 2 2" xfId="9646" xr:uid="{00000000-0005-0000-0000-00001F260000}"/>
    <cellStyle name="Normal 9 3 2 6 3" xfId="11321" xr:uid="{00000000-0005-0000-0000-000020260000}"/>
    <cellStyle name="Normal 9 3 2 6 4" xfId="7971" xr:uid="{00000000-0005-0000-0000-000021260000}"/>
    <cellStyle name="Normal 9 3 2 7" xfId="5329" xr:uid="{00000000-0005-0000-0000-000022260000}"/>
    <cellStyle name="Normal 9 3 2 7 2" xfId="8679" xr:uid="{00000000-0005-0000-0000-000023260000}"/>
    <cellStyle name="Normal 9 3 2 8" xfId="10354" xr:uid="{00000000-0005-0000-0000-000024260000}"/>
    <cellStyle name="Normal 9 3 2 9" xfId="7004" xr:uid="{00000000-0005-0000-0000-000025260000}"/>
    <cellStyle name="Normal 9 3 3" xfId="3677" xr:uid="{00000000-0005-0000-0000-000026260000}"/>
    <cellStyle name="Normal 9 3 3 2" xfId="3795" xr:uid="{00000000-0005-0000-0000-000027260000}"/>
    <cellStyle name="Normal 9 3 3 2 2" xfId="4031" xr:uid="{00000000-0005-0000-0000-000028260000}"/>
    <cellStyle name="Normal 9 3 3 2 2 2" xfId="4998" xr:uid="{00000000-0005-0000-0000-000029260000}"/>
    <cellStyle name="Normal 9 3 3 2 2 2 2" xfId="6673" xr:uid="{00000000-0005-0000-0000-00002A260000}"/>
    <cellStyle name="Normal 9 3 3 2 2 2 2 2" xfId="10023" xr:uid="{00000000-0005-0000-0000-00002B260000}"/>
    <cellStyle name="Normal 9 3 3 2 2 2 3" xfId="11698" xr:uid="{00000000-0005-0000-0000-00002C260000}"/>
    <cellStyle name="Normal 9 3 3 2 2 2 4" xfId="8348" xr:uid="{00000000-0005-0000-0000-00002D260000}"/>
    <cellStyle name="Normal 9 3 3 2 2 3" xfId="5706" xr:uid="{00000000-0005-0000-0000-00002E260000}"/>
    <cellStyle name="Normal 9 3 3 2 2 3 2" xfId="9056" xr:uid="{00000000-0005-0000-0000-00002F260000}"/>
    <cellStyle name="Normal 9 3 3 2 2 4" xfId="10731" xr:uid="{00000000-0005-0000-0000-000030260000}"/>
    <cellStyle name="Normal 9 3 3 2 2 5" xfId="7381" xr:uid="{00000000-0005-0000-0000-000031260000}"/>
    <cellStyle name="Normal 9 3 3 2 3" xfId="4267" xr:uid="{00000000-0005-0000-0000-000032260000}"/>
    <cellStyle name="Normal 9 3 3 2 3 2" xfId="5234" xr:uid="{00000000-0005-0000-0000-000033260000}"/>
    <cellStyle name="Normal 9 3 3 2 3 2 2" xfId="6909" xr:uid="{00000000-0005-0000-0000-000034260000}"/>
    <cellStyle name="Normal 9 3 3 2 3 2 2 2" xfId="10259" xr:uid="{00000000-0005-0000-0000-000035260000}"/>
    <cellStyle name="Normal 9 3 3 2 3 2 3" xfId="11934" xr:uid="{00000000-0005-0000-0000-000036260000}"/>
    <cellStyle name="Normal 9 3 3 2 3 2 4" xfId="8584" xr:uid="{00000000-0005-0000-0000-000037260000}"/>
    <cellStyle name="Normal 9 3 3 2 3 3" xfId="5942" xr:uid="{00000000-0005-0000-0000-000038260000}"/>
    <cellStyle name="Normal 9 3 3 2 3 3 2" xfId="9292" xr:uid="{00000000-0005-0000-0000-000039260000}"/>
    <cellStyle name="Normal 9 3 3 2 3 4" xfId="10967" xr:uid="{00000000-0005-0000-0000-00003A260000}"/>
    <cellStyle name="Normal 9 3 3 2 3 5" xfId="7617" xr:uid="{00000000-0005-0000-0000-00003B260000}"/>
    <cellStyle name="Normal 9 3 3 2 4" xfId="4503" xr:uid="{00000000-0005-0000-0000-00003C260000}"/>
    <cellStyle name="Normal 9 3 3 2 4 2" xfId="6178" xr:uid="{00000000-0005-0000-0000-00003D260000}"/>
    <cellStyle name="Normal 9 3 3 2 4 2 2" xfId="9528" xr:uid="{00000000-0005-0000-0000-00003E260000}"/>
    <cellStyle name="Normal 9 3 3 2 4 3" xfId="11203" xr:uid="{00000000-0005-0000-0000-00003F260000}"/>
    <cellStyle name="Normal 9 3 3 2 4 4" xfId="7853" xr:uid="{00000000-0005-0000-0000-000040260000}"/>
    <cellStyle name="Normal 9 3 3 2 5" xfId="4762" xr:uid="{00000000-0005-0000-0000-000041260000}"/>
    <cellStyle name="Normal 9 3 3 2 5 2" xfId="6437" xr:uid="{00000000-0005-0000-0000-000042260000}"/>
    <cellStyle name="Normal 9 3 3 2 5 2 2" xfId="9787" xr:uid="{00000000-0005-0000-0000-000043260000}"/>
    <cellStyle name="Normal 9 3 3 2 5 3" xfId="11462" xr:uid="{00000000-0005-0000-0000-000044260000}"/>
    <cellStyle name="Normal 9 3 3 2 5 4" xfId="8112" xr:uid="{00000000-0005-0000-0000-000045260000}"/>
    <cellStyle name="Normal 9 3 3 2 6" xfId="5470" xr:uid="{00000000-0005-0000-0000-000046260000}"/>
    <cellStyle name="Normal 9 3 3 2 6 2" xfId="8820" xr:uid="{00000000-0005-0000-0000-000047260000}"/>
    <cellStyle name="Normal 9 3 3 2 7" xfId="10495" xr:uid="{00000000-0005-0000-0000-000048260000}"/>
    <cellStyle name="Normal 9 3 3 2 8" xfId="7145" xr:uid="{00000000-0005-0000-0000-000049260000}"/>
    <cellStyle name="Normal 9 3 3 3" xfId="3913" xr:uid="{00000000-0005-0000-0000-00004A260000}"/>
    <cellStyle name="Normal 9 3 3 3 2" xfId="4880" xr:uid="{00000000-0005-0000-0000-00004B260000}"/>
    <cellStyle name="Normal 9 3 3 3 2 2" xfId="6555" xr:uid="{00000000-0005-0000-0000-00004C260000}"/>
    <cellStyle name="Normal 9 3 3 3 2 2 2" xfId="9905" xr:uid="{00000000-0005-0000-0000-00004D260000}"/>
    <cellStyle name="Normal 9 3 3 3 2 3" xfId="11580" xr:uid="{00000000-0005-0000-0000-00004E260000}"/>
    <cellStyle name="Normal 9 3 3 3 2 4" xfId="8230" xr:uid="{00000000-0005-0000-0000-00004F260000}"/>
    <cellStyle name="Normal 9 3 3 3 3" xfId="5588" xr:uid="{00000000-0005-0000-0000-000050260000}"/>
    <cellStyle name="Normal 9 3 3 3 3 2" xfId="8938" xr:uid="{00000000-0005-0000-0000-000051260000}"/>
    <cellStyle name="Normal 9 3 3 3 4" xfId="10613" xr:uid="{00000000-0005-0000-0000-000052260000}"/>
    <cellStyle name="Normal 9 3 3 3 5" xfId="7263" xr:uid="{00000000-0005-0000-0000-000053260000}"/>
    <cellStyle name="Normal 9 3 3 4" xfId="4149" xr:uid="{00000000-0005-0000-0000-000054260000}"/>
    <cellStyle name="Normal 9 3 3 4 2" xfId="5116" xr:uid="{00000000-0005-0000-0000-000055260000}"/>
    <cellStyle name="Normal 9 3 3 4 2 2" xfId="6791" xr:uid="{00000000-0005-0000-0000-000056260000}"/>
    <cellStyle name="Normal 9 3 3 4 2 2 2" xfId="10141" xr:uid="{00000000-0005-0000-0000-000057260000}"/>
    <cellStyle name="Normal 9 3 3 4 2 3" xfId="11816" xr:uid="{00000000-0005-0000-0000-000058260000}"/>
    <cellStyle name="Normal 9 3 3 4 2 4" xfId="8466" xr:uid="{00000000-0005-0000-0000-000059260000}"/>
    <cellStyle name="Normal 9 3 3 4 3" xfId="5824" xr:uid="{00000000-0005-0000-0000-00005A260000}"/>
    <cellStyle name="Normal 9 3 3 4 3 2" xfId="9174" xr:uid="{00000000-0005-0000-0000-00005B260000}"/>
    <cellStyle name="Normal 9 3 3 4 4" xfId="10849" xr:uid="{00000000-0005-0000-0000-00005C260000}"/>
    <cellStyle name="Normal 9 3 3 4 5" xfId="7499" xr:uid="{00000000-0005-0000-0000-00005D260000}"/>
    <cellStyle name="Normal 9 3 3 5" xfId="4385" xr:uid="{00000000-0005-0000-0000-00005E260000}"/>
    <cellStyle name="Normal 9 3 3 5 2" xfId="6060" xr:uid="{00000000-0005-0000-0000-00005F260000}"/>
    <cellStyle name="Normal 9 3 3 5 2 2" xfId="9410" xr:uid="{00000000-0005-0000-0000-000060260000}"/>
    <cellStyle name="Normal 9 3 3 5 3" xfId="11085" xr:uid="{00000000-0005-0000-0000-000061260000}"/>
    <cellStyle name="Normal 9 3 3 5 4" xfId="7735" xr:uid="{00000000-0005-0000-0000-000062260000}"/>
    <cellStyle name="Normal 9 3 3 6" xfId="4644" xr:uid="{00000000-0005-0000-0000-000063260000}"/>
    <cellStyle name="Normal 9 3 3 6 2" xfId="6319" xr:uid="{00000000-0005-0000-0000-000064260000}"/>
    <cellStyle name="Normal 9 3 3 6 2 2" xfId="9669" xr:uid="{00000000-0005-0000-0000-000065260000}"/>
    <cellStyle name="Normal 9 3 3 6 3" xfId="11344" xr:uid="{00000000-0005-0000-0000-000066260000}"/>
    <cellStyle name="Normal 9 3 3 6 4" xfId="7994" xr:uid="{00000000-0005-0000-0000-000067260000}"/>
    <cellStyle name="Normal 9 3 3 7" xfId="5352" xr:uid="{00000000-0005-0000-0000-000068260000}"/>
    <cellStyle name="Normal 9 3 3 7 2" xfId="8702" xr:uid="{00000000-0005-0000-0000-000069260000}"/>
    <cellStyle name="Normal 9 3 3 8" xfId="10377" xr:uid="{00000000-0005-0000-0000-00006A260000}"/>
    <cellStyle name="Normal 9 3 3 9" xfId="7027" xr:uid="{00000000-0005-0000-0000-00006B260000}"/>
    <cellStyle name="Normal 9 3 4" xfId="3701" xr:uid="{00000000-0005-0000-0000-00006C260000}"/>
    <cellStyle name="Normal 9 3 4 2" xfId="3819" xr:uid="{00000000-0005-0000-0000-00006D260000}"/>
    <cellStyle name="Normal 9 3 4 2 2" xfId="4055" xr:uid="{00000000-0005-0000-0000-00006E260000}"/>
    <cellStyle name="Normal 9 3 4 2 2 2" xfId="5022" xr:uid="{00000000-0005-0000-0000-00006F260000}"/>
    <cellStyle name="Normal 9 3 4 2 2 2 2" xfId="6697" xr:uid="{00000000-0005-0000-0000-000070260000}"/>
    <cellStyle name="Normal 9 3 4 2 2 2 2 2" xfId="10047" xr:uid="{00000000-0005-0000-0000-000071260000}"/>
    <cellStyle name="Normal 9 3 4 2 2 2 3" xfId="11722" xr:uid="{00000000-0005-0000-0000-000072260000}"/>
    <cellStyle name="Normal 9 3 4 2 2 2 4" xfId="8372" xr:uid="{00000000-0005-0000-0000-000073260000}"/>
    <cellStyle name="Normal 9 3 4 2 2 3" xfId="5730" xr:uid="{00000000-0005-0000-0000-000074260000}"/>
    <cellStyle name="Normal 9 3 4 2 2 3 2" xfId="9080" xr:uid="{00000000-0005-0000-0000-000075260000}"/>
    <cellStyle name="Normal 9 3 4 2 2 4" xfId="10755" xr:uid="{00000000-0005-0000-0000-000076260000}"/>
    <cellStyle name="Normal 9 3 4 2 2 5" xfId="7405" xr:uid="{00000000-0005-0000-0000-000077260000}"/>
    <cellStyle name="Normal 9 3 4 2 3" xfId="4291" xr:uid="{00000000-0005-0000-0000-000078260000}"/>
    <cellStyle name="Normal 9 3 4 2 3 2" xfId="5258" xr:uid="{00000000-0005-0000-0000-000079260000}"/>
    <cellStyle name="Normal 9 3 4 2 3 2 2" xfId="6933" xr:uid="{00000000-0005-0000-0000-00007A260000}"/>
    <cellStyle name="Normal 9 3 4 2 3 2 2 2" xfId="10283" xr:uid="{00000000-0005-0000-0000-00007B260000}"/>
    <cellStyle name="Normal 9 3 4 2 3 2 3" xfId="11958" xr:uid="{00000000-0005-0000-0000-00007C260000}"/>
    <cellStyle name="Normal 9 3 4 2 3 2 4" xfId="8608" xr:uid="{00000000-0005-0000-0000-00007D260000}"/>
    <cellStyle name="Normal 9 3 4 2 3 3" xfId="5966" xr:uid="{00000000-0005-0000-0000-00007E260000}"/>
    <cellStyle name="Normal 9 3 4 2 3 3 2" xfId="9316" xr:uid="{00000000-0005-0000-0000-00007F260000}"/>
    <cellStyle name="Normal 9 3 4 2 3 4" xfId="10991" xr:uid="{00000000-0005-0000-0000-000080260000}"/>
    <cellStyle name="Normal 9 3 4 2 3 5" xfId="7641" xr:uid="{00000000-0005-0000-0000-000081260000}"/>
    <cellStyle name="Normal 9 3 4 2 4" xfId="4527" xr:uid="{00000000-0005-0000-0000-000082260000}"/>
    <cellStyle name="Normal 9 3 4 2 4 2" xfId="6202" xr:uid="{00000000-0005-0000-0000-000083260000}"/>
    <cellStyle name="Normal 9 3 4 2 4 2 2" xfId="9552" xr:uid="{00000000-0005-0000-0000-000084260000}"/>
    <cellStyle name="Normal 9 3 4 2 4 3" xfId="11227" xr:uid="{00000000-0005-0000-0000-000085260000}"/>
    <cellStyle name="Normal 9 3 4 2 4 4" xfId="7877" xr:uid="{00000000-0005-0000-0000-000086260000}"/>
    <cellStyle name="Normal 9 3 4 2 5" xfId="4786" xr:uid="{00000000-0005-0000-0000-000087260000}"/>
    <cellStyle name="Normal 9 3 4 2 5 2" xfId="6461" xr:uid="{00000000-0005-0000-0000-000088260000}"/>
    <cellStyle name="Normal 9 3 4 2 5 2 2" xfId="9811" xr:uid="{00000000-0005-0000-0000-000089260000}"/>
    <cellStyle name="Normal 9 3 4 2 5 3" xfId="11486" xr:uid="{00000000-0005-0000-0000-00008A260000}"/>
    <cellStyle name="Normal 9 3 4 2 5 4" xfId="8136" xr:uid="{00000000-0005-0000-0000-00008B260000}"/>
    <cellStyle name="Normal 9 3 4 2 6" xfId="5494" xr:uid="{00000000-0005-0000-0000-00008C260000}"/>
    <cellStyle name="Normal 9 3 4 2 6 2" xfId="8844" xr:uid="{00000000-0005-0000-0000-00008D260000}"/>
    <cellStyle name="Normal 9 3 4 2 7" xfId="10519" xr:uid="{00000000-0005-0000-0000-00008E260000}"/>
    <cellStyle name="Normal 9 3 4 2 8" xfId="7169" xr:uid="{00000000-0005-0000-0000-00008F260000}"/>
    <cellStyle name="Normal 9 3 4 3" xfId="3937" xr:uid="{00000000-0005-0000-0000-000090260000}"/>
    <cellStyle name="Normal 9 3 4 3 2" xfId="4904" xr:uid="{00000000-0005-0000-0000-000091260000}"/>
    <cellStyle name="Normal 9 3 4 3 2 2" xfId="6579" xr:uid="{00000000-0005-0000-0000-000092260000}"/>
    <cellStyle name="Normal 9 3 4 3 2 2 2" xfId="9929" xr:uid="{00000000-0005-0000-0000-000093260000}"/>
    <cellStyle name="Normal 9 3 4 3 2 3" xfId="11604" xr:uid="{00000000-0005-0000-0000-000094260000}"/>
    <cellStyle name="Normal 9 3 4 3 2 4" xfId="8254" xr:uid="{00000000-0005-0000-0000-000095260000}"/>
    <cellStyle name="Normal 9 3 4 3 3" xfId="5612" xr:uid="{00000000-0005-0000-0000-000096260000}"/>
    <cellStyle name="Normal 9 3 4 3 3 2" xfId="8962" xr:uid="{00000000-0005-0000-0000-000097260000}"/>
    <cellStyle name="Normal 9 3 4 3 4" xfId="10637" xr:uid="{00000000-0005-0000-0000-000098260000}"/>
    <cellStyle name="Normal 9 3 4 3 5" xfId="7287" xr:uid="{00000000-0005-0000-0000-000099260000}"/>
    <cellStyle name="Normal 9 3 4 4" xfId="4173" xr:uid="{00000000-0005-0000-0000-00009A260000}"/>
    <cellStyle name="Normal 9 3 4 4 2" xfId="5140" xr:uid="{00000000-0005-0000-0000-00009B260000}"/>
    <cellStyle name="Normal 9 3 4 4 2 2" xfId="6815" xr:uid="{00000000-0005-0000-0000-00009C260000}"/>
    <cellStyle name="Normal 9 3 4 4 2 2 2" xfId="10165" xr:uid="{00000000-0005-0000-0000-00009D260000}"/>
    <cellStyle name="Normal 9 3 4 4 2 3" xfId="11840" xr:uid="{00000000-0005-0000-0000-00009E260000}"/>
    <cellStyle name="Normal 9 3 4 4 2 4" xfId="8490" xr:uid="{00000000-0005-0000-0000-00009F260000}"/>
    <cellStyle name="Normal 9 3 4 4 3" xfId="5848" xr:uid="{00000000-0005-0000-0000-0000A0260000}"/>
    <cellStyle name="Normal 9 3 4 4 3 2" xfId="9198" xr:uid="{00000000-0005-0000-0000-0000A1260000}"/>
    <cellStyle name="Normal 9 3 4 4 4" xfId="10873" xr:uid="{00000000-0005-0000-0000-0000A2260000}"/>
    <cellStyle name="Normal 9 3 4 4 5" xfId="7523" xr:uid="{00000000-0005-0000-0000-0000A3260000}"/>
    <cellStyle name="Normal 9 3 4 5" xfId="4409" xr:uid="{00000000-0005-0000-0000-0000A4260000}"/>
    <cellStyle name="Normal 9 3 4 5 2" xfId="6084" xr:uid="{00000000-0005-0000-0000-0000A5260000}"/>
    <cellStyle name="Normal 9 3 4 5 2 2" xfId="9434" xr:uid="{00000000-0005-0000-0000-0000A6260000}"/>
    <cellStyle name="Normal 9 3 4 5 3" xfId="11109" xr:uid="{00000000-0005-0000-0000-0000A7260000}"/>
    <cellStyle name="Normal 9 3 4 5 4" xfId="7759" xr:uid="{00000000-0005-0000-0000-0000A8260000}"/>
    <cellStyle name="Normal 9 3 4 6" xfId="4668" xr:uid="{00000000-0005-0000-0000-0000A9260000}"/>
    <cellStyle name="Normal 9 3 4 6 2" xfId="6343" xr:uid="{00000000-0005-0000-0000-0000AA260000}"/>
    <cellStyle name="Normal 9 3 4 6 2 2" xfId="9693" xr:uid="{00000000-0005-0000-0000-0000AB260000}"/>
    <cellStyle name="Normal 9 3 4 6 3" xfId="11368" xr:uid="{00000000-0005-0000-0000-0000AC260000}"/>
    <cellStyle name="Normal 9 3 4 6 4" xfId="8018" xr:uid="{00000000-0005-0000-0000-0000AD260000}"/>
    <cellStyle name="Normal 9 3 4 7" xfId="5376" xr:uid="{00000000-0005-0000-0000-0000AE260000}"/>
    <cellStyle name="Normal 9 3 4 7 2" xfId="8726" xr:uid="{00000000-0005-0000-0000-0000AF260000}"/>
    <cellStyle name="Normal 9 3 4 8" xfId="10401" xr:uid="{00000000-0005-0000-0000-0000B0260000}"/>
    <cellStyle name="Normal 9 3 4 9" xfId="7051" xr:uid="{00000000-0005-0000-0000-0000B1260000}"/>
    <cellStyle name="Normal 9 3 5" xfId="3725" xr:uid="{00000000-0005-0000-0000-0000B2260000}"/>
    <cellStyle name="Normal 9 3 5 2" xfId="3843" xr:uid="{00000000-0005-0000-0000-0000B3260000}"/>
    <cellStyle name="Normal 9 3 5 2 2" xfId="4079" xr:uid="{00000000-0005-0000-0000-0000B4260000}"/>
    <cellStyle name="Normal 9 3 5 2 2 2" xfId="5046" xr:uid="{00000000-0005-0000-0000-0000B5260000}"/>
    <cellStyle name="Normal 9 3 5 2 2 2 2" xfId="6721" xr:uid="{00000000-0005-0000-0000-0000B6260000}"/>
    <cellStyle name="Normal 9 3 5 2 2 2 2 2" xfId="10071" xr:uid="{00000000-0005-0000-0000-0000B7260000}"/>
    <cellStyle name="Normal 9 3 5 2 2 2 3" xfId="11746" xr:uid="{00000000-0005-0000-0000-0000B8260000}"/>
    <cellStyle name="Normal 9 3 5 2 2 2 4" xfId="8396" xr:uid="{00000000-0005-0000-0000-0000B9260000}"/>
    <cellStyle name="Normal 9 3 5 2 2 3" xfId="5754" xr:uid="{00000000-0005-0000-0000-0000BA260000}"/>
    <cellStyle name="Normal 9 3 5 2 2 3 2" xfId="9104" xr:uid="{00000000-0005-0000-0000-0000BB260000}"/>
    <cellStyle name="Normal 9 3 5 2 2 4" xfId="10779" xr:uid="{00000000-0005-0000-0000-0000BC260000}"/>
    <cellStyle name="Normal 9 3 5 2 2 5" xfId="7429" xr:uid="{00000000-0005-0000-0000-0000BD260000}"/>
    <cellStyle name="Normal 9 3 5 2 3" xfId="4315" xr:uid="{00000000-0005-0000-0000-0000BE260000}"/>
    <cellStyle name="Normal 9 3 5 2 3 2" xfId="5282" xr:uid="{00000000-0005-0000-0000-0000BF260000}"/>
    <cellStyle name="Normal 9 3 5 2 3 2 2" xfId="6957" xr:uid="{00000000-0005-0000-0000-0000C0260000}"/>
    <cellStyle name="Normal 9 3 5 2 3 2 2 2" xfId="10307" xr:uid="{00000000-0005-0000-0000-0000C1260000}"/>
    <cellStyle name="Normal 9 3 5 2 3 2 3" xfId="11982" xr:uid="{00000000-0005-0000-0000-0000C2260000}"/>
    <cellStyle name="Normal 9 3 5 2 3 2 4" xfId="8632" xr:uid="{00000000-0005-0000-0000-0000C3260000}"/>
    <cellStyle name="Normal 9 3 5 2 3 3" xfId="5990" xr:uid="{00000000-0005-0000-0000-0000C4260000}"/>
    <cellStyle name="Normal 9 3 5 2 3 3 2" xfId="9340" xr:uid="{00000000-0005-0000-0000-0000C5260000}"/>
    <cellStyle name="Normal 9 3 5 2 3 4" xfId="11015" xr:uid="{00000000-0005-0000-0000-0000C6260000}"/>
    <cellStyle name="Normal 9 3 5 2 3 5" xfId="7665" xr:uid="{00000000-0005-0000-0000-0000C7260000}"/>
    <cellStyle name="Normal 9 3 5 2 4" xfId="4551" xr:uid="{00000000-0005-0000-0000-0000C8260000}"/>
    <cellStyle name="Normal 9 3 5 2 4 2" xfId="6226" xr:uid="{00000000-0005-0000-0000-0000C9260000}"/>
    <cellStyle name="Normal 9 3 5 2 4 2 2" xfId="9576" xr:uid="{00000000-0005-0000-0000-0000CA260000}"/>
    <cellStyle name="Normal 9 3 5 2 4 3" xfId="11251" xr:uid="{00000000-0005-0000-0000-0000CB260000}"/>
    <cellStyle name="Normal 9 3 5 2 4 4" xfId="7901" xr:uid="{00000000-0005-0000-0000-0000CC260000}"/>
    <cellStyle name="Normal 9 3 5 2 5" xfId="4810" xr:uid="{00000000-0005-0000-0000-0000CD260000}"/>
    <cellStyle name="Normal 9 3 5 2 5 2" xfId="6485" xr:uid="{00000000-0005-0000-0000-0000CE260000}"/>
    <cellStyle name="Normal 9 3 5 2 5 2 2" xfId="9835" xr:uid="{00000000-0005-0000-0000-0000CF260000}"/>
    <cellStyle name="Normal 9 3 5 2 5 3" xfId="11510" xr:uid="{00000000-0005-0000-0000-0000D0260000}"/>
    <cellStyle name="Normal 9 3 5 2 5 4" xfId="8160" xr:uid="{00000000-0005-0000-0000-0000D1260000}"/>
    <cellStyle name="Normal 9 3 5 2 6" xfId="5518" xr:uid="{00000000-0005-0000-0000-0000D2260000}"/>
    <cellStyle name="Normal 9 3 5 2 6 2" xfId="8868" xr:uid="{00000000-0005-0000-0000-0000D3260000}"/>
    <cellStyle name="Normal 9 3 5 2 7" xfId="10543" xr:uid="{00000000-0005-0000-0000-0000D4260000}"/>
    <cellStyle name="Normal 9 3 5 2 8" xfId="7193" xr:uid="{00000000-0005-0000-0000-0000D5260000}"/>
    <cellStyle name="Normal 9 3 5 3" xfId="3961" xr:uid="{00000000-0005-0000-0000-0000D6260000}"/>
    <cellStyle name="Normal 9 3 5 3 2" xfId="4928" xr:uid="{00000000-0005-0000-0000-0000D7260000}"/>
    <cellStyle name="Normal 9 3 5 3 2 2" xfId="6603" xr:uid="{00000000-0005-0000-0000-0000D8260000}"/>
    <cellStyle name="Normal 9 3 5 3 2 2 2" xfId="9953" xr:uid="{00000000-0005-0000-0000-0000D9260000}"/>
    <cellStyle name="Normal 9 3 5 3 2 3" xfId="11628" xr:uid="{00000000-0005-0000-0000-0000DA260000}"/>
    <cellStyle name="Normal 9 3 5 3 2 4" xfId="8278" xr:uid="{00000000-0005-0000-0000-0000DB260000}"/>
    <cellStyle name="Normal 9 3 5 3 3" xfId="5636" xr:uid="{00000000-0005-0000-0000-0000DC260000}"/>
    <cellStyle name="Normal 9 3 5 3 3 2" xfId="8986" xr:uid="{00000000-0005-0000-0000-0000DD260000}"/>
    <cellStyle name="Normal 9 3 5 3 4" xfId="10661" xr:uid="{00000000-0005-0000-0000-0000DE260000}"/>
    <cellStyle name="Normal 9 3 5 3 5" xfId="7311" xr:uid="{00000000-0005-0000-0000-0000DF260000}"/>
    <cellStyle name="Normal 9 3 5 4" xfId="4197" xr:uid="{00000000-0005-0000-0000-0000E0260000}"/>
    <cellStyle name="Normal 9 3 5 4 2" xfId="5164" xr:uid="{00000000-0005-0000-0000-0000E1260000}"/>
    <cellStyle name="Normal 9 3 5 4 2 2" xfId="6839" xr:uid="{00000000-0005-0000-0000-0000E2260000}"/>
    <cellStyle name="Normal 9 3 5 4 2 2 2" xfId="10189" xr:uid="{00000000-0005-0000-0000-0000E3260000}"/>
    <cellStyle name="Normal 9 3 5 4 2 3" xfId="11864" xr:uid="{00000000-0005-0000-0000-0000E4260000}"/>
    <cellStyle name="Normal 9 3 5 4 2 4" xfId="8514" xr:uid="{00000000-0005-0000-0000-0000E5260000}"/>
    <cellStyle name="Normal 9 3 5 4 3" xfId="5872" xr:uid="{00000000-0005-0000-0000-0000E6260000}"/>
    <cellStyle name="Normal 9 3 5 4 3 2" xfId="9222" xr:uid="{00000000-0005-0000-0000-0000E7260000}"/>
    <cellStyle name="Normal 9 3 5 4 4" xfId="10897" xr:uid="{00000000-0005-0000-0000-0000E8260000}"/>
    <cellStyle name="Normal 9 3 5 4 5" xfId="7547" xr:uid="{00000000-0005-0000-0000-0000E9260000}"/>
    <cellStyle name="Normal 9 3 5 5" xfId="4433" xr:uid="{00000000-0005-0000-0000-0000EA260000}"/>
    <cellStyle name="Normal 9 3 5 5 2" xfId="6108" xr:uid="{00000000-0005-0000-0000-0000EB260000}"/>
    <cellStyle name="Normal 9 3 5 5 2 2" xfId="9458" xr:uid="{00000000-0005-0000-0000-0000EC260000}"/>
    <cellStyle name="Normal 9 3 5 5 3" xfId="11133" xr:uid="{00000000-0005-0000-0000-0000ED260000}"/>
    <cellStyle name="Normal 9 3 5 5 4" xfId="7783" xr:uid="{00000000-0005-0000-0000-0000EE260000}"/>
    <cellStyle name="Normal 9 3 5 6" xfId="4692" xr:uid="{00000000-0005-0000-0000-0000EF260000}"/>
    <cellStyle name="Normal 9 3 5 6 2" xfId="6367" xr:uid="{00000000-0005-0000-0000-0000F0260000}"/>
    <cellStyle name="Normal 9 3 5 6 2 2" xfId="9717" xr:uid="{00000000-0005-0000-0000-0000F1260000}"/>
    <cellStyle name="Normal 9 3 5 6 3" xfId="11392" xr:uid="{00000000-0005-0000-0000-0000F2260000}"/>
    <cellStyle name="Normal 9 3 5 6 4" xfId="8042" xr:uid="{00000000-0005-0000-0000-0000F3260000}"/>
    <cellStyle name="Normal 9 3 5 7" xfId="5400" xr:uid="{00000000-0005-0000-0000-0000F4260000}"/>
    <cellStyle name="Normal 9 3 5 7 2" xfId="8750" xr:uid="{00000000-0005-0000-0000-0000F5260000}"/>
    <cellStyle name="Normal 9 3 5 8" xfId="10425" xr:uid="{00000000-0005-0000-0000-0000F6260000}"/>
    <cellStyle name="Normal 9 3 5 9" xfId="7075" xr:uid="{00000000-0005-0000-0000-0000F7260000}"/>
    <cellStyle name="Normal 9 3 6" xfId="3749" xr:uid="{00000000-0005-0000-0000-0000F8260000}"/>
    <cellStyle name="Normal 9 3 6 2" xfId="3985" xr:uid="{00000000-0005-0000-0000-0000F9260000}"/>
    <cellStyle name="Normal 9 3 6 2 2" xfId="4952" xr:uid="{00000000-0005-0000-0000-0000FA260000}"/>
    <cellStyle name="Normal 9 3 6 2 2 2" xfId="6627" xr:uid="{00000000-0005-0000-0000-0000FB260000}"/>
    <cellStyle name="Normal 9 3 6 2 2 2 2" xfId="9977" xr:uid="{00000000-0005-0000-0000-0000FC260000}"/>
    <cellStyle name="Normal 9 3 6 2 2 3" xfId="11652" xr:uid="{00000000-0005-0000-0000-0000FD260000}"/>
    <cellStyle name="Normal 9 3 6 2 2 4" xfId="8302" xr:uid="{00000000-0005-0000-0000-0000FE260000}"/>
    <cellStyle name="Normal 9 3 6 2 3" xfId="5660" xr:uid="{00000000-0005-0000-0000-0000FF260000}"/>
    <cellStyle name="Normal 9 3 6 2 3 2" xfId="9010" xr:uid="{00000000-0005-0000-0000-000000270000}"/>
    <cellStyle name="Normal 9 3 6 2 4" xfId="10685" xr:uid="{00000000-0005-0000-0000-000001270000}"/>
    <cellStyle name="Normal 9 3 6 2 5" xfId="7335" xr:uid="{00000000-0005-0000-0000-000002270000}"/>
    <cellStyle name="Normal 9 3 6 3" xfId="4221" xr:uid="{00000000-0005-0000-0000-000003270000}"/>
    <cellStyle name="Normal 9 3 6 3 2" xfId="5188" xr:uid="{00000000-0005-0000-0000-000004270000}"/>
    <cellStyle name="Normal 9 3 6 3 2 2" xfId="6863" xr:uid="{00000000-0005-0000-0000-000005270000}"/>
    <cellStyle name="Normal 9 3 6 3 2 2 2" xfId="10213" xr:uid="{00000000-0005-0000-0000-000006270000}"/>
    <cellStyle name="Normal 9 3 6 3 2 3" xfId="11888" xr:uid="{00000000-0005-0000-0000-000007270000}"/>
    <cellStyle name="Normal 9 3 6 3 2 4" xfId="8538" xr:uid="{00000000-0005-0000-0000-000008270000}"/>
    <cellStyle name="Normal 9 3 6 3 3" xfId="5896" xr:uid="{00000000-0005-0000-0000-000009270000}"/>
    <cellStyle name="Normal 9 3 6 3 3 2" xfId="9246" xr:uid="{00000000-0005-0000-0000-00000A270000}"/>
    <cellStyle name="Normal 9 3 6 3 4" xfId="10921" xr:uid="{00000000-0005-0000-0000-00000B270000}"/>
    <cellStyle name="Normal 9 3 6 3 5" xfId="7571" xr:uid="{00000000-0005-0000-0000-00000C270000}"/>
    <cellStyle name="Normal 9 3 6 4" xfId="4457" xr:uid="{00000000-0005-0000-0000-00000D270000}"/>
    <cellStyle name="Normal 9 3 6 4 2" xfId="6132" xr:uid="{00000000-0005-0000-0000-00000E270000}"/>
    <cellStyle name="Normal 9 3 6 4 2 2" xfId="9482" xr:uid="{00000000-0005-0000-0000-00000F270000}"/>
    <cellStyle name="Normal 9 3 6 4 3" xfId="11157" xr:uid="{00000000-0005-0000-0000-000010270000}"/>
    <cellStyle name="Normal 9 3 6 4 4" xfId="7807" xr:uid="{00000000-0005-0000-0000-000011270000}"/>
    <cellStyle name="Normal 9 3 6 5" xfId="4716" xr:uid="{00000000-0005-0000-0000-000012270000}"/>
    <cellStyle name="Normal 9 3 6 5 2" xfId="6391" xr:uid="{00000000-0005-0000-0000-000013270000}"/>
    <cellStyle name="Normal 9 3 6 5 2 2" xfId="9741" xr:uid="{00000000-0005-0000-0000-000014270000}"/>
    <cellStyle name="Normal 9 3 6 5 3" xfId="11416" xr:uid="{00000000-0005-0000-0000-000015270000}"/>
    <cellStyle name="Normal 9 3 6 5 4" xfId="8066" xr:uid="{00000000-0005-0000-0000-000016270000}"/>
    <cellStyle name="Normal 9 3 6 6" xfId="5424" xr:uid="{00000000-0005-0000-0000-000017270000}"/>
    <cellStyle name="Normal 9 3 6 6 2" xfId="8774" xr:uid="{00000000-0005-0000-0000-000018270000}"/>
    <cellStyle name="Normal 9 3 6 7" xfId="10449" xr:uid="{00000000-0005-0000-0000-000019270000}"/>
    <cellStyle name="Normal 9 3 6 8" xfId="7099" xr:uid="{00000000-0005-0000-0000-00001A270000}"/>
    <cellStyle name="Normal 9 3 7" xfId="3867" xr:uid="{00000000-0005-0000-0000-00001B270000}"/>
    <cellStyle name="Normal 9 3 7 2" xfId="4834" xr:uid="{00000000-0005-0000-0000-00001C270000}"/>
    <cellStyle name="Normal 9 3 7 2 2" xfId="6509" xr:uid="{00000000-0005-0000-0000-00001D270000}"/>
    <cellStyle name="Normal 9 3 7 2 2 2" xfId="9859" xr:uid="{00000000-0005-0000-0000-00001E270000}"/>
    <cellStyle name="Normal 9 3 7 2 3" xfId="11534" xr:uid="{00000000-0005-0000-0000-00001F270000}"/>
    <cellStyle name="Normal 9 3 7 2 4" xfId="8184" xr:uid="{00000000-0005-0000-0000-000020270000}"/>
    <cellStyle name="Normal 9 3 7 3" xfId="5542" xr:uid="{00000000-0005-0000-0000-000021270000}"/>
    <cellStyle name="Normal 9 3 7 3 2" xfId="8892" xr:uid="{00000000-0005-0000-0000-000022270000}"/>
    <cellStyle name="Normal 9 3 7 4" xfId="10567" xr:uid="{00000000-0005-0000-0000-000023270000}"/>
    <cellStyle name="Normal 9 3 7 5" xfId="7217" xr:uid="{00000000-0005-0000-0000-000024270000}"/>
    <cellStyle name="Normal 9 3 8" xfId="4103" xr:uid="{00000000-0005-0000-0000-000025270000}"/>
    <cellStyle name="Normal 9 3 8 2" xfId="5070" xr:uid="{00000000-0005-0000-0000-000026270000}"/>
    <cellStyle name="Normal 9 3 8 2 2" xfId="6745" xr:uid="{00000000-0005-0000-0000-000027270000}"/>
    <cellStyle name="Normal 9 3 8 2 2 2" xfId="10095" xr:uid="{00000000-0005-0000-0000-000028270000}"/>
    <cellStyle name="Normal 9 3 8 2 3" xfId="11770" xr:uid="{00000000-0005-0000-0000-000029270000}"/>
    <cellStyle name="Normal 9 3 8 2 4" xfId="8420" xr:uid="{00000000-0005-0000-0000-00002A270000}"/>
    <cellStyle name="Normal 9 3 8 3" xfId="5778" xr:uid="{00000000-0005-0000-0000-00002B270000}"/>
    <cellStyle name="Normal 9 3 8 3 2" xfId="9128" xr:uid="{00000000-0005-0000-0000-00002C270000}"/>
    <cellStyle name="Normal 9 3 8 4" xfId="10803" xr:uid="{00000000-0005-0000-0000-00002D270000}"/>
    <cellStyle name="Normal 9 3 8 5" xfId="7453" xr:uid="{00000000-0005-0000-0000-00002E270000}"/>
    <cellStyle name="Normal 9 3 9" xfId="4339" xr:uid="{00000000-0005-0000-0000-00002F270000}"/>
    <cellStyle name="Normal 9 3 9 2" xfId="4598" xr:uid="{00000000-0005-0000-0000-000030270000}"/>
    <cellStyle name="Normal 9 3 9 2 2" xfId="6273" xr:uid="{00000000-0005-0000-0000-000031270000}"/>
    <cellStyle name="Normal 9 3 9 2 2 2" xfId="9623" xr:uid="{00000000-0005-0000-0000-000032270000}"/>
    <cellStyle name="Normal 9 3 9 2 3" xfId="11298" xr:uid="{00000000-0005-0000-0000-000033270000}"/>
    <cellStyle name="Normal 9 3 9 2 4" xfId="7948" xr:uid="{00000000-0005-0000-0000-000034270000}"/>
    <cellStyle name="Normal 9 3 9 3" xfId="6014" xr:uid="{00000000-0005-0000-0000-000035270000}"/>
    <cellStyle name="Normal 9 3 9 3 2" xfId="9364" xr:uid="{00000000-0005-0000-0000-000036270000}"/>
    <cellStyle name="Normal 9 3 9 4" xfId="11039" xr:uid="{00000000-0005-0000-0000-000037270000}"/>
    <cellStyle name="Normal 9 3 9 5" xfId="7689" xr:uid="{00000000-0005-0000-0000-000038270000}"/>
    <cellStyle name="Normal 9 4" xfId="2912" xr:uid="{00000000-0005-0000-0000-0000600B0000}"/>
    <cellStyle name="Normal 9 4 2" xfId="2913" xr:uid="{00000000-0005-0000-0000-0000610B0000}"/>
    <cellStyle name="Normal_Sheet1" xfId="2914" xr:uid="{00000000-0005-0000-0000-0000620B0000}"/>
    <cellStyle name="Normale 2" xfId="2915" xr:uid="{00000000-0005-0000-0000-0000630B0000}"/>
    <cellStyle name="Normale 2 2" xfId="2916" xr:uid="{00000000-0005-0000-0000-0000640B0000}"/>
    <cellStyle name="Normale 2 2 2" xfId="2917" xr:uid="{00000000-0005-0000-0000-0000650B0000}"/>
    <cellStyle name="Normale 2 2 2 2" xfId="2918" xr:uid="{00000000-0005-0000-0000-0000660B0000}"/>
    <cellStyle name="Normale 2 2 3" xfId="2919" xr:uid="{00000000-0005-0000-0000-0000670B0000}"/>
    <cellStyle name="Normale 2 2 4" xfId="2920" xr:uid="{00000000-0005-0000-0000-0000680B0000}"/>
    <cellStyle name="Normale 2 2 4 2" xfId="2921" xr:uid="{00000000-0005-0000-0000-0000690B0000}"/>
    <cellStyle name="Normale 2 2 5" xfId="2922" xr:uid="{00000000-0005-0000-0000-00006A0B0000}"/>
    <cellStyle name="Normale 2 3" xfId="2923" xr:uid="{00000000-0005-0000-0000-00006B0B0000}"/>
    <cellStyle name="Normale 2 3 2" xfId="2924" xr:uid="{00000000-0005-0000-0000-00006C0B0000}"/>
    <cellStyle name="Normale 2 4" xfId="2925" xr:uid="{00000000-0005-0000-0000-00006D0B0000}"/>
    <cellStyle name="Normale 2 5" xfId="2926" xr:uid="{00000000-0005-0000-0000-00006E0B0000}"/>
    <cellStyle name="Normale 2 6" xfId="2927" xr:uid="{00000000-0005-0000-0000-00006F0B0000}"/>
    <cellStyle name="Normale 2 7" xfId="2928" xr:uid="{00000000-0005-0000-0000-0000700B0000}"/>
    <cellStyle name="Normale 2 7 2" xfId="2929" xr:uid="{00000000-0005-0000-0000-0000710B0000}"/>
    <cellStyle name="Normale 2 8" xfId="2930" xr:uid="{00000000-0005-0000-0000-0000720B0000}"/>
    <cellStyle name="Normale 3" xfId="2931" xr:uid="{00000000-0005-0000-0000-0000730B0000}"/>
    <cellStyle name="Normale 3 2" xfId="2932" xr:uid="{00000000-0005-0000-0000-0000740B0000}"/>
    <cellStyle name="Normale 3 2 2" xfId="2933" xr:uid="{00000000-0005-0000-0000-0000750B0000}"/>
    <cellStyle name="Normale 3 2 2 2" xfId="2934" xr:uid="{00000000-0005-0000-0000-0000760B0000}"/>
    <cellStyle name="Normale 3 2 3" xfId="2935" xr:uid="{00000000-0005-0000-0000-0000770B0000}"/>
    <cellStyle name="Normale 3 2 4" xfId="2936" xr:uid="{00000000-0005-0000-0000-0000780B0000}"/>
    <cellStyle name="Normale 3 2 4 2" xfId="2937" xr:uid="{00000000-0005-0000-0000-0000790B0000}"/>
    <cellStyle name="Normale 3 2 5" xfId="2938" xr:uid="{00000000-0005-0000-0000-00007A0B0000}"/>
    <cellStyle name="Normale 3 3" xfId="2939" xr:uid="{00000000-0005-0000-0000-00007B0B0000}"/>
    <cellStyle name="Normale 3 3 2" xfId="2940" xr:uid="{00000000-0005-0000-0000-00007C0B0000}"/>
    <cellStyle name="Normale 3 4" xfId="2941" xr:uid="{00000000-0005-0000-0000-00007D0B0000}"/>
    <cellStyle name="Normale 3 5" xfId="2942" xr:uid="{00000000-0005-0000-0000-00007E0B0000}"/>
    <cellStyle name="Normale 3 6" xfId="2943" xr:uid="{00000000-0005-0000-0000-00007F0B0000}"/>
    <cellStyle name="Normale 3 7" xfId="2944" xr:uid="{00000000-0005-0000-0000-0000800B0000}"/>
    <cellStyle name="Normale 3 7 2" xfId="2945" xr:uid="{00000000-0005-0000-0000-0000810B0000}"/>
    <cellStyle name="Normale 3 8" xfId="2946" xr:uid="{00000000-0005-0000-0000-0000820B0000}"/>
    <cellStyle name="Normale 4" xfId="2947" xr:uid="{00000000-0005-0000-0000-0000830B0000}"/>
    <cellStyle name="Normale 4 2" xfId="2948" xr:uid="{00000000-0005-0000-0000-0000840B0000}"/>
    <cellStyle name="Normale 4 2 2" xfId="2949" xr:uid="{00000000-0005-0000-0000-0000850B0000}"/>
    <cellStyle name="Normale 4 2 3" xfId="2950" xr:uid="{00000000-0005-0000-0000-0000860B0000}"/>
    <cellStyle name="Normale 6" xfId="2951" xr:uid="{00000000-0005-0000-0000-0000870B0000}"/>
    <cellStyle name="Normale 6 2" xfId="2952" xr:uid="{00000000-0005-0000-0000-0000880B0000}"/>
    <cellStyle name="Normale 6 2 2" xfId="2953" xr:uid="{00000000-0005-0000-0000-0000890B0000}"/>
    <cellStyle name="Normale 6 2 2 2" xfId="2954" xr:uid="{00000000-0005-0000-0000-00008A0B0000}"/>
    <cellStyle name="Normale 6 2 2 3" xfId="2955" xr:uid="{00000000-0005-0000-0000-00008B0B0000}"/>
    <cellStyle name="Normale 6 3" xfId="2956" xr:uid="{00000000-0005-0000-0000-00008C0B0000}"/>
    <cellStyle name="Normale 6 3 2" xfId="2957" xr:uid="{00000000-0005-0000-0000-00008D0B0000}"/>
    <cellStyle name="Normale 6 3 3" xfId="2958" xr:uid="{00000000-0005-0000-0000-00008E0B0000}"/>
    <cellStyle name="Normale_classe A" xfId="2959" xr:uid="{00000000-0005-0000-0000-00008F0B0000}"/>
    <cellStyle name="Normalno 2" xfId="2960" xr:uid="{00000000-0005-0000-0000-0000900B0000}"/>
    <cellStyle name="Normalno 2 2" xfId="2961" xr:uid="{00000000-0005-0000-0000-0000910B0000}"/>
    <cellStyle name="Normalno 2 2 2" xfId="2962" xr:uid="{00000000-0005-0000-0000-0000920B0000}"/>
    <cellStyle name="Normalno 2 2 3" xfId="2963" xr:uid="{00000000-0005-0000-0000-0000930B0000}"/>
    <cellStyle name="Normalno 2 3" xfId="2964" xr:uid="{00000000-0005-0000-0000-0000940B0000}"/>
    <cellStyle name="Normalno 2 4" xfId="2965" xr:uid="{00000000-0005-0000-0000-0000950B0000}"/>
    <cellStyle name="Normalno 2 5" xfId="2966" xr:uid="{00000000-0005-0000-0000-0000960B0000}"/>
    <cellStyle name="Nota" xfId="2967" xr:uid="{00000000-0005-0000-0000-0000970B0000}"/>
    <cellStyle name="Nota 10" xfId="2968" xr:uid="{00000000-0005-0000-0000-0000980B0000}"/>
    <cellStyle name="Nota 10 2" xfId="2969" xr:uid="{00000000-0005-0000-0000-0000990B0000}"/>
    <cellStyle name="Nota 10 3" xfId="2970" xr:uid="{00000000-0005-0000-0000-00009A0B0000}"/>
    <cellStyle name="Nota 10 4" xfId="2971" xr:uid="{00000000-0005-0000-0000-00009B0B0000}"/>
    <cellStyle name="Nota 10 4 2" xfId="2972" xr:uid="{00000000-0005-0000-0000-00009C0B0000}"/>
    <cellStyle name="Nota 10 5" xfId="2973" xr:uid="{00000000-0005-0000-0000-00009D0B0000}"/>
    <cellStyle name="Nota 11" xfId="2974" xr:uid="{00000000-0005-0000-0000-00009E0B0000}"/>
    <cellStyle name="Nota 11 2" xfId="2975" xr:uid="{00000000-0005-0000-0000-00009F0B0000}"/>
    <cellStyle name="Nota 11 3" xfId="2976" xr:uid="{00000000-0005-0000-0000-0000A00B0000}"/>
    <cellStyle name="Nota 11 4" xfId="2977" xr:uid="{00000000-0005-0000-0000-0000A10B0000}"/>
    <cellStyle name="Nota 11 4 2" xfId="2978" xr:uid="{00000000-0005-0000-0000-0000A20B0000}"/>
    <cellStyle name="Nota 11 5" xfId="2979" xr:uid="{00000000-0005-0000-0000-0000A30B0000}"/>
    <cellStyle name="Nota 12" xfId="2980" xr:uid="{00000000-0005-0000-0000-0000A40B0000}"/>
    <cellStyle name="Nota 12 2" xfId="2981" xr:uid="{00000000-0005-0000-0000-0000A50B0000}"/>
    <cellStyle name="Nota 12 3" xfId="2982" xr:uid="{00000000-0005-0000-0000-0000A60B0000}"/>
    <cellStyle name="Nota 12 4" xfId="2983" xr:uid="{00000000-0005-0000-0000-0000A70B0000}"/>
    <cellStyle name="Nota 12 4 2" xfId="2984" xr:uid="{00000000-0005-0000-0000-0000A80B0000}"/>
    <cellStyle name="Nota 12 5" xfId="2985" xr:uid="{00000000-0005-0000-0000-0000A90B0000}"/>
    <cellStyle name="Nota 13" xfId="2986" xr:uid="{00000000-0005-0000-0000-0000AA0B0000}"/>
    <cellStyle name="Nota 13 2" xfId="2987" xr:uid="{00000000-0005-0000-0000-0000AB0B0000}"/>
    <cellStyle name="Nota 13 3" xfId="2988" xr:uid="{00000000-0005-0000-0000-0000AC0B0000}"/>
    <cellStyle name="Nota 13 4" xfId="2989" xr:uid="{00000000-0005-0000-0000-0000AD0B0000}"/>
    <cellStyle name="Nota 13 4 2" xfId="2990" xr:uid="{00000000-0005-0000-0000-0000AE0B0000}"/>
    <cellStyle name="Nota 13 5" xfId="2991" xr:uid="{00000000-0005-0000-0000-0000AF0B0000}"/>
    <cellStyle name="Nota 14" xfId="2992" xr:uid="{00000000-0005-0000-0000-0000B00B0000}"/>
    <cellStyle name="Nota 14 2" xfId="2993" xr:uid="{00000000-0005-0000-0000-0000B10B0000}"/>
    <cellStyle name="Nota 14 3" xfId="2994" xr:uid="{00000000-0005-0000-0000-0000B20B0000}"/>
    <cellStyle name="Nota 14 4" xfId="2995" xr:uid="{00000000-0005-0000-0000-0000B30B0000}"/>
    <cellStyle name="Nota 14 4 2" xfId="2996" xr:uid="{00000000-0005-0000-0000-0000B40B0000}"/>
    <cellStyle name="Nota 14 5" xfId="2997" xr:uid="{00000000-0005-0000-0000-0000B50B0000}"/>
    <cellStyle name="Nota 15" xfId="2998" xr:uid="{00000000-0005-0000-0000-0000B60B0000}"/>
    <cellStyle name="Nota 15 2" xfId="2999" xr:uid="{00000000-0005-0000-0000-0000B70B0000}"/>
    <cellStyle name="Nota 15 3" xfId="3000" xr:uid="{00000000-0005-0000-0000-0000B80B0000}"/>
    <cellStyle name="Nota 15 4" xfId="3001" xr:uid="{00000000-0005-0000-0000-0000B90B0000}"/>
    <cellStyle name="Nota 15 4 2" xfId="3002" xr:uid="{00000000-0005-0000-0000-0000BA0B0000}"/>
    <cellStyle name="Nota 15 5" xfId="3003" xr:uid="{00000000-0005-0000-0000-0000BB0B0000}"/>
    <cellStyle name="Nota 16" xfId="3004" xr:uid="{00000000-0005-0000-0000-0000BC0B0000}"/>
    <cellStyle name="Nota 16 2" xfId="3005" xr:uid="{00000000-0005-0000-0000-0000BD0B0000}"/>
    <cellStyle name="Nota 16 2 2" xfId="3006" xr:uid="{00000000-0005-0000-0000-0000BE0B0000}"/>
    <cellStyle name="Nota 16 3" xfId="3007" xr:uid="{00000000-0005-0000-0000-0000BF0B0000}"/>
    <cellStyle name="Nota 16 4" xfId="3008" xr:uid="{00000000-0005-0000-0000-0000C00B0000}"/>
    <cellStyle name="Nota 16 4 2" xfId="3009" xr:uid="{00000000-0005-0000-0000-0000C10B0000}"/>
    <cellStyle name="Nota 16 5" xfId="3010" xr:uid="{00000000-0005-0000-0000-0000C20B0000}"/>
    <cellStyle name="Nota 17" xfId="3011" xr:uid="{00000000-0005-0000-0000-0000C30B0000}"/>
    <cellStyle name="Nota 17 2" xfId="3012" xr:uid="{00000000-0005-0000-0000-0000C40B0000}"/>
    <cellStyle name="Nota 18" xfId="3013" xr:uid="{00000000-0005-0000-0000-0000C50B0000}"/>
    <cellStyle name="Nota 19" xfId="3014" xr:uid="{00000000-0005-0000-0000-0000C60B0000}"/>
    <cellStyle name="Nota 2" xfId="3015" xr:uid="{00000000-0005-0000-0000-0000C70B0000}"/>
    <cellStyle name="Nota 2 2" xfId="3016" xr:uid="{00000000-0005-0000-0000-0000C80B0000}"/>
    <cellStyle name="Nota 2 3" xfId="3017" xr:uid="{00000000-0005-0000-0000-0000C90B0000}"/>
    <cellStyle name="Nota 2 4" xfId="3018" xr:uid="{00000000-0005-0000-0000-0000CA0B0000}"/>
    <cellStyle name="Nota 2 4 2" xfId="3019" xr:uid="{00000000-0005-0000-0000-0000CB0B0000}"/>
    <cellStyle name="Nota 2 5" xfId="3020" xr:uid="{00000000-0005-0000-0000-0000CC0B0000}"/>
    <cellStyle name="Nota 20" xfId="3021" xr:uid="{00000000-0005-0000-0000-0000CD0B0000}"/>
    <cellStyle name="Nota 21" xfId="3022" xr:uid="{00000000-0005-0000-0000-0000CE0B0000}"/>
    <cellStyle name="Nota 21 2" xfId="3023" xr:uid="{00000000-0005-0000-0000-0000CF0B0000}"/>
    <cellStyle name="Nota 22" xfId="3024" xr:uid="{00000000-0005-0000-0000-0000D00B0000}"/>
    <cellStyle name="Nota 3" xfId="3025" xr:uid="{00000000-0005-0000-0000-0000D10B0000}"/>
    <cellStyle name="Nota 3 2" xfId="3026" xr:uid="{00000000-0005-0000-0000-0000D20B0000}"/>
    <cellStyle name="Nota 3 3" xfId="3027" xr:uid="{00000000-0005-0000-0000-0000D30B0000}"/>
    <cellStyle name="Nota 3 4" xfId="3028" xr:uid="{00000000-0005-0000-0000-0000D40B0000}"/>
    <cellStyle name="Nota 3 4 2" xfId="3029" xr:uid="{00000000-0005-0000-0000-0000D50B0000}"/>
    <cellStyle name="Nota 3 5" xfId="3030" xr:uid="{00000000-0005-0000-0000-0000D60B0000}"/>
    <cellStyle name="Nota 4" xfId="3031" xr:uid="{00000000-0005-0000-0000-0000D70B0000}"/>
    <cellStyle name="Nota 4 2" xfId="3032" xr:uid="{00000000-0005-0000-0000-0000D80B0000}"/>
    <cellStyle name="Nota 4 3" xfId="3033" xr:uid="{00000000-0005-0000-0000-0000D90B0000}"/>
    <cellStyle name="Nota 4 4" xfId="3034" xr:uid="{00000000-0005-0000-0000-0000DA0B0000}"/>
    <cellStyle name="Nota 4 4 2" xfId="3035" xr:uid="{00000000-0005-0000-0000-0000DB0B0000}"/>
    <cellStyle name="Nota 4 5" xfId="3036" xr:uid="{00000000-0005-0000-0000-0000DC0B0000}"/>
    <cellStyle name="Nota 5" xfId="3037" xr:uid="{00000000-0005-0000-0000-0000DD0B0000}"/>
    <cellStyle name="Nota 5 2" xfId="3038" xr:uid="{00000000-0005-0000-0000-0000DE0B0000}"/>
    <cellStyle name="Nota 5 3" xfId="3039" xr:uid="{00000000-0005-0000-0000-0000DF0B0000}"/>
    <cellStyle name="Nota 5 4" xfId="3040" xr:uid="{00000000-0005-0000-0000-0000E00B0000}"/>
    <cellStyle name="Nota 5 4 2" xfId="3041" xr:uid="{00000000-0005-0000-0000-0000E10B0000}"/>
    <cellStyle name="Nota 5 5" xfId="3042" xr:uid="{00000000-0005-0000-0000-0000E20B0000}"/>
    <cellStyle name="Nota 6" xfId="3043" xr:uid="{00000000-0005-0000-0000-0000E30B0000}"/>
    <cellStyle name="Nota 6 2" xfId="3044" xr:uid="{00000000-0005-0000-0000-0000E40B0000}"/>
    <cellStyle name="Nota 6 3" xfId="3045" xr:uid="{00000000-0005-0000-0000-0000E50B0000}"/>
    <cellStyle name="Nota 6 4" xfId="3046" xr:uid="{00000000-0005-0000-0000-0000E60B0000}"/>
    <cellStyle name="Nota 6 4 2" xfId="3047" xr:uid="{00000000-0005-0000-0000-0000E70B0000}"/>
    <cellStyle name="Nota 6 5" xfId="3048" xr:uid="{00000000-0005-0000-0000-0000E80B0000}"/>
    <cellStyle name="Nota 7" xfId="3049" xr:uid="{00000000-0005-0000-0000-0000E90B0000}"/>
    <cellStyle name="Nota 7 2" xfId="3050" xr:uid="{00000000-0005-0000-0000-0000EA0B0000}"/>
    <cellStyle name="Nota 7 3" xfId="3051" xr:uid="{00000000-0005-0000-0000-0000EB0B0000}"/>
    <cellStyle name="Nota 7 4" xfId="3052" xr:uid="{00000000-0005-0000-0000-0000EC0B0000}"/>
    <cellStyle name="Nota 7 4 2" xfId="3053" xr:uid="{00000000-0005-0000-0000-0000ED0B0000}"/>
    <cellStyle name="Nota 7 5" xfId="3054" xr:uid="{00000000-0005-0000-0000-0000EE0B0000}"/>
    <cellStyle name="Nota 8" xfId="3055" xr:uid="{00000000-0005-0000-0000-0000EF0B0000}"/>
    <cellStyle name="Nota 8 2" xfId="3056" xr:uid="{00000000-0005-0000-0000-0000F00B0000}"/>
    <cellStyle name="Nota 8 3" xfId="3057" xr:uid="{00000000-0005-0000-0000-0000F10B0000}"/>
    <cellStyle name="Nota 8 4" xfId="3058" xr:uid="{00000000-0005-0000-0000-0000F20B0000}"/>
    <cellStyle name="Nota 8 4 2" xfId="3059" xr:uid="{00000000-0005-0000-0000-0000F30B0000}"/>
    <cellStyle name="Nota 8 5" xfId="3060" xr:uid="{00000000-0005-0000-0000-0000F40B0000}"/>
    <cellStyle name="Nota 9" xfId="3061" xr:uid="{00000000-0005-0000-0000-0000F50B0000}"/>
    <cellStyle name="Nota 9 2" xfId="3062" xr:uid="{00000000-0005-0000-0000-0000F60B0000}"/>
    <cellStyle name="Nota 9 3" xfId="3063" xr:uid="{00000000-0005-0000-0000-0000F70B0000}"/>
    <cellStyle name="Nota 9 4" xfId="3064" xr:uid="{00000000-0005-0000-0000-0000F80B0000}"/>
    <cellStyle name="Nota 9 4 2" xfId="3065" xr:uid="{00000000-0005-0000-0000-0000F90B0000}"/>
    <cellStyle name="Nota 9 5" xfId="3066" xr:uid="{00000000-0005-0000-0000-0000FA0B0000}"/>
    <cellStyle name="Note 2" xfId="3067" xr:uid="{00000000-0005-0000-0000-0000FB0B0000}"/>
    <cellStyle name="Note 2 10" xfId="3068" xr:uid="{00000000-0005-0000-0000-0000FC0B0000}"/>
    <cellStyle name="Note 2 11" xfId="3069" xr:uid="{00000000-0005-0000-0000-0000FD0B0000}"/>
    <cellStyle name="Note 2 12" xfId="3070" xr:uid="{00000000-0005-0000-0000-0000FE0B0000}"/>
    <cellStyle name="Note 2 13" xfId="3071" xr:uid="{00000000-0005-0000-0000-0000FF0B0000}"/>
    <cellStyle name="Note 2 14" xfId="3072" xr:uid="{00000000-0005-0000-0000-0000000C0000}"/>
    <cellStyle name="Note 2 15" xfId="3073" xr:uid="{00000000-0005-0000-0000-0000010C0000}"/>
    <cellStyle name="Note 2 16" xfId="3074" xr:uid="{00000000-0005-0000-0000-0000020C0000}"/>
    <cellStyle name="Note 2 17" xfId="3075" xr:uid="{00000000-0005-0000-0000-0000030C0000}"/>
    <cellStyle name="Note 2 18" xfId="3076" xr:uid="{00000000-0005-0000-0000-0000040C0000}"/>
    <cellStyle name="Note 2 19" xfId="3077" xr:uid="{00000000-0005-0000-0000-0000050C0000}"/>
    <cellStyle name="Note 2 2" xfId="3078" xr:uid="{00000000-0005-0000-0000-0000060C0000}"/>
    <cellStyle name="Note 2 2 2" xfId="3079" xr:uid="{00000000-0005-0000-0000-0000070C0000}"/>
    <cellStyle name="Note 2 2 3" xfId="3080" xr:uid="{00000000-0005-0000-0000-0000080C0000}"/>
    <cellStyle name="Note 2 2 3 2" xfId="3081" xr:uid="{00000000-0005-0000-0000-0000090C0000}"/>
    <cellStyle name="Note 2 2 3 2 2" xfId="3082" xr:uid="{00000000-0005-0000-0000-00000A0C0000}"/>
    <cellStyle name="Note 2 2 3 3" xfId="3083" xr:uid="{00000000-0005-0000-0000-00000B0C0000}"/>
    <cellStyle name="Note 2 2 3 4" xfId="3084" xr:uid="{00000000-0005-0000-0000-00000C0C0000}"/>
    <cellStyle name="Note 2 2 4" xfId="3085" xr:uid="{00000000-0005-0000-0000-00000D0C0000}"/>
    <cellStyle name="Note 2 2 4 2" xfId="3086" xr:uid="{00000000-0005-0000-0000-00000E0C0000}"/>
    <cellStyle name="Note 2 2 5" xfId="3087" xr:uid="{00000000-0005-0000-0000-00000F0C0000}"/>
    <cellStyle name="Note 2 2 5 2" xfId="3088" xr:uid="{00000000-0005-0000-0000-0000100C0000}"/>
    <cellStyle name="Note 2 2 6" xfId="3089" xr:uid="{00000000-0005-0000-0000-0000110C0000}"/>
    <cellStyle name="Note 2 2 7" xfId="3090" xr:uid="{00000000-0005-0000-0000-0000120C0000}"/>
    <cellStyle name="Note 2 20" xfId="3091" xr:uid="{00000000-0005-0000-0000-0000130C0000}"/>
    <cellStyle name="Note 2 20 2" xfId="3092" xr:uid="{00000000-0005-0000-0000-0000140C0000}"/>
    <cellStyle name="Note 2 20 2 2" xfId="3093" xr:uid="{00000000-0005-0000-0000-0000150C0000}"/>
    <cellStyle name="Note 2 20 3" xfId="3094" xr:uid="{00000000-0005-0000-0000-0000160C0000}"/>
    <cellStyle name="Note 2 20 4" xfId="3095" xr:uid="{00000000-0005-0000-0000-0000170C0000}"/>
    <cellStyle name="Note 2 21" xfId="3096" xr:uid="{00000000-0005-0000-0000-0000180C0000}"/>
    <cellStyle name="Note 2 21 2" xfId="3097" xr:uid="{00000000-0005-0000-0000-0000190C0000}"/>
    <cellStyle name="Note 2 22" xfId="3098" xr:uid="{00000000-0005-0000-0000-00001A0C0000}"/>
    <cellStyle name="Note 2 22 2" xfId="3099" xr:uid="{00000000-0005-0000-0000-00001B0C0000}"/>
    <cellStyle name="Note 2 23" xfId="3100" xr:uid="{00000000-0005-0000-0000-00001C0C0000}"/>
    <cellStyle name="Note 2 3" xfId="3101" xr:uid="{00000000-0005-0000-0000-00001D0C0000}"/>
    <cellStyle name="Note 2 4" xfId="3102" xr:uid="{00000000-0005-0000-0000-00001E0C0000}"/>
    <cellStyle name="Note 2 5" xfId="3103" xr:uid="{00000000-0005-0000-0000-00001F0C0000}"/>
    <cellStyle name="Note 2 6" xfId="3104" xr:uid="{00000000-0005-0000-0000-0000200C0000}"/>
    <cellStyle name="Note 2 7" xfId="3105" xr:uid="{00000000-0005-0000-0000-0000210C0000}"/>
    <cellStyle name="Note 2 8" xfId="3106" xr:uid="{00000000-0005-0000-0000-0000220C0000}"/>
    <cellStyle name="Note 2 9" xfId="3107" xr:uid="{00000000-0005-0000-0000-0000230C0000}"/>
    <cellStyle name="Note 3 10" xfId="3108" xr:uid="{00000000-0005-0000-0000-0000240C0000}"/>
    <cellStyle name="Note 3 11" xfId="3109" xr:uid="{00000000-0005-0000-0000-0000250C0000}"/>
    <cellStyle name="Note 3 12" xfId="3110" xr:uid="{00000000-0005-0000-0000-0000260C0000}"/>
    <cellStyle name="Note 3 13" xfId="3111" xr:uid="{00000000-0005-0000-0000-0000270C0000}"/>
    <cellStyle name="Note 3 14" xfId="3112" xr:uid="{00000000-0005-0000-0000-0000280C0000}"/>
    <cellStyle name="Note 3 15" xfId="3113" xr:uid="{00000000-0005-0000-0000-0000290C0000}"/>
    <cellStyle name="Note 3 16" xfId="3114" xr:uid="{00000000-0005-0000-0000-00002A0C0000}"/>
    <cellStyle name="Note 3 17" xfId="3115" xr:uid="{00000000-0005-0000-0000-00002B0C0000}"/>
    <cellStyle name="Note 3 2" xfId="3116" xr:uid="{00000000-0005-0000-0000-00002C0C0000}"/>
    <cellStyle name="Note 3 3" xfId="3117" xr:uid="{00000000-0005-0000-0000-00002D0C0000}"/>
    <cellStyle name="Note 3 4" xfId="3118" xr:uid="{00000000-0005-0000-0000-00002E0C0000}"/>
    <cellStyle name="Note 3 5" xfId="3119" xr:uid="{00000000-0005-0000-0000-00002F0C0000}"/>
    <cellStyle name="Note 3 6" xfId="3120" xr:uid="{00000000-0005-0000-0000-0000300C0000}"/>
    <cellStyle name="Note 3 7" xfId="3121" xr:uid="{00000000-0005-0000-0000-0000310C0000}"/>
    <cellStyle name="Note 3 8" xfId="3122" xr:uid="{00000000-0005-0000-0000-0000320C0000}"/>
    <cellStyle name="Note 3 9" xfId="3123" xr:uid="{00000000-0005-0000-0000-0000330C0000}"/>
    <cellStyle name="Output 2" xfId="3124" xr:uid="{00000000-0005-0000-0000-0000340C0000}"/>
    <cellStyle name="Output 2 10" xfId="3125" xr:uid="{00000000-0005-0000-0000-0000350C0000}"/>
    <cellStyle name="Output 2 11" xfId="3126" xr:uid="{00000000-0005-0000-0000-0000360C0000}"/>
    <cellStyle name="Output 2 12" xfId="3127" xr:uid="{00000000-0005-0000-0000-0000370C0000}"/>
    <cellStyle name="Output 2 13" xfId="3128" xr:uid="{00000000-0005-0000-0000-0000380C0000}"/>
    <cellStyle name="Output 2 14" xfId="3129" xr:uid="{00000000-0005-0000-0000-0000390C0000}"/>
    <cellStyle name="Output 2 15" xfId="3130" xr:uid="{00000000-0005-0000-0000-00003A0C0000}"/>
    <cellStyle name="Output 2 16" xfId="3131" xr:uid="{00000000-0005-0000-0000-00003B0C0000}"/>
    <cellStyle name="Output 2 17" xfId="3132" xr:uid="{00000000-0005-0000-0000-00003C0C0000}"/>
    <cellStyle name="Output 2 18" xfId="3133" xr:uid="{00000000-0005-0000-0000-00003D0C0000}"/>
    <cellStyle name="Output 2 19" xfId="3134" xr:uid="{00000000-0005-0000-0000-00003E0C0000}"/>
    <cellStyle name="Output 2 2" xfId="3135" xr:uid="{00000000-0005-0000-0000-00003F0C0000}"/>
    <cellStyle name="Output 2 20" xfId="3136" xr:uid="{00000000-0005-0000-0000-0000400C0000}"/>
    <cellStyle name="Output 2 3" xfId="3137" xr:uid="{00000000-0005-0000-0000-0000410C0000}"/>
    <cellStyle name="Output 2 4" xfId="3138" xr:uid="{00000000-0005-0000-0000-0000420C0000}"/>
    <cellStyle name="Output 2 5" xfId="3139" xr:uid="{00000000-0005-0000-0000-0000430C0000}"/>
    <cellStyle name="Output 2 6" xfId="3140" xr:uid="{00000000-0005-0000-0000-0000440C0000}"/>
    <cellStyle name="Output 2 7" xfId="3141" xr:uid="{00000000-0005-0000-0000-0000450C0000}"/>
    <cellStyle name="Output 2 8" xfId="3142" xr:uid="{00000000-0005-0000-0000-0000460C0000}"/>
    <cellStyle name="Output 2 9" xfId="3143" xr:uid="{00000000-0005-0000-0000-0000470C0000}"/>
    <cellStyle name="Output 3" xfId="3144" xr:uid="{00000000-0005-0000-0000-0000480C0000}"/>
    <cellStyle name="Output 3 10" xfId="3145" xr:uid="{00000000-0005-0000-0000-0000490C0000}"/>
    <cellStyle name="Output 3 11" xfId="3146" xr:uid="{00000000-0005-0000-0000-00004A0C0000}"/>
    <cellStyle name="Output 3 12" xfId="3147" xr:uid="{00000000-0005-0000-0000-00004B0C0000}"/>
    <cellStyle name="Output 3 13" xfId="3148" xr:uid="{00000000-0005-0000-0000-00004C0C0000}"/>
    <cellStyle name="Output 3 14" xfId="3149" xr:uid="{00000000-0005-0000-0000-00004D0C0000}"/>
    <cellStyle name="Output 3 15" xfId="3150" xr:uid="{00000000-0005-0000-0000-00004E0C0000}"/>
    <cellStyle name="Output 3 16" xfId="3151" xr:uid="{00000000-0005-0000-0000-00004F0C0000}"/>
    <cellStyle name="Output 3 17" xfId="3152" xr:uid="{00000000-0005-0000-0000-0000500C0000}"/>
    <cellStyle name="Output 3 2" xfId="3153" xr:uid="{00000000-0005-0000-0000-0000510C0000}"/>
    <cellStyle name="Output 3 3" xfId="3154" xr:uid="{00000000-0005-0000-0000-0000520C0000}"/>
    <cellStyle name="Output 3 4" xfId="3155" xr:uid="{00000000-0005-0000-0000-0000530C0000}"/>
    <cellStyle name="Output 3 5" xfId="3156" xr:uid="{00000000-0005-0000-0000-0000540C0000}"/>
    <cellStyle name="Output 3 6" xfId="3157" xr:uid="{00000000-0005-0000-0000-0000550C0000}"/>
    <cellStyle name="Output 3 7" xfId="3158" xr:uid="{00000000-0005-0000-0000-0000560C0000}"/>
    <cellStyle name="Output 3 8" xfId="3159" xr:uid="{00000000-0005-0000-0000-0000570C0000}"/>
    <cellStyle name="Output 3 9" xfId="3160" xr:uid="{00000000-0005-0000-0000-0000580C0000}"/>
    <cellStyle name="Output 4" xfId="3161" xr:uid="{00000000-0005-0000-0000-0000590C0000}"/>
    <cellStyle name="Percent 2" xfId="3162" xr:uid="{00000000-0005-0000-0000-00005A0C0000}"/>
    <cellStyle name="Percent 2 10" xfId="3163" xr:uid="{00000000-0005-0000-0000-00005B0C0000}"/>
    <cellStyle name="Percent 2 11" xfId="3164" xr:uid="{00000000-0005-0000-0000-00005C0C0000}"/>
    <cellStyle name="Percent 2 12" xfId="3165" xr:uid="{00000000-0005-0000-0000-00005D0C0000}"/>
    <cellStyle name="Percent 2 12 2" xfId="3166" xr:uid="{00000000-0005-0000-0000-00005E0C0000}"/>
    <cellStyle name="Percent 2 12 3" xfId="3167" xr:uid="{00000000-0005-0000-0000-00005F0C0000}"/>
    <cellStyle name="Percent 2 13" xfId="3168" xr:uid="{00000000-0005-0000-0000-0000600C0000}"/>
    <cellStyle name="Percent 2 13 2" xfId="3169" xr:uid="{00000000-0005-0000-0000-0000610C0000}"/>
    <cellStyle name="Percent 2 13 2 10" xfId="4577" xr:uid="{00000000-0005-0000-0000-0000A5270000}"/>
    <cellStyle name="Percent 2 13 2 10 2" xfId="6252" xr:uid="{00000000-0005-0000-0000-0000A6270000}"/>
    <cellStyle name="Percent 2 13 2 10 2 2" xfId="9602" xr:uid="{00000000-0005-0000-0000-0000A7270000}"/>
    <cellStyle name="Percent 2 13 2 10 3" xfId="11277" xr:uid="{00000000-0005-0000-0000-0000A8270000}"/>
    <cellStyle name="Percent 2 13 2 10 4" xfId="7927" xr:uid="{00000000-0005-0000-0000-0000A9270000}"/>
    <cellStyle name="Percent 2 13 2 11" xfId="5308" xr:uid="{00000000-0005-0000-0000-0000AA270000}"/>
    <cellStyle name="Percent 2 13 2 11 2" xfId="8658" xr:uid="{00000000-0005-0000-0000-0000AB270000}"/>
    <cellStyle name="Percent 2 13 2 12" xfId="10333" xr:uid="{00000000-0005-0000-0000-0000AC270000}"/>
    <cellStyle name="Percent 2 13 2 13" xfId="6983" xr:uid="{00000000-0005-0000-0000-0000AD270000}"/>
    <cellStyle name="Percent 2 13 2 14" xfId="3423" xr:uid="{00000000-0005-0000-0000-0000A4270000}"/>
    <cellStyle name="Percent 2 13 2 2" xfId="3170" xr:uid="{00000000-0005-0000-0000-0000620C0000}"/>
    <cellStyle name="Percent 2 13 2 2 10" xfId="3656" xr:uid="{00000000-0005-0000-0000-0000AE270000}"/>
    <cellStyle name="Percent 2 13 2 2 2" xfId="3774" xr:uid="{00000000-0005-0000-0000-0000AF270000}"/>
    <cellStyle name="Percent 2 13 2 2 2 2" xfId="4010" xr:uid="{00000000-0005-0000-0000-0000B0270000}"/>
    <cellStyle name="Percent 2 13 2 2 2 2 2" xfId="4977" xr:uid="{00000000-0005-0000-0000-0000B1270000}"/>
    <cellStyle name="Percent 2 13 2 2 2 2 2 2" xfId="6652" xr:uid="{00000000-0005-0000-0000-0000B2270000}"/>
    <cellStyle name="Percent 2 13 2 2 2 2 2 2 2" xfId="10002" xr:uid="{00000000-0005-0000-0000-0000B3270000}"/>
    <cellStyle name="Percent 2 13 2 2 2 2 2 3" xfId="11677" xr:uid="{00000000-0005-0000-0000-0000B4270000}"/>
    <cellStyle name="Percent 2 13 2 2 2 2 2 4" xfId="8327" xr:uid="{00000000-0005-0000-0000-0000B5270000}"/>
    <cellStyle name="Percent 2 13 2 2 2 2 3" xfId="5685" xr:uid="{00000000-0005-0000-0000-0000B6270000}"/>
    <cellStyle name="Percent 2 13 2 2 2 2 3 2" xfId="9035" xr:uid="{00000000-0005-0000-0000-0000B7270000}"/>
    <cellStyle name="Percent 2 13 2 2 2 2 4" xfId="10710" xr:uid="{00000000-0005-0000-0000-0000B8270000}"/>
    <cellStyle name="Percent 2 13 2 2 2 2 5" xfId="7360" xr:uid="{00000000-0005-0000-0000-0000B9270000}"/>
    <cellStyle name="Percent 2 13 2 2 2 3" xfId="4246" xr:uid="{00000000-0005-0000-0000-0000BA270000}"/>
    <cellStyle name="Percent 2 13 2 2 2 3 2" xfId="5213" xr:uid="{00000000-0005-0000-0000-0000BB270000}"/>
    <cellStyle name="Percent 2 13 2 2 2 3 2 2" xfId="6888" xr:uid="{00000000-0005-0000-0000-0000BC270000}"/>
    <cellStyle name="Percent 2 13 2 2 2 3 2 2 2" xfId="10238" xr:uid="{00000000-0005-0000-0000-0000BD270000}"/>
    <cellStyle name="Percent 2 13 2 2 2 3 2 3" xfId="11913" xr:uid="{00000000-0005-0000-0000-0000BE270000}"/>
    <cellStyle name="Percent 2 13 2 2 2 3 2 4" xfId="8563" xr:uid="{00000000-0005-0000-0000-0000BF270000}"/>
    <cellStyle name="Percent 2 13 2 2 2 3 3" xfId="5921" xr:uid="{00000000-0005-0000-0000-0000C0270000}"/>
    <cellStyle name="Percent 2 13 2 2 2 3 3 2" xfId="9271" xr:uid="{00000000-0005-0000-0000-0000C1270000}"/>
    <cellStyle name="Percent 2 13 2 2 2 3 4" xfId="10946" xr:uid="{00000000-0005-0000-0000-0000C2270000}"/>
    <cellStyle name="Percent 2 13 2 2 2 3 5" xfId="7596" xr:uid="{00000000-0005-0000-0000-0000C3270000}"/>
    <cellStyle name="Percent 2 13 2 2 2 4" xfId="4482" xr:uid="{00000000-0005-0000-0000-0000C4270000}"/>
    <cellStyle name="Percent 2 13 2 2 2 4 2" xfId="6157" xr:uid="{00000000-0005-0000-0000-0000C5270000}"/>
    <cellStyle name="Percent 2 13 2 2 2 4 2 2" xfId="9507" xr:uid="{00000000-0005-0000-0000-0000C6270000}"/>
    <cellStyle name="Percent 2 13 2 2 2 4 3" xfId="11182" xr:uid="{00000000-0005-0000-0000-0000C7270000}"/>
    <cellStyle name="Percent 2 13 2 2 2 4 4" xfId="7832" xr:uid="{00000000-0005-0000-0000-0000C8270000}"/>
    <cellStyle name="Percent 2 13 2 2 2 5" xfId="4741" xr:uid="{00000000-0005-0000-0000-0000C9270000}"/>
    <cellStyle name="Percent 2 13 2 2 2 5 2" xfId="6416" xr:uid="{00000000-0005-0000-0000-0000CA270000}"/>
    <cellStyle name="Percent 2 13 2 2 2 5 2 2" xfId="9766" xr:uid="{00000000-0005-0000-0000-0000CB270000}"/>
    <cellStyle name="Percent 2 13 2 2 2 5 3" xfId="11441" xr:uid="{00000000-0005-0000-0000-0000CC270000}"/>
    <cellStyle name="Percent 2 13 2 2 2 5 4" xfId="8091" xr:uid="{00000000-0005-0000-0000-0000CD270000}"/>
    <cellStyle name="Percent 2 13 2 2 2 6" xfId="5449" xr:uid="{00000000-0005-0000-0000-0000CE270000}"/>
    <cellStyle name="Percent 2 13 2 2 2 6 2" xfId="8799" xr:uid="{00000000-0005-0000-0000-0000CF270000}"/>
    <cellStyle name="Percent 2 13 2 2 2 7" xfId="10474" xr:uid="{00000000-0005-0000-0000-0000D0270000}"/>
    <cellStyle name="Percent 2 13 2 2 2 8" xfId="7124" xr:uid="{00000000-0005-0000-0000-0000D1270000}"/>
    <cellStyle name="Percent 2 13 2 2 3" xfId="3892" xr:uid="{00000000-0005-0000-0000-0000D2270000}"/>
    <cellStyle name="Percent 2 13 2 2 3 2" xfId="4859" xr:uid="{00000000-0005-0000-0000-0000D3270000}"/>
    <cellStyle name="Percent 2 13 2 2 3 2 2" xfId="6534" xr:uid="{00000000-0005-0000-0000-0000D4270000}"/>
    <cellStyle name="Percent 2 13 2 2 3 2 2 2" xfId="9884" xr:uid="{00000000-0005-0000-0000-0000D5270000}"/>
    <cellStyle name="Percent 2 13 2 2 3 2 3" xfId="11559" xr:uid="{00000000-0005-0000-0000-0000D6270000}"/>
    <cellStyle name="Percent 2 13 2 2 3 2 4" xfId="8209" xr:uid="{00000000-0005-0000-0000-0000D7270000}"/>
    <cellStyle name="Percent 2 13 2 2 3 3" xfId="5567" xr:uid="{00000000-0005-0000-0000-0000D8270000}"/>
    <cellStyle name="Percent 2 13 2 2 3 3 2" xfId="8917" xr:uid="{00000000-0005-0000-0000-0000D9270000}"/>
    <cellStyle name="Percent 2 13 2 2 3 4" xfId="10592" xr:uid="{00000000-0005-0000-0000-0000DA270000}"/>
    <cellStyle name="Percent 2 13 2 2 3 5" xfId="7242" xr:uid="{00000000-0005-0000-0000-0000DB270000}"/>
    <cellStyle name="Percent 2 13 2 2 4" xfId="4128" xr:uid="{00000000-0005-0000-0000-0000DC270000}"/>
    <cellStyle name="Percent 2 13 2 2 4 2" xfId="5095" xr:uid="{00000000-0005-0000-0000-0000DD270000}"/>
    <cellStyle name="Percent 2 13 2 2 4 2 2" xfId="6770" xr:uid="{00000000-0005-0000-0000-0000DE270000}"/>
    <cellStyle name="Percent 2 13 2 2 4 2 2 2" xfId="10120" xr:uid="{00000000-0005-0000-0000-0000DF270000}"/>
    <cellStyle name="Percent 2 13 2 2 4 2 3" xfId="11795" xr:uid="{00000000-0005-0000-0000-0000E0270000}"/>
    <cellStyle name="Percent 2 13 2 2 4 2 4" xfId="8445" xr:uid="{00000000-0005-0000-0000-0000E1270000}"/>
    <cellStyle name="Percent 2 13 2 2 4 3" xfId="5803" xr:uid="{00000000-0005-0000-0000-0000E2270000}"/>
    <cellStyle name="Percent 2 13 2 2 4 3 2" xfId="9153" xr:uid="{00000000-0005-0000-0000-0000E3270000}"/>
    <cellStyle name="Percent 2 13 2 2 4 4" xfId="10828" xr:uid="{00000000-0005-0000-0000-0000E4270000}"/>
    <cellStyle name="Percent 2 13 2 2 4 5" xfId="7478" xr:uid="{00000000-0005-0000-0000-0000E5270000}"/>
    <cellStyle name="Percent 2 13 2 2 5" xfId="4364" xr:uid="{00000000-0005-0000-0000-0000E6270000}"/>
    <cellStyle name="Percent 2 13 2 2 5 2" xfId="6039" xr:uid="{00000000-0005-0000-0000-0000E7270000}"/>
    <cellStyle name="Percent 2 13 2 2 5 2 2" xfId="9389" xr:uid="{00000000-0005-0000-0000-0000E8270000}"/>
    <cellStyle name="Percent 2 13 2 2 5 3" xfId="11064" xr:uid="{00000000-0005-0000-0000-0000E9270000}"/>
    <cellStyle name="Percent 2 13 2 2 5 4" xfId="7714" xr:uid="{00000000-0005-0000-0000-0000EA270000}"/>
    <cellStyle name="Percent 2 13 2 2 6" xfId="4623" xr:uid="{00000000-0005-0000-0000-0000EB270000}"/>
    <cellStyle name="Percent 2 13 2 2 6 2" xfId="6298" xr:uid="{00000000-0005-0000-0000-0000EC270000}"/>
    <cellStyle name="Percent 2 13 2 2 6 2 2" xfId="9648" xr:uid="{00000000-0005-0000-0000-0000ED270000}"/>
    <cellStyle name="Percent 2 13 2 2 6 3" xfId="11323" xr:uid="{00000000-0005-0000-0000-0000EE270000}"/>
    <cellStyle name="Percent 2 13 2 2 6 4" xfId="7973" xr:uid="{00000000-0005-0000-0000-0000EF270000}"/>
    <cellStyle name="Percent 2 13 2 2 7" xfId="5331" xr:uid="{00000000-0005-0000-0000-0000F0270000}"/>
    <cellStyle name="Percent 2 13 2 2 7 2" xfId="8681" xr:uid="{00000000-0005-0000-0000-0000F1270000}"/>
    <cellStyle name="Percent 2 13 2 2 8" xfId="10356" xr:uid="{00000000-0005-0000-0000-0000F2270000}"/>
    <cellStyle name="Percent 2 13 2 2 9" xfId="7006" xr:uid="{00000000-0005-0000-0000-0000F3270000}"/>
    <cellStyle name="Percent 2 13 2 3" xfId="3171" xr:uid="{00000000-0005-0000-0000-0000630C0000}"/>
    <cellStyle name="Percent 2 13 2 3 10" xfId="3679" xr:uid="{00000000-0005-0000-0000-0000F4270000}"/>
    <cellStyle name="Percent 2 13 2 3 2" xfId="3172" xr:uid="{00000000-0005-0000-0000-0000640C0000}"/>
    <cellStyle name="Percent 2 13 2 3 2 2" xfId="4033" xr:uid="{00000000-0005-0000-0000-0000F6270000}"/>
    <cellStyle name="Percent 2 13 2 3 2 2 2" xfId="5000" xr:uid="{00000000-0005-0000-0000-0000F7270000}"/>
    <cellStyle name="Percent 2 13 2 3 2 2 2 2" xfId="6675" xr:uid="{00000000-0005-0000-0000-0000F8270000}"/>
    <cellStyle name="Percent 2 13 2 3 2 2 2 2 2" xfId="10025" xr:uid="{00000000-0005-0000-0000-0000F9270000}"/>
    <cellStyle name="Percent 2 13 2 3 2 2 2 3" xfId="11700" xr:uid="{00000000-0005-0000-0000-0000FA270000}"/>
    <cellStyle name="Percent 2 13 2 3 2 2 2 4" xfId="8350" xr:uid="{00000000-0005-0000-0000-0000FB270000}"/>
    <cellStyle name="Percent 2 13 2 3 2 2 3" xfId="5708" xr:uid="{00000000-0005-0000-0000-0000FC270000}"/>
    <cellStyle name="Percent 2 13 2 3 2 2 3 2" xfId="9058" xr:uid="{00000000-0005-0000-0000-0000FD270000}"/>
    <cellStyle name="Percent 2 13 2 3 2 2 4" xfId="10733" xr:uid="{00000000-0005-0000-0000-0000FE270000}"/>
    <cellStyle name="Percent 2 13 2 3 2 2 5" xfId="7383" xr:uid="{00000000-0005-0000-0000-0000FF270000}"/>
    <cellStyle name="Percent 2 13 2 3 2 3" xfId="4269" xr:uid="{00000000-0005-0000-0000-000000280000}"/>
    <cellStyle name="Percent 2 13 2 3 2 3 2" xfId="5236" xr:uid="{00000000-0005-0000-0000-000001280000}"/>
    <cellStyle name="Percent 2 13 2 3 2 3 2 2" xfId="6911" xr:uid="{00000000-0005-0000-0000-000002280000}"/>
    <cellStyle name="Percent 2 13 2 3 2 3 2 2 2" xfId="10261" xr:uid="{00000000-0005-0000-0000-000003280000}"/>
    <cellStyle name="Percent 2 13 2 3 2 3 2 3" xfId="11936" xr:uid="{00000000-0005-0000-0000-000004280000}"/>
    <cellStyle name="Percent 2 13 2 3 2 3 2 4" xfId="8586" xr:uid="{00000000-0005-0000-0000-000005280000}"/>
    <cellStyle name="Percent 2 13 2 3 2 3 3" xfId="5944" xr:uid="{00000000-0005-0000-0000-000006280000}"/>
    <cellStyle name="Percent 2 13 2 3 2 3 3 2" xfId="9294" xr:uid="{00000000-0005-0000-0000-000007280000}"/>
    <cellStyle name="Percent 2 13 2 3 2 3 4" xfId="10969" xr:uid="{00000000-0005-0000-0000-000008280000}"/>
    <cellStyle name="Percent 2 13 2 3 2 3 5" xfId="7619" xr:uid="{00000000-0005-0000-0000-000009280000}"/>
    <cellStyle name="Percent 2 13 2 3 2 4" xfId="4505" xr:uid="{00000000-0005-0000-0000-00000A280000}"/>
    <cellStyle name="Percent 2 13 2 3 2 4 2" xfId="6180" xr:uid="{00000000-0005-0000-0000-00000B280000}"/>
    <cellStyle name="Percent 2 13 2 3 2 4 2 2" xfId="9530" xr:uid="{00000000-0005-0000-0000-00000C280000}"/>
    <cellStyle name="Percent 2 13 2 3 2 4 3" xfId="11205" xr:uid="{00000000-0005-0000-0000-00000D280000}"/>
    <cellStyle name="Percent 2 13 2 3 2 4 4" xfId="7855" xr:uid="{00000000-0005-0000-0000-00000E280000}"/>
    <cellStyle name="Percent 2 13 2 3 2 5" xfId="4764" xr:uid="{00000000-0005-0000-0000-00000F280000}"/>
    <cellStyle name="Percent 2 13 2 3 2 5 2" xfId="6439" xr:uid="{00000000-0005-0000-0000-000010280000}"/>
    <cellStyle name="Percent 2 13 2 3 2 5 2 2" xfId="9789" xr:uid="{00000000-0005-0000-0000-000011280000}"/>
    <cellStyle name="Percent 2 13 2 3 2 5 3" xfId="11464" xr:uid="{00000000-0005-0000-0000-000012280000}"/>
    <cellStyle name="Percent 2 13 2 3 2 5 4" xfId="8114" xr:uid="{00000000-0005-0000-0000-000013280000}"/>
    <cellStyle name="Percent 2 13 2 3 2 6" xfId="5472" xr:uid="{00000000-0005-0000-0000-000014280000}"/>
    <cellStyle name="Percent 2 13 2 3 2 6 2" xfId="8822" xr:uid="{00000000-0005-0000-0000-000015280000}"/>
    <cellStyle name="Percent 2 13 2 3 2 7" xfId="10497" xr:uid="{00000000-0005-0000-0000-000016280000}"/>
    <cellStyle name="Percent 2 13 2 3 2 8" xfId="7147" xr:uid="{00000000-0005-0000-0000-000017280000}"/>
    <cellStyle name="Percent 2 13 2 3 2 9" xfId="3797" xr:uid="{00000000-0005-0000-0000-0000F5270000}"/>
    <cellStyle name="Percent 2 13 2 3 3" xfId="3915" xr:uid="{00000000-0005-0000-0000-000018280000}"/>
    <cellStyle name="Percent 2 13 2 3 3 2" xfId="4882" xr:uid="{00000000-0005-0000-0000-000019280000}"/>
    <cellStyle name="Percent 2 13 2 3 3 2 2" xfId="6557" xr:uid="{00000000-0005-0000-0000-00001A280000}"/>
    <cellStyle name="Percent 2 13 2 3 3 2 2 2" xfId="9907" xr:uid="{00000000-0005-0000-0000-00001B280000}"/>
    <cellStyle name="Percent 2 13 2 3 3 2 3" xfId="11582" xr:uid="{00000000-0005-0000-0000-00001C280000}"/>
    <cellStyle name="Percent 2 13 2 3 3 2 4" xfId="8232" xr:uid="{00000000-0005-0000-0000-00001D280000}"/>
    <cellStyle name="Percent 2 13 2 3 3 3" xfId="5590" xr:uid="{00000000-0005-0000-0000-00001E280000}"/>
    <cellStyle name="Percent 2 13 2 3 3 3 2" xfId="8940" xr:uid="{00000000-0005-0000-0000-00001F280000}"/>
    <cellStyle name="Percent 2 13 2 3 3 4" xfId="10615" xr:uid="{00000000-0005-0000-0000-000020280000}"/>
    <cellStyle name="Percent 2 13 2 3 3 5" xfId="7265" xr:uid="{00000000-0005-0000-0000-000021280000}"/>
    <cellStyle name="Percent 2 13 2 3 4" xfId="4151" xr:uid="{00000000-0005-0000-0000-000022280000}"/>
    <cellStyle name="Percent 2 13 2 3 4 2" xfId="5118" xr:uid="{00000000-0005-0000-0000-000023280000}"/>
    <cellStyle name="Percent 2 13 2 3 4 2 2" xfId="6793" xr:uid="{00000000-0005-0000-0000-000024280000}"/>
    <cellStyle name="Percent 2 13 2 3 4 2 2 2" xfId="10143" xr:uid="{00000000-0005-0000-0000-000025280000}"/>
    <cellStyle name="Percent 2 13 2 3 4 2 3" xfId="11818" xr:uid="{00000000-0005-0000-0000-000026280000}"/>
    <cellStyle name="Percent 2 13 2 3 4 2 4" xfId="8468" xr:uid="{00000000-0005-0000-0000-000027280000}"/>
    <cellStyle name="Percent 2 13 2 3 4 3" xfId="5826" xr:uid="{00000000-0005-0000-0000-000028280000}"/>
    <cellStyle name="Percent 2 13 2 3 4 3 2" xfId="9176" xr:uid="{00000000-0005-0000-0000-000029280000}"/>
    <cellStyle name="Percent 2 13 2 3 4 4" xfId="10851" xr:uid="{00000000-0005-0000-0000-00002A280000}"/>
    <cellStyle name="Percent 2 13 2 3 4 5" xfId="7501" xr:uid="{00000000-0005-0000-0000-00002B280000}"/>
    <cellStyle name="Percent 2 13 2 3 5" xfId="4387" xr:uid="{00000000-0005-0000-0000-00002C280000}"/>
    <cellStyle name="Percent 2 13 2 3 5 2" xfId="6062" xr:uid="{00000000-0005-0000-0000-00002D280000}"/>
    <cellStyle name="Percent 2 13 2 3 5 2 2" xfId="9412" xr:uid="{00000000-0005-0000-0000-00002E280000}"/>
    <cellStyle name="Percent 2 13 2 3 5 3" xfId="11087" xr:uid="{00000000-0005-0000-0000-00002F280000}"/>
    <cellStyle name="Percent 2 13 2 3 5 4" xfId="7737" xr:uid="{00000000-0005-0000-0000-000030280000}"/>
    <cellStyle name="Percent 2 13 2 3 6" xfId="4646" xr:uid="{00000000-0005-0000-0000-000031280000}"/>
    <cellStyle name="Percent 2 13 2 3 6 2" xfId="6321" xr:uid="{00000000-0005-0000-0000-000032280000}"/>
    <cellStyle name="Percent 2 13 2 3 6 2 2" xfId="9671" xr:uid="{00000000-0005-0000-0000-000033280000}"/>
    <cellStyle name="Percent 2 13 2 3 6 3" xfId="11346" xr:uid="{00000000-0005-0000-0000-000034280000}"/>
    <cellStyle name="Percent 2 13 2 3 6 4" xfId="7996" xr:uid="{00000000-0005-0000-0000-000035280000}"/>
    <cellStyle name="Percent 2 13 2 3 7" xfId="5354" xr:uid="{00000000-0005-0000-0000-000036280000}"/>
    <cellStyle name="Percent 2 13 2 3 7 2" xfId="8704" xr:uid="{00000000-0005-0000-0000-000037280000}"/>
    <cellStyle name="Percent 2 13 2 3 8" xfId="10379" xr:uid="{00000000-0005-0000-0000-000038280000}"/>
    <cellStyle name="Percent 2 13 2 3 9" xfId="7029" xr:uid="{00000000-0005-0000-0000-000039280000}"/>
    <cellStyle name="Percent 2 13 2 4" xfId="3173" xr:uid="{00000000-0005-0000-0000-0000650C0000}"/>
    <cellStyle name="Percent 2 13 2 4 10" xfId="3703" xr:uid="{00000000-0005-0000-0000-00003A280000}"/>
    <cellStyle name="Percent 2 13 2 4 2" xfId="3821" xr:uid="{00000000-0005-0000-0000-00003B280000}"/>
    <cellStyle name="Percent 2 13 2 4 2 2" xfId="4057" xr:uid="{00000000-0005-0000-0000-00003C280000}"/>
    <cellStyle name="Percent 2 13 2 4 2 2 2" xfId="5024" xr:uid="{00000000-0005-0000-0000-00003D280000}"/>
    <cellStyle name="Percent 2 13 2 4 2 2 2 2" xfId="6699" xr:uid="{00000000-0005-0000-0000-00003E280000}"/>
    <cellStyle name="Percent 2 13 2 4 2 2 2 2 2" xfId="10049" xr:uid="{00000000-0005-0000-0000-00003F280000}"/>
    <cellStyle name="Percent 2 13 2 4 2 2 2 3" xfId="11724" xr:uid="{00000000-0005-0000-0000-000040280000}"/>
    <cellStyle name="Percent 2 13 2 4 2 2 2 4" xfId="8374" xr:uid="{00000000-0005-0000-0000-000041280000}"/>
    <cellStyle name="Percent 2 13 2 4 2 2 3" xfId="5732" xr:uid="{00000000-0005-0000-0000-000042280000}"/>
    <cellStyle name="Percent 2 13 2 4 2 2 3 2" xfId="9082" xr:uid="{00000000-0005-0000-0000-000043280000}"/>
    <cellStyle name="Percent 2 13 2 4 2 2 4" xfId="10757" xr:uid="{00000000-0005-0000-0000-000044280000}"/>
    <cellStyle name="Percent 2 13 2 4 2 2 5" xfId="7407" xr:uid="{00000000-0005-0000-0000-000045280000}"/>
    <cellStyle name="Percent 2 13 2 4 2 3" xfId="4293" xr:uid="{00000000-0005-0000-0000-000046280000}"/>
    <cellStyle name="Percent 2 13 2 4 2 3 2" xfId="5260" xr:uid="{00000000-0005-0000-0000-000047280000}"/>
    <cellStyle name="Percent 2 13 2 4 2 3 2 2" xfId="6935" xr:uid="{00000000-0005-0000-0000-000048280000}"/>
    <cellStyle name="Percent 2 13 2 4 2 3 2 2 2" xfId="10285" xr:uid="{00000000-0005-0000-0000-000049280000}"/>
    <cellStyle name="Percent 2 13 2 4 2 3 2 3" xfId="11960" xr:uid="{00000000-0005-0000-0000-00004A280000}"/>
    <cellStyle name="Percent 2 13 2 4 2 3 2 4" xfId="8610" xr:uid="{00000000-0005-0000-0000-00004B280000}"/>
    <cellStyle name="Percent 2 13 2 4 2 3 3" xfId="5968" xr:uid="{00000000-0005-0000-0000-00004C280000}"/>
    <cellStyle name="Percent 2 13 2 4 2 3 3 2" xfId="9318" xr:uid="{00000000-0005-0000-0000-00004D280000}"/>
    <cellStyle name="Percent 2 13 2 4 2 3 4" xfId="10993" xr:uid="{00000000-0005-0000-0000-00004E280000}"/>
    <cellStyle name="Percent 2 13 2 4 2 3 5" xfId="7643" xr:uid="{00000000-0005-0000-0000-00004F280000}"/>
    <cellStyle name="Percent 2 13 2 4 2 4" xfId="4529" xr:uid="{00000000-0005-0000-0000-000050280000}"/>
    <cellStyle name="Percent 2 13 2 4 2 4 2" xfId="6204" xr:uid="{00000000-0005-0000-0000-000051280000}"/>
    <cellStyle name="Percent 2 13 2 4 2 4 2 2" xfId="9554" xr:uid="{00000000-0005-0000-0000-000052280000}"/>
    <cellStyle name="Percent 2 13 2 4 2 4 3" xfId="11229" xr:uid="{00000000-0005-0000-0000-000053280000}"/>
    <cellStyle name="Percent 2 13 2 4 2 4 4" xfId="7879" xr:uid="{00000000-0005-0000-0000-000054280000}"/>
    <cellStyle name="Percent 2 13 2 4 2 5" xfId="4788" xr:uid="{00000000-0005-0000-0000-000055280000}"/>
    <cellStyle name="Percent 2 13 2 4 2 5 2" xfId="6463" xr:uid="{00000000-0005-0000-0000-000056280000}"/>
    <cellStyle name="Percent 2 13 2 4 2 5 2 2" xfId="9813" xr:uid="{00000000-0005-0000-0000-000057280000}"/>
    <cellStyle name="Percent 2 13 2 4 2 5 3" xfId="11488" xr:uid="{00000000-0005-0000-0000-000058280000}"/>
    <cellStyle name="Percent 2 13 2 4 2 5 4" xfId="8138" xr:uid="{00000000-0005-0000-0000-000059280000}"/>
    <cellStyle name="Percent 2 13 2 4 2 6" xfId="5496" xr:uid="{00000000-0005-0000-0000-00005A280000}"/>
    <cellStyle name="Percent 2 13 2 4 2 6 2" xfId="8846" xr:uid="{00000000-0005-0000-0000-00005B280000}"/>
    <cellStyle name="Percent 2 13 2 4 2 7" xfId="10521" xr:uid="{00000000-0005-0000-0000-00005C280000}"/>
    <cellStyle name="Percent 2 13 2 4 2 8" xfId="7171" xr:uid="{00000000-0005-0000-0000-00005D280000}"/>
    <cellStyle name="Percent 2 13 2 4 3" xfId="3939" xr:uid="{00000000-0005-0000-0000-00005E280000}"/>
    <cellStyle name="Percent 2 13 2 4 3 2" xfId="4906" xr:uid="{00000000-0005-0000-0000-00005F280000}"/>
    <cellStyle name="Percent 2 13 2 4 3 2 2" xfId="6581" xr:uid="{00000000-0005-0000-0000-000060280000}"/>
    <cellStyle name="Percent 2 13 2 4 3 2 2 2" xfId="9931" xr:uid="{00000000-0005-0000-0000-000061280000}"/>
    <cellStyle name="Percent 2 13 2 4 3 2 3" xfId="11606" xr:uid="{00000000-0005-0000-0000-000062280000}"/>
    <cellStyle name="Percent 2 13 2 4 3 2 4" xfId="8256" xr:uid="{00000000-0005-0000-0000-000063280000}"/>
    <cellStyle name="Percent 2 13 2 4 3 3" xfId="5614" xr:uid="{00000000-0005-0000-0000-000064280000}"/>
    <cellStyle name="Percent 2 13 2 4 3 3 2" xfId="8964" xr:uid="{00000000-0005-0000-0000-000065280000}"/>
    <cellStyle name="Percent 2 13 2 4 3 4" xfId="10639" xr:uid="{00000000-0005-0000-0000-000066280000}"/>
    <cellStyle name="Percent 2 13 2 4 3 5" xfId="7289" xr:uid="{00000000-0005-0000-0000-000067280000}"/>
    <cellStyle name="Percent 2 13 2 4 4" xfId="4175" xr:uid="{00000000-0005-0000-0000-000068280000}"/>
    <cellStyle name="Percent 2 13 2 4 4 2" xfId="5142" xr:uid="{00000000-0005-0000-0000-000069280000}"/>
    <cellStyle name="Percent 2 13 2 4 4 2 2" xfId="6817" xr:uid="{00000000-0005-0000-0000-00006A280000}"/>
    <cellStyle name="Percent 2 13 2 4 4 2 2 2" xfId="10167" xr:uid="{00000000-0005-0000-0000-00006B280000}"/>
    <cellStyle name="Percent 2 13 2 4 4 2 3" xfId="11842" xr:uid="{00000000-0005-0000-0000-00006C280000}"/>
    <cellStyle name="Percent 2 13 2 4 4 2 4" xfId="8492" xr:uid="{00000000-0005-0000-0000-00006D280000}"/>
    <cellStyle name="Percent 2 13 2 4 4 3" xfId="5850" xr:uid="{00000000-0005-0000-0000-00006E280000}"/>
    <cellStyle name="Percent 2 13 2 4 4 3 2" xfId="9200" xr:uid="{00000000-0005-0000-0000-00006F280000}"/>
    <cellStyle name="Percent 2 13 2 4 4 4" xfId="10875" xr:uid="{00000000-0005-0000-0000-000070280000}"/>
    <cellStyle name="Percent 2 13 2 4 4 5" xfId="7525" xr:uid="{00000000-0005-0000-0000-000071280000}"/>
    <cellStyle name="Percent 2 13 2 4 5" xfId="4411" xr:uid="{00000000-0005-0000-0000-000072280000}"/>
    <cellStyle name="Percent 2 13 2 4 5 2" xfId="6086" xr:uid="{00000000-0005-0000-0000-000073280000}"/>
    <cellStyle name="Percent 2 13 2 4 5 2 2" xfId="9436" xr:uid="{00000000-0005-0000-0000-000074280000}"/>
    <cellStyle name="Percent 2 13 2 4 5 3" xfId="11111" xr:uid="{00000000-0005-0000-0000-000075280000}"/>
    <cellStyle name="Percent 2 13 2 4 5 4" xfId="7761" xr:uid="{00000000-0005-0000-0000-000076280000}"/>
    <cellStyle name="Percent 2 13 2 4 6" xfId="4670" xr:uid="{00000000-0005-0000-0000-000077280000}"/>
    <cellStyle name="Percent 2 13 2 4 6 2" xfId="6345" xr:uid="{00000000-0005-0000-0000-000078280000}"/>
    <cellStyle name="Percent 2 13 2 4 6 2 2" xfId="9695" xr:uid="{00000000-0005-0000-0000-000079280000}"/>
    <cellStyle name="Percent 2 13 2 4 6 3" xfId="11370" xr:uid="{00000000-0005-0000-0000-00007A280000}"/>
    <cellStyle name="Percent 2 13 2 4 6 4" xfId="8020" xr:uid="{00000000-0005-0000-0000-00007B280000}"/>
    <cellStyle name="Percent 2 13 2 4 7" xfId="5378" xr:uid="{00000000-0005-0000-0000-00007C280000}"/>
    <cellStyle name="Percent 2 13 2 4 7 2" xfId="8728" xr:uid="{00000000-0005-0000-0000-00007D280000}"/>
    <cellStyle name="Percent 2 13 2 4 8" xfId="10403" xr:uid="{00000000-0005-0000-0000-00007E280000}"/>
    <cellStyle name="Percent 2 13 2 4 9" xfId="7053" xr:uid="{00000000-0005-0000-0000-00007F280000}"/>
    <cellStyle name="Percent 2 13 2 5" xfId="3727" xr:uid="{00000000-0005-0000-0000-000080280000}"/>
    <cellStyle name="Percent 2 13 2 5 2" xfId="3845" xr:uid="{00000000-0005-0000-0000-000081280000}"/>
    <cellStyle name="Percent 2 13 2 5 2 2" xfId="4081" xr:uid="{00000000-0005-0000-0000-000082280000}"/>
    <cellStyle name="Percent 2 13 2 5 2 2 2" xfId="5048" xr:uid="{00000000-0005-0000-0000-000083280000}"/>
    <cellStyle name="Percent 2 13 2 5 2 2 2 2" xfId="6723" xr:uid="{00000000-0005-0000-0000-000084280000}"/>
    <cellStyle name="Percent 2 13 2 5 2 2 2 2 2" xfId="10073" xr:uid="{00000000-0005-0000-0000-000085280000}"/>
    <cellStyle name="Percent 2 13 2 5 2 2 2 3" xfId="11748" xr:uid="{00000000-0005-0000-0000-000086280000}"/>
    <cellStyle name="Percent 2 13 2 5 2 2 2 4" xfId="8398" xr:uid="{00000000-0005-0000-0000-000087280000}"/>
    <cellStyle name="Percent 2 13 2 5 2 2 3" xfId="5756" xr:uid="{00000000-0005-0000-0000-000088280000}"/>
    <cellStyle name="Percent 2 13 2 5 2 2 3 2" xfId="9106" xr:uid="{00000000-0005-0000-0000-000089280000}"/>
    <cellStyle name="Percent 2 13 2 5 2 2 4" xfId="10781" xr:uid="{00000000-0005-0000-0000-00008A280000}"/>
    <cellStyle name="Percent 2 13 2 5 2 2 5" xfId="7431" xr:uid="{00000000-0005-0000-0000-00008B280000}"/>
    <cellStyle name="Percent 2 13 2 5 2 3" xfId="4317" xr:uid="{00000000-0005-0000-0000-00008C280000}"/>
    <cellStyle name="Percent 2 13 2 5 2 3 2" xfId="5284" xr:uid="{00000000-0005-0000-0000-00008D280000}"/>
    <cellStyle name="Percent 2 13 2 5 2 3 2 2" xfId="6959" xr:uid="{00000000-0005-0000-0000-00008E280000}"/>
    <cellStyle name="Percent 2 13 2 5 2 3 2 2 2" xfId="10309" xr:uid="{00000000-0005-0000-0000-00008F280000}"/>
    <cellStyle name="Percent 2 13 2 5 2 3 2 3" xfId="11984" xr:uid="{00000000-0005-0000-0000-000090280000}"/>
    <cellStyle name="Percent 2 13 2 5 2 3 2 4" xfId="8634" xr:uid="{00000000-0005-0000-0000-000091280000}"/>
    <cellStyle name="Percent 2 13 2 5 2 3 3" xfId="5992" xr:uid="{00000000-0005-0000-0000-000092280000}"/>
    <cellStyle name="Percent 2 13 2 5 2 3 3 2" xfId="9342" xr:uid="{00000000-0005-0000-0000-000093280000}"/>
    <cellStyle name="Percent 2 13 2 5 2 3 4" xfId="11017" xr:uid="{00000000-0005-0000-0000-000094280000}"/>
    <cellStyle name="Percent 2 13 2 5 2 3 5" xfId="7667" xr:uid="{00000000-0005-0000-0000-000095280000}"/>
    <cellStyle name="Percent 2 13 2 5 2 4" xfId="4553" xr:uid="{00000000-0005-0000-0000-000096280000}"/>
    <cellStyle name="Percent 2 13 2 5 2 4 2" xfId="6228" xr:uid="{00000000-0005-0000-0000-000097280000}"/>
    <cellStyle name="Percent 2 13 2 5 2 4 2 2" xfId="9578" xr:uid="{00000000-0005-0000-0000-000098280000}"/>
    <cellStyle name="Percent 2 13 2 5 2 4 3" xfId="11253" xr:uid="{00000000-0005-0000-0000-000099280000}"/>
    <cellStyle name="Percent 2 13 2 5 2 4 4" xfId="7903" xr:uid="{00000000-0005-0000-0000-00009A280000}"/>
    <cellStyle name="Percent 2 13 2 5 2 5" xfId="4812" xr:uid="{00000000-0005-0000-0000-00009B280000}"/>
    <cellStyle name="Percent 2 13 2 5 2 5 2" xfId="6487" xr:uid="{00000000-0005-0000-0000-00009C280000}"/>
    <cellStyle name="Percent 2 13 2 5 2 5 2 2" xfId="9837" xr:uid="{00000000-0005-0000-0000-00009D280000}"/>
    <cellStyle name="Percent 2 13 2 5 2 5 3" xfId="11512" xr:uid="{00000000-0005-0000-0000-00009E280000}"/>
    <cellStyle name="Percent 2 13 2 5 2 5 4" xfId="8162" xr:uid="{00000000-0005-0000-0000-00009F280000}"/>
    <cellStyle name="Percent 2 13 2 5 2 6" xfId="5520" xr:uid="{00000000-0005-0000-0000-0000A0280000}"/>
    <cellStyle name="Percent 2 13 2 5 2 6 2" xfId="8870" xr:uid="{00000000-0005-0000-0000-0000A1280000}"/>
    <cellStyle name="Percent 2 13 2 5 2 7" xfId="10545" xr:uid="{00000000-0005-0000-0000-0000A2280000}"/>
    <cellStyle name="Percent 2 13 2 5 2 8" xfId="7195" xr:uid="{00000000-0005-0000-0000-0000A3280000}"/>
    <cellStyle name="Percent 2 13 2 5 3" xfId="3963" xr:uid="{00000000-0005-0000-0000-0000A4280000}"/>
    <cellStyle name="Percent 2 13 2 5 3 2" xfId="4930" xr:uid="{00000000-0005-0000-0000-0000A5280000}"/>
    <cellStyle name="Percent 2 13 2 5 3 2 2" xfId="6605" xr:uid="{00000000-0005-0000-0000-0000A6280000}"/>
    <cellStyle name="Percent 2 13 2 5 3 2 2 2" xfId="9955" xr:uid="{00000000-0005-0000-0000-0000A7280000}"/>
    <cellStyle name="Percent 2 13 2 5 3 2 3" xfId="11630" xr:uid="{00000000-0005-0000-0000-0000A8280000}"/>
    <cellStyle name="Percent 2 13 2 5 3 2 4" xfId="8280" xr:uid="{00000000-0005-0000-0000-0000A9280000}"/>
    <cellStyle name="Percent 2 13 2 5 3 3" xfId="5638" xr:uid="{00000000-0005-0000-0000-0000AA280000}"/>
    <cellStyle name="Percent 2 13 2 5 3 3 2" xfId="8988" xr:uid="{00000000-0005-0000-0000-0000AB280000}"/>
    <cellStyle name="Percent 2 13 2 5 3 4" xfId="10663" xr:uid="{00000000-0005-0000-0000-0000AC280000}"/>
    <cellStyle name="Percent 2 13 2 5 3 5" xfId="7313" xr:uid="{00000000-0005-0000-0000-0000AD280000}"/>
    <cellStyle name="Percent 2 13 2 5 4" xfId="4199" xr:uid="{00000000-0005-0000-0000-0000AE280000}"/>
    <cellStyle name="Percent 2 13 2 5 4 2" xfId="5166" xr:uid="{00000000-0005-0000-0000-0000AF280000}"/>
    <cellStyle name="Percent 2 13 2 5 4 2 2" xfId="6841" xr:uid="{00000000-0005-0000-0000-0000B0280000}"/>
    <cellStyle name="Percent 2 13 2 5 4 2 2 2" xfId="10191" xr:uid="{00000000-0005-0000-0000-0000B1280000}"/>
    <cellStyle name="Percent 2 13 2 5 4 2 3" xfId="11866" xr:uid="{00000000-0005-0000-0000-0000B2280000}"/>
    <cellStyle name="Percent 2 13 2 5 4 2 4" xfId="8516" xr:uid="{00000000-0005-0000-0000-0000B3280000}"/>
    <cellStyle name="Percent 2 13 2 5 4 3" xfId="5874" xr:uid="{00000000-0005-0000-0000-0000B4280000}"/>
    <cellStyle name="Percent 2 13 2 5 4 3 2" xfId="9224" xr:uid="{00000000-0005-0000-0000-0000B5280000}"/>
    <cellStyle name="Percent 2 13 2 5 4 4" xfId="10899" xr:uid="{00000000-0005-0000-0000-0000B6280000}"/>
    <cellStyle name="Percent 2 13 2 5 4 5" xfId="7549" xr:uid="{00000000-0005-0000-0000-0000B7280000}"/>
    <cellStyle name="Percent 2 13 2 5 5" xfId="4435" xr:uid="{00000000-0005-0000-0000-0000B8280000}"/>
    <cellStyle name="Percent 2 13 2 5 5 2" xfId="6110" xr:uid="{00000000-0005-0000-0000-0000B9280000}"/>
    <cellStyle name="Percent 2 13 2 5 5 2 2" xfId="9460" xr:uid="{00000000-0005-0000-0000-0000BA280000}"/>
    <cellStyle name="Percent 2 13 2 5 5 3" xfId="11135" xr:uid="{00000000-0005-0000-0000-0000BB280000}"/>
    <cellStyle name="Percent 2 13 2 5 5 4" xfId="7785" xr:uid="{00000000-0005-0000-0000-0000BC280000}"/>
    <cellStyle name="Percent 2 13 2 5 6" xfId="4694" xr:uid="{00000000-0005-0000-0000-0000BD280000}"/>
    <cellStyle name="Percent 2 13 2 5 6 2" xfId="6369" xr:uid="{00000000-0005-0000-0000-0000BE280000}"/>
    <cellStyle name="Percent 2 13 2 5 6 2 2" xfId="9719" xr:uid="{00000000-0005-0000-0000-0000BF280000}"/>
    <cellStyle name="Percent 2 13 2 5 6 3" xfId="11394" xr:uid="{00000000-0005-0000-0000-0000C0280000}"/>
    <cellStyle name="Percent 2 13 2 5 6 4" xfId="8044" xr:uid="{00000000-0005-0000-0000-0000C1280000}"/>
    <cellStyle name="Percent 2 13 2 5 7" xfId="5402" xr:uid="{00000000-0005-0000-0000-0000C2280000}"/>
    <cellStyle name="Percent 2 13 2 5 7 2" xfId="8752" xr:uid="{00000000-0005-0000-0000-0000C3280000}"/>
    <cellStyle name="Percent 2 13 2 5 8" xfId="10427" xr:uid="{00000000-0005-0000-0000-0000C4280000}"/>
    <cellStyle name="Percent 2 13 2 5 9" xfId="7077" xr:uid="{00000000-0005-0000-0000-0000C5280000}"/>
    <cellStyle name="Percent 2 13 2 6" xfId="3751" xr:uid="{00000000-0005-0000-0000-0000C6280000}"/>
    <cellStyle name="Percent 2 13 2 6 2" xfId="3987" xr:uid="{00000000-0005-0000-0000-0000C7280000}"/>
    <cellStyle name="Percent 2 13 2 6 2 2" xfId="4954" xr:uid="{00000000-0005-0000-0000-0000C8280000}"/>
    <cellStyle name="Percent 2 13 2 6 2 2 2" xfId="6629" xr:uid="{00000000-0005-0000-0000-0000C9280000}"/>
    <cellStyle name="Percent 2 13 2 6 2 2 2 2" xfId="9979" xr:uid="{00000000-0005-0000-0000-0000CA280000}"/>
    <cellStyle name="Percent 2 13 2 6 2 2 3" xfId="11654" xr:uid="{00000000-0005-0000-0000-0000CB280000}"/>
    <cellStyle name="Percent 2 13 2 6 2 2 4" xfId="8304" xr:uid="{00000000-0005-0000-0000-0000CC280000}"/>
    <cellStyle name="Percent 2 13 2 6 2 3" xfId="5662" xr:uid="{00000000-0005-0000-0000-0000CD280000}"/>
    <cellStyle name="Percent 2 13 2 6 2 3 2" xfId="9012" xr:uid="{00000000-0005-0000-0000-0000CE280000}"/>
    <cellStyle name="Percent 2 13 2 6 2 4" xfId="10687" xr:uid="{00000000-0005-0000-0000-0000CF280000}"/>
    <cellStyle name="Percent 2 13 2 6 2 5" xfId="7337" xr:uid="{00000000-0005-0000-0000-0000D0280000}"/>
    <cellStyle name="Percent 2 13 2 6 3" xfId="4223" xr:uid="{00000000-0005-0000-0000-0000D1280000}"/>
    <cellStyle name="Percent 2 13 2 6 3 2" xfId="5190" xr:uid="{00000000-0005-0000-0000-0000D2280000}"/>
    <cellStyle name="Percent 2 13 2 6 3 2 2" xfId="6865" xr:uid="{00000000-0005-0000-0000-0000D3280000}"/>
    <cellStyle name="Percent 2 13 2 6 3 2 2 2" xfId="10215" xr:uid="{00000000-0005-0000-0000-0000D4280000}"/>
    <cellStyle name="Percent 2 13 2 6 3 2 3" xfId="11890" xr:uid="{00000000-0005-0000-0000-0000D5280000}"/>
    <cellStyle name="Percent 2 13 2 6 3 2 4" xfId="8540" xr:uid="{00000000-0005-0000-0000-0000D6280000}"/>
    <cellStyle name="Percent 2 13 2 6 3 3" xfId="5898" xr:uid="{00000000-0005-0000-0000-0000D7280000}"/>
    <cellStyle name="Percent 2 13 2 6 3 3 2" xfId="9248" xr:uid="{00000000-0005-0000-0000-0000D8280000}"/>
    <cellStyle name="Percent 2 13 2 6 3 4" xfId="10923" xr:uid="{00000000-0005-0000-0000-0000D9280000}"/>
    <cellStyle name="Percent 2 13 2 6 3 5" xfId="7573" xr:uid="{00000000-0005-0000-0000-0000DA280000}"/>
    <cellStyle name="Percent 2 13 2 6 4" xfId="4459" xr:uid="{00000000-0005-0000-0000-0000DB280000}"/>
    <cellStyle name="Percent 2 13 2 6 4 2" xfId="6134" xr:uid="{00000000-0005-0000-0000-0000DC280000}"/>
    <cellStyle name="Percent 2 13 2 6 4 2 2" xfId="9484" xr:uid="{00000000-0005-0000-0000-0000DD280000}"/>
    <cellStyle name="Percent 2 13 2 6 4 3" xfId="11159" xr:uid="{00000000-0005-0000-0000-0000DE280000}"/>
    <cellStyle name="Percent 2 13 2 6 4 4" xfId="7809" xr:uid="{00000000-0005-0000-0000-0000DF280000}"/>
    <cellStyle name="Percent 2 13 2 6 5" xfId="4718" xr:uid="{00000000-0005-0000-0000-0000E0280000}"/>
    <cellStyle name="Percent 2 13 2 6 5 2" xfId="6393" xr:uid="{00000000-0005-0000-0000-0000E1280000}"/>
    <cellStyle name="Percent 2 13 2 6 5 2 2" xfId="9743" xr:uid="{00000000-0005-0000-0000-0000E2280000}"/>
    <cellStyle name="Percent 2 13 2 6 5 3" xfId="11418" xr:uid="{00000000-0005-0000-0000-0000E3280000}"/>
    <cellStyle name="Percent 2 13 2 6 5 4" xfId="8068" xr:uid="{00000000-0005-0000-0000-0000E4280000}"/>
    <cellStyle name="Percent 2 13 2 6 6" xfId="5426" xr:uid="{00000000-0005-0000-0000-0000E5280000}"/>
    <cellStyle name="Percent 2 13 2 6 6 2" xfId="8776" xr:uid="{00000000-0005-0000-0000-0000E6280000}"/>
    <cellStyle name="Percent 2 13 2 6 7" xfId="10451" xr:uid="{00000000-0005-0000-0000-0000E7280000}"/>
    <cellStyle name="Percent 2 13 2 6 8" xfId="7101" xr:uid="{00000000-0005-0000-0000-0000E8280000}"/>
    <cellStyle name="Percent 2 13 2 7" xfId="3869" xr:uid="{00000000-0005-0000-0000-0000E9280000}"/>
    <cellStyle name="Percent 2 13 2 7 2" xfId="4836" xr:uid="{00000000-0005-0000-0000-0000EA280000}"/>
    <cellStyle name="Percent 2 13 2 7 2 2" xfId="6511" xr:uid="{00000000-0005-0000-0000-0000EB280000}"/>
    <cellStyle name="Percent 2 13 2 7 2 2 2" xfId="9861" xr:uid="{00000000-0005-0000-0000-0000EC280000}"/>
    <cellStyle name="Percent 2 13 2 7 2 3" xfId="11536" xr:uid="{00000000-0005-0000-0000-0000ED280000}"/>
    <cellStyle name="Percent 2 13 2 7 2 4" xfId="8186" xr:uid="{00000000-0005-0000-0000-0000EE280000}"/>
    <cellStyle name="Percent 2 13 2 7 3" xfId="5544" xr:uid="{00000000-0005-0000-0000-0000EF280000}"/>
    <cellStyle name="Percent 2 13 2 7 3 2" xfId="8894" xr:uid="{00000000-0005-0000-0000-0000F0280000}"/>
    <cellStyle name="Percent 2 13 2 7 4" xfId="10569" xr:uid="{00000000-0005-0000-0000-0000F1280000}"/>
    <cellStyle name="Percent 2 13 2 7 5" xfId="7219" xr:uid="{00000000-0005-0000-0000-0000F2280000}"/>
    <cellStyle name="Percent 2 13 2 8" xfId="4105" xr:uid="{00000000-0005-0000-0000-0000F3280000}"/>
    <cellStyle name="Percent 2 13 2 8 2" xfId="5072" xr:uid="{00000000-0005-0000-0000-0000F4280000}"/>
    <cellStyle name="Percent 2 13 2 8 2 2" xfId="6747" xr:uid="{00000000-0005-0000-0000-0000F5280000}"/>
    <cellStyle name="Percent 2 13 2 8 2 2 2" xfId="10097" xr:uid="{00000000-0005-0000-0000-0000F6280000}"/>
    <cellStyle name="Percent 2 13 2 8 2 3" xfId="11772" xr:uid="{00000000-0005-0000-0000-0000F7280000}"/>
    <cellStyle name="Percent 2 13 2 8 2 4" xfId="8422" xr:uid="{00000000-0005-0000-0000-0000F8280000}"/>
    <cellStyle name="Percent 2 13 2 8 3" xfId="5780" xr:uid="{00000000-0005-0000-0000-0000F9280000}"/>
    <cellStyle name="Percent 2 13 2 8 3 2" xfId="9130" xr:uid="{00000000-0005-0000-0000-0000FA280000}"/>
    <cellStyle name="Percent 2 13 2 8 4" xfId="10805" xr:uid="{00000000-0005-0000-0000-0000FB280000}"/>
    <cellStyle name="Percent 2 13 2 8 5" xfId="7455" xr:uid="{00000000-0005-0000-0000-0000FC280000}"/>
    <cellStyle name="Percent 2 13 2 9" xfId="4341" xr:uid="{00000000-0005-0000-0000-0000FD280000}"/>
    <cellStyle name="Percent 2 13 2 9 2" xfId="4600" xr:uid="{00000000-0005-0000-0000-0000FE280000}"/>
    <cellStyle name="Percent 2 13 2 9 2 2" xfId="6275" xr:uid="{00000000-0005-0000-0000-0000FF280000}"/>
    <cellStyle name="Percent 2 13 2 9 2 2 2" xfId="9625" xr:uid="{00000000-0005-0000-0000-000000290000}"/>
    <cellStyle name="Percent 2 13 2 9 2 3" xfId="11300" xr:uid="{00000000-0005-0000-0000-000001290000}"/>
    <cellStyle name="Percent 2 13 2 9 2 4" xfId="7950" xr:uid="{00000000-0005-0000-0000-000002290000}"/>
    <cellStyle name="Percent 2 13 2 9 3" xfId="6016" xr:uid="{00000000-0005-0000-0000-000003290000}"/>
    <cellStyle name="Percent 2 13 2 9 3 2" xfId="9366" xr:uid="{00000000-0005-0000-0000-000004290000}"/>
    <cellStyle name="Percent 2 13 2 9 4" xfId="11041" xr:uid="{00000000-0005-0000-0000-000005290000}"/>
    <cellStyle name="Percent 2 13 2 9 5" xfId="7691" xr:uid="{00000000-0005-0000-0000-000006290000}"/>
    <cellStyle name="Percent 2 13 3" xfId="3174" xr:uid="{00000000-0005-0000-0000-0000660C0000}"/>
    <cellStyle name="Percent 2 13 4" xfId="3175" xr:uid="{00000000-0005-0000-0000-0000670C0000}"/>
    <cellStyle name="Percent 2 13 4 2" xfId="3176" xr:uid="{00000000-0005-0000-0000-0000680C0000}"/>
    <cellStyle name="Percent 2 13 5" xfId="3177" xr:uid="{00000000-0005-0000-0000-0000690C0000}"/>
    <cellStyle name="Percent 2 14" xfId="3178" xr:uid="{00000000-0005-0000-0000-00006A0C0000}"/>
    <cellStyle name="Percent 2 14 10" xfId="4576" xr:uid="{00000000-0005-0000-0000-000008290000}"/>
    <cellStyle name="Percent 2 14 10 2" xfId="6251" xr:uid="{00000000-0005-0000-0000-000009290000}"/>
    <cellStyle name="Percent 2 14 10 2 2" xfId="9601" xr:uid="{00000000-0005-0000-0000-00000A290000}"/>
    <cellStyle name="Percent 2 14 10 3" xfId="11276" xr:uid="{00000000-0005-0000-0000-00000B290000}"/>
    <cellStyle name="Percent 2 14 10 4" xfId="7926" xr:uid="{00000000-0005-0000-0000-00000C290000}"/>
    <cellStyle name="Percent 2 14 11" xfId="5307" xr:uid="{00000000-0005-0000-0000-00000D290000}"/>
    <cellStyle name="Percent 2 14 11 2" xfId="8657" xr:uid="{00000000-0005-0000-0000-00000E290000}"/>
    <cellStyle name="Percent 2 14 12" xfId="10332" xr:uid="{00000000-0005-0000-0000-00000F290000}"/>
    <cellStyle name="Percent 2 14 13" xfId="6982" xr:uid="{00000000-0005-0000-0000-000010290000}"/>
    <cellStyle name="Percent 2 14 14" xfId="3422" xr:uid="{00000000-0005-0000-0000-000007290000}"/>
    <cellStyle name="Percent 2 14 2" xfId="3655" xr:uid="{00000000-0005-0000-0000-000011290000}"/>
    <cellStyle name="Percent 2 14 2 2" xfId="3773" xr:uid="{00000000-0005-0000-0000-000012290000}"/>
    <cellStyle name="Percent 2 14 2 2 2" xfId="4009" xr:uid="{00000000-0005-0000-0000-000013290000}"/>
    <cellStyle name="Percent 2 14 2 2 2 2" xfId="4976" xr:uid="{00000000-0005-0000-0000-000014290000}"/>
    <cellStyle name="Percent 2 14 2 2 2 2 2" xfId="6651" xr:uid="{00000000-0005-0000-0000-000015290000}"/>
    <cellStyle name="Percent 2 14 2 2 2 2 2 2" xfId="10001" xr:uid="{00000000-0005-0000-0000-000016290000}"/>
    <cellStyle name="Percent 2 14 2 2 2 2 3" xfId="11676" xr:uid="{00000000-0005-0000-0000-000017290000}"/>
    <cellStyle name="Percent 2 14 2 2 2 2 4" xfId="8326" xr:uid="{00000000-0005-0000-0000-000018290000}"/>
    <cellStyle name="Percent 2 14 2 2 2 3" xfId="5684" xr:uid="{00000000-0005-0000-0000-000019290000}"/>
    <cellStyle name="Percent 2 14 2 2 2 3 2" xfId="9034" xr:uid="{00000000-0005-0000-0000-00001A290000}"/>
    <cellStyle name="Percent 2 14 2 2 2 4" xfId="10709" xr:uid="{00000000-0005-0000-0000-00001B290000}"/>
    <cellStyle name="Percent 2 14 2 2 2 5" xfId="7359" xr:uid="{00000000-0005-0000-0000-00001C290000}"/>
    <cellStyle name="Percent 2 14 2 2 3" xfId="4245" xr:uid="{00000000-0005-0000-0000-00001D290000}"/>
    <cellStyle name="Percent 2 14 2 2 3 2" xfId="5212" xr:uid="{00000000-0005-0000-0000-00001E290000}"/>
    <cellStyle name="Percent 2 14 2 2 3 2 2" xfId="6887" xr:uid="{00000000-0005-0000-0000-00001F290000}"/>
    <cellStyle name="Percent 2 14 2 2 3 2 2 2" xfId="10237" xr:uid="{00000000-0005-0000-0000-000020290000}"/>
    <cellStyle name="Percent 2 14 2 2 3 2 3" xfId="11912" xr:uid="{00000000-0005-0000-0000-000021290000}"/>
    <cellStyle name="Percent 2 14 2 2 3 2 4" xfId="8562" xr:uid="{00000000-0005-0000-0000-000022290000}"/>
    <cellStyle name="Percent 2 14 2 2 3 3" xfId="5920" xr:uid="{00000000-0005-0000-0000-000023290000}"/>
    <cellStyle name="Percent 2 14 2 2 3 3 2" xfId="9270" xr:uid="{00000000-0005-0000-0000-000024290000}"/>
    <cellStyle name="Percent 2 14 2 2 3 4" xfId="10945" xr:uid="{00000000-0005-0000-0000-000025290000}"/>
    <cellStyle name="Percent 2 14 2 2 3 5" xfId="7595" xr:uid="{00000000-0005-0000-0000-000026290000}"/>
    <cellStyle name="Percent 2 14 2 2 4" xfId="4481" xr:uid="{00000000-0005-0000-0000-000027290000}"/>
    <cellStyle name="Percent 2 14 2 2 4 2" xfId="6156" xr:uid="{00000000-0005-0000-0000-000028290000}"/>
    <cellStyle name="Percent 2 14 2 2 4 2 2" xfId="9506" xr:uid="{00000000-0005-0000-0000-000029290000}"/>
    <cellStyle name="Percent 2 14 2 2 4 3" xfId="11181" xr:uid="{00000000-0005-0000-0000-00002A290000}"/>
    <cellStyle name="Percent 2 14 2 2 4 4" xfId="7831" xr:uid="{00000000-0005-0000-0000-00002B290000}"/>
    <cellStyle name="Percent 2 14 2 2 5" xfId="4740" xr:uid="{00000000-0005-0000-0000-00002C290000}"/>
    <cellStyle name="Percent 2 14 2 2 5 2" xfId="6415" xr:uid="{00000000-0005-0000-0000-00002D290000}"/>
    <cellStyle name="Percent 2 14 2 2 5 2 2" xfId="9765" xr:uid="{00000000-0005-0000-0000-00002E290000}"/>
    <cellStyle name="Percent 2 14 2 2 5 3" xfId="11440" xr:uid="{00000000-0005-0000-0000-00002F290000}"/>
    <cellStyle name="Percent 2 14 2 2 5 4" xfId="8090" xr:uid="{00000000-0005-0000-0000-000030290000}"/>
    <cellStyle name="Percent 2 14 2 2 6" xfId="5448" xr:uid="{00000000-0005-0000-0000-000031290000}"/>
    <cellStyle name="Percent 2 14 2 2 6 2" xfId="8798" xr:uid="{00000000-0005-0000-0000-000032290000}"/>
    <cellStyle name="Percent 2 14 2 2 7" xfId="10473" xr:uid="{00000000-0005-0000-0000-000033290000}"/>
    <cellStyle name="Percent 2 14 2 2 8" xfId="7123" xr:uid="{00000000-0005-0000-0000-000034290000}"/>
    <cellStyle name="Percent 2 14 2 3" xfId="3891" xr:uid="{00000000-0005-0000-0000-000035290000}"/>
    <cellStyle name="Percent 2 14 2 3 2" xfId="4858" xr:uid="{00000000-0005-0000-0000-000036290000}"/>
    <cellStyle name="Percent 2 14 2 3 2 2" xfId="6533" xr:uid="{00000000-0005-0000-0000-000037290000}"/>
    <cellStyle name="Percent 2 14 2 3 2 2 2" xfId="9883" xr:uid="{00000000-0005-0000-0000-000038290000}"/>
    <cellStyle name="Percent 2 14 2 3 2 3" xfId="11558" xr:uid="{00000000-0005-0000-0000-000039290000}"/>
    <cellStyle name="Percent 2 14 2 3 2 4" xfId="8208" xr:uid="{00000000-0005-0000-0000-00003A290000}"/>
    <cellStyle name="Percent 2 14 2 3 3" xfId="5566" xr:uid="{00000000-0005-0000-0000-00003B290000}"/>
    <cellStyle name="Percent 2 14 2 3 3 2" xfId="8916" xr:uid="{00000000-0005-0000-0000-00003C290000}"/>
    <cellStyle name="Percent 2 14 2 3 4" xfId="10591" xr:uid="{00000000-0005-0000-0000-00003D290000}"/>
    <cellStyle name="Percent 2 14 2 3 5" xfId="7241" xr:uid="{00000000-0005-0000-0000-00003E290000}"/>
    <cellStyle name="Percent 2 14 2 4" xfId="4127" xr:uid="{00000000-0005-0000-0000-00003F290000}"/>
    <cellStyle name="Percent 2 14 2 4 2" xfId="5094" xr:uid="{00000000-0005-0000-0000-000040290000}"/>
    <cellStyle name="Percent 2 14 2 4 2 2" xfId="6769" xr:uid="{00000000-0005-0000-0000-000041290000}"/>
    <cellStyle name="Percent 2 14 2 4 2 2 2" xfId="10119" xr:uid="{00000000-0005-0000-0000-000042290000}"/>
    <cellStyle name="Percent 2 14 2 4 2 3" xfId="11794" xr:uid="{00000000-0005-0000-0000-000043290000}"/>
    <cellStyle name="Percent 2 14 2 4 2 4" xfId="8444" xr:uid="{00000000-0005-0000-0000-000044290000}"/>
    <cellStyle name="Percent 2 14 2 4 3" xfId="5802" xr:uid="{00000000-0005-0000-0000-000045290000}"/>
    <cellStyle name="Percent 2 14 2 4 3 2" xfId="9152" xr:uid="{00000000-0005-0000-0000-000046290000}"/>
    <cellStyle name="Percent 2 14 2 4 4" xfId="10827" xr:uid="{00000000-0005-0000-0000-000047290000}"/>
    <cellStyle name="Percent 2 14 2 4 5" xfId="7477" xr:uid="{00000000-0005-0000-0000-000048290000}"/>
    <cellStyle name="Percent 2 14 2 5" xfId="4363" xr:uid="{00000000-0005-0000-0000-000049290000}"/>
    <cellStyle name="Percent 2 14 2 5 2" xfId="6038" xr:uid="{00000000-0005-0000-0000-00004A290000}"/>
    <cellStyle name="Percent 2 14 2 5 2 2" xfId="9388" xr:uid="{00000000-0005-0000-0000-00004B290000}"/>
    <cellStyle name="Percent 2 14 2 5 3" xfId="11063" xr:uid="{00000000-0005-0000-0000-00004C290000}"/>
    <cellStyle name="Percent 2 14 2 5 4" xfId="7713" xr:uid="{00000000-0005-0000-0000-00004D290000}"/>
    <cellStyle name="Percent 2 14 2 6" xfId="4622" xr:uid="{00000000-0005-0000-0000-00004E290000}"/>
    <cellStyle name="Percent 2 14 2 6 2" xfId="6297" xr:uid="{00000000-0005-0000-0000-00004F290000}"/>
    <cellStyle name="Percent 2 14 2 6 2 2" xfId="9647" xr:uid="{00000000-0005-0000-0000-000050290000}"/>
    <cellStyle name="Percent 2 14 2 6 3" xfId="11322" xr:uid="{00000000-0005-0000-0000-000051290000}"/>
    <cellStyle name="Percent 2 14 2 6 4" xfId="7972" xr:uid="{00000000-0005-0000-0000-000052290000}"/>
    <cellStyle name="Percent 2 14 2 7" xfId="5330" xr:uid="{00000000-0005-0000-0000-000053290000}"/>
    <cellStyle name="Percent 2 14 2 7 2" xfId="8680" xr:uid="{00000000-0005-0000-0000-000054290000}"/>
    <cellStyle name="Percent 2 14 2 8" xfId="10355" xr:uid="{00000000-0005-0000-0000-000055290000}"/>
    <cellStyle name="Percent 2 14 2 9" xfId="7005" xr:uid="{00000000-0005-0000-0000-000056290000}"/>
    <cellStyle name="Percent 2 14 3" xfId="3678" xr:uid="{00000000-0005-0000-0000-000057290000}"/>
    <cellStyle name="Percent 2 14 3 2" xfId="3796" xr:uid="{00000000-0005-0000-0000-000058290000}"/>
    <cellStyle name="Percent 2 14 3 2 2" xfId="4032" xr:uid="{00000000-0005-0000-0000-000059290000}"/>
    <cellStyle name="Percent 2 14 3 2 2 2" xfId="4999" xr:uid="{00000000-0005-0000-0000-00005A290000}"/>
    <cellStyle name="Percent 2 14 3 2 2 2 2" xfId="6674" xr:uid="{00000000-0005-0000-0000-00005B290000}"/>
    <cellStyle name="Percent 2 14 3 2 2 2 2 2" xfId="10024" xr:uid="{00000000-0005-0000-0000-00005C290000}"/>
    <cellStyle name="Percent 2 14 3 2 2 2 3" xfId="11699" xr:uid="{00000000-0005-0000-0000-00005D290000}"/>
    <cellStyle name="Percent 2 14 3 2 2 2 4" xfId="8349" xr:uid="{00000000-0005-0000-0000-00005E290000}"/>
    <cellStyle name="Percent 2 14 3 2 2 3" xfId="5707" xr:uid="{00000000-0005-0000-0000-00005F290000}"/>
    <cellStyle name="Percent 2 14 3 2 2 3 2" xfId="9057" xr:uid="{00000000-0005-0000-0000-000060290000}"/>
    <cellStyle name="Percent 2 14 3 2 2 4" xfId="10732" xr:uid="{00000000-0005-0000-0000-000061290000}"/>
    <cellStyle name="Percent 2 14 3 2 2 5" xfId="7382" xr:uid="{00000000-0005-0000-0000-000062290000}"/>
    <cellStyle name="Percent 2 14 3 2 3" xfId="4268" xr:uid="{00000000-0005-0000-0000-000063290000}"/>
    <cellStyle name="Percent 2 14 3 2 3 2" xfId="5235" xr:uid="{00000000-0005-0000-0000-000064290000}"/>
    <cellStyle name="Percent 2 14 3 2 3 2 2" xfId="6910" xr:uid="{00000000-0005-0000-0000-000065290000}"/>
    <cellStyle name="Percent 2 14 3 2 3 2 2 2" xfId="10260" xr:uid="{00000000-0005-0000-0000-000066290000}"/>
    <cellStyle name="Percent 2 14 3 2 3 2 3" xfId="11935" xr:uid="{00000000-0005-0000-0000-000067290000}"/>
    <cellStyle name="Percent 2 14 3 2 3 2 4" xfId="8585" xr:uid="{00000000-0005-0000-0000-000068290000}"/>
    <cellStyle name="Percent 2 14 3 2 3 3" xfId="5943" xr:uid="{00000000-0005-0000-0000-000069290000}"/>
    <cellStyle name="Percent 2 14 3 2 3 3 2" xfId="9293" xr:uid="{00000000-0005-0000-0000-00006A290000}"/>
    <cellStyle name="Percent 2 14 3 2 3 4" xfId="10968" xr:uid="{00000000-0005-0000-0000-00006B290000}"/>
    <cellStyle name="Percent 2 14 3 2 3 5" xfId="7618" xr:uid="{00000000-0005-0000-0000-00006C290000}"/>
    <cellStyle name="Percent 2 14 3 2 4" xfId="4504" xr:uid="{00000000-0005-0000-0000-00006D290000}"/>
    <cellStyle name="Percent 2 14 3 2 4 2" xfId="6179" xr:uid="{00000000-0005-0000-0000-00006E290000}"/>
    <cellStyle name="Percent 2 14 3 2 4 2 2" xfId="9529" xr:uid="{00000000-0005-0000-0000-00006F290000}"/>
    <cellStyle name="Percent 2 14 3 2 4 3" xfId="11204" xr:uid="{00000000-0005-0000-0000-000070290000}"/>
    <cellStyle name="Percent 2 14 3 2 4 4" xfId="7854" xr:uid="{00000000-0005-0000-0000-000071290000}"/>
    <cellStyle name="Percent 2 14 3 2 5" xfId="4763" xr:uid="{00000000-0005-0000-0000-000072290000}"/>
    <cellStyle name="Percent 2 14 3 2 5 2" xfId="6438" xr:uid="{00000000-0005-0000-0000-000073290000}"/>
    <cellStyle name="Percent 2 14 3 2 5 2 2" xfId="9788" xr:uid="{00000000-0005-0000-0000-000074290000}"/>
    <cellStyle name="Percent 2 14 3 2 5 3" xfId="11463" xr:uid="{00000000-0005-0000-0000-000075290000}"/>
    <cellStyle name="Percent 2 14 3 2 5 4" xfId="8113" xr:uid="{00000000-0005-0000-0000-000076290000}"/>
    <cellStyle name="Percent 2 14 3 2 6" xfId="5471" xr:uid="{00000000-0005-0000-0000-000077290000}"/>
    <cellStyle name="Percent 2 14 3 2 6 2" xfId="8821" xr:uid="{00000000-0005-0000-0000-000078290000}"/>
    <cellStyle name="Percent 2 14 3 2 7" xfId="10496" xr:uid="{00000000-0005-0000-0000-000079290000}"/>
    <cellStyle name="Percent 2 14 3 2 8" xfId="7146" xr:uid="{00000000-0005-0000-0000-00007A290000}"/>
    <cellStyle name="Percent 2 14 3 3" xfId="3914" xr:uid="{00000000-0005-0000-0000-00007B290000}"/>
    <cellStyle name="Percent 2 14 3 3 2" xfId="4881" xr:uid="{00000000-0005-0000-0000-00007C290000}"/>
    <cellStyle name="Percent 2 14 3 3 2 2" xfId="6556" xr:uid="{00000000-0005-0000-0000-00007D290000}"/>
    <cellStyle name="Percent 2 14 3 3 2 2 2" xfId="9906" xr:uid="{00000000-0005-0000-0000-00007E290000}"/>
    <cellStyle name="Percent 2 14 3 3 2 3" xfId="11581" xr:uid="{00000000-0005-0000-0000-00007F290000}"/>
    <cellStyle name="Percent 2 14 3 3 2 4" xfId="8231" xr:uid="{00000000-0005-0000-0000-000080290000}"/>
    <cellStyle name="Percent 2 14 3 3 3" xfId="5589" xr:uid="{00000000-0005-0000-0000-000081290000}"/>
    <cellStyle name="Percent 2 14 3 3 3 2" xfId="8939" xr:uid="{00000000-0005-0000-0000-000082290000}"/>
    <cellStyle name="Percent 2 14 3 3 4" xfId="10614" xr:uid="{00000000-0005-0000-0000-000083290000}"/>
    <cellStyle name="Percent 2 14 3 3 5" xfId="7264" xr:uid="{00000000-0005-0000-0000-000084290000}"/>
    <cellStyle name="Percent 2 14 3 4" xfId="4150" xr:uid="{00000000-0005-0000-0000-000085290000}"/>
    <cellStyle name="Percent 2 14 3 4 2" xfId="5117" xr:uid="{00000000-0005-0000-0000-000086290000}"/>
    <cellStyle name="Percent 2 14 3 4 2 2" xfId="6792" xr:uid="{00000000-0005-0000-0000-000087290000}"/>
    <cellStyle name="Percent 2 14 3 4 2 2 2" xfId="10142" xr:uid="{00000000-0005-0000-0000-000088290000}"/>
    <cellStyle name="Percent 2 14 3 4 2 3" xfId="11817" xr:uid="{00000000-0005-0000-0000-000089290000}"/>
    <cellStyle name="Percent 2 14 3 4 2 4" xfId="8467" xr:uid="{00000000-0005-0000-0000-00008A290000}"/>
    <cellStyle name="Percent 2 14 3 4 3" xfId="5825" xr:uid="{00000000-0005-0000-0000-00008B290000}"/>
    <cellStyle name="Percent 2 14 3 4 3 2" xfId="9175" xr:uid="{00000000-0005-0000-0000-00008C290000}"/>
    <cellStyle name="Percent 2 14 3 4 4" xfId="10850" xr:uid="{00000000-0005-0000-0000-00008D290000}"/>
    <cellStyle name="Percent 2 14 3 4 5" xfId="7500" xr:uid="{00000000-0005-0000-0000-00008E290000}"/>
    <cellStyle name="Percent 2 14 3 5" xfId="4386" xr:uid="{00000000-0005-0000-0000-00008F290000}"/>
    <cellStyle name="Percent 2 14 3 5 2" xfId="6061" xr:uid="{00000000-0005-0000-0000-000090290000}"/>
    <cellStyle name="Percent 2 14 3 5 2 2" xfId="9411" xr:uid="{00000000-0005-0000-0000-000091290000}"/>
    <cellStyle name="Percent 2 14 3 5 3" xfId="11086" xr:uid="{00000000-0005-0000-0000-000092290000}"/>
    <cellStyle name="Percent 2 14 3 5 4" xfId="7736" xr:uid="{00000000-0005-0000-0000-000093290000}"/>
    <cellStyle name="Percent 2 14 3 6" xfId="4645" xr:uid="{00000000-0005-0000-0000-000094290000}"/>
    <cellStyle name="Percent 2 14 3 6 2" xfId="6320" xr:uid="{00000000-0005-0000-0000-000095290000}"/>
    <cellStyle name="Percent 2 14 3 6 2 2" xfId="9670" xr:uid="{00000000-0005-0000-0000-000096290000}"/>
    <cellStyle name="Percent 2 14 3 6 3" xfId="11345" xr:uid="{00000000-0005-0000-0000-000097290000}"/>
    <cellStyle name="Percent 2 14 3 6 4" xfId="7995" xr:uid="{00000000-0005-0000-0000-000098290000}"/>
    <cellStyle name="Percent 2 14 3 7" xfId="5353" xr:uid="{00000000-0005-0000-0000-000099290000}"/>
    <cellStyle name="Percent 2 14 3 7 2" xfId="8703" xr:uid="{00000000-0005-0000-0000-00009A290000}"/>
    <cellStyle name="Percent 2 14 3 8" xfId="10378" xr:uid="{00000000-0005-0000-0000-00009B290000}"/>
    <cellStyle name="Percent 2 14 3 9" xfId="7028" xr:uid="{00000000-0005-0000-0000-00009C290000}"/>
    <cellStyle name="Percent 2 14 4" xfId="3702" xr:uid="{00000000-0005-0000-0000-00009D290000}"/>
    <cellStyle name="Percent 2 14 4 2" xfId="3820" xr:uid="{00000000-0005-0000-0000-00009E290000}"/>
    <cellStyle name="Percent 2 14 4 2 2" xfId="4056" xr:uid="{00000000-0005-0000-0000-00009F290000}"/>
    <cellStyle name="Percent 2 14 4 2 2 2" xfId="5023" xr:uid="{00000000-0005-0000-0000-0000A0290000}"/>
    <cellStyle name="Percent 2 14 4 2 2 2 2" xfId="6698" xr:uid="{00000000-0005-0000-0000-0000A1290000}"/>
    <cellStyle name="Percent 2 14 4 2 2 2 2 2" xfId="10048" xr:uid="{00000000-0005-0000-0000-0000A2290000}"/>
    <cellStyle name="Percent 2 14 4 2 2 2 3" xfId="11723" xr:uid="{00000000-0005-0000-0000-0000A3290000}"/>
    <cellStyle name="Percent 2 14 4 2 2 2 4" xfId="8373" xr:uid="{00000000-0005-0000-0000-0000A4290000}"/>
    <cellStyle name="Percent 2 14 4 2 2 3" xfId="5731" xr:uid="{00000000-0005-0000-0000-0000A5290000}"/>
    <cellStyle name="Percent 2 14 4 2 2 3 2" xfId="9081" xr:uid="{00000000-0005-0000-0000-0000A6290000}"/>
    <cellStyle name="Percent 2 14 4 2 2 4" xfId="10756" xr:uid="{00000000-0005-0000-0000-0000A7290000}"/>
    <cellStyle name="Percent 2 14 4 2 2 5" xfId="7406" xr:uid="{00000000-0005-0000-0000-0000A8290000}"/>
    <cellStyle name="Percent 2 14 4 2 3" xfId="4292" xr:uid="{00000000-0005-0000-0000-0000A9290000}"/>
    <cellStyle name="Percent 2 14 4 2 3 2" xfId="5259" xr:uid="{00000000-0005-0000-0000-0000AA290000}"/>
    <cellStyle name="Percent 2 14 4 2 3 2 2" xfId="6934" xr:uid="{00000000-0005-0000-0000-0000AB290000}"/>
    <cellStyle name="Percent 2 14 4 2 3 2 2 2" xfId="10284" xr:uid="{00000000-0005-0000-0000-0000AC290000}"/>
    <cellStyle name="Percent 2 14 4 2 3 2 3" xfId="11959" xr:uid="{00000000-0005-0000-0000-0000AD290000}"/>
    <cellStyle name="Percent 2 14 4 2 3 2 4" xfId="8609" xr:uid="{00000000-0005-0000-0000-0000AE290000}"/>
    <cellStyle name="Percent 2 14 4 2 3 3" xfId="5967" xr:uid="{00000000-0005-0000-0000-0000AF290000}"/>
    <cellStyle name="Percent 2 14 4 2 3 3 2" xfId="9317" xr:uid="{00000000-0005-0000-0000-0000B0290000}"/>
    <cellStyle name="Percent 2 14 4 2 3 4" xfId="10992" xr:uid="{00000000-0005-0000-0000-0000B1290000}"/>
    <cellStyle name="Percent 2 14 4 2 3 5" xfId="7642" xr:uid="{00000000-0005-0000-0000-0000B2290000}"/>
    <cellStyle name="Percent 2 14 4 2 4" xfId="4528" xr:uid="{00000000-0005-0000-0000-0000B3290000}"/>
    <cellStyle name="Percent 2 14 4 2 4 2" xfId="6203" xr:uid="{00000000-0005-0000-0000-0000B4290000}"/>
    <cellStyle name="Percent 2 14 4 2 4 2 2" xfId="9553" xr:uid="{00000000-0005-0000-0000-0000B5290000}"/>
    <cellStyle name="Percent 2 14 4 2 4 3" xfId="11228" xr:uid="{00000000-0005-0000-0000-0000B6290000}"/>
    <cellStyle name="Percent 2 14 4 2 4 4" xfId="7878" xr:uid="{00000000-0005-0000-0000-0000B7290000}"/>
    <cellStyle name="Percent 2 14 4 2 5" xfId="4787" xr:uid="{00000000-0005-0000-0000-0000B8290000}"/>
    <cellStyle name="Percent 2 14 4 2 5 2" xfId="6462" xr:uid="{00000000-0005-0000-0000-0000B9290000}"/>
    <cellStyle name="Percent 2 14 4 2 5 2 2" xfId="9812" xr:uid="{00000000-0005-0000-0000-0000BA290000}"/>
    <cellStyle name="Percent 2 14 4 2 5 3" xfId="11487" xr:uid="{00000000-0005-0000-0000-0000BB290000}"/>
    <cellStyle name="Percent 2 14 4 2 5 4" xfId="8137" xr:uid="{00000000-0005-0000-0000-0000BC290000}"/>
    <cellStyle name="Percent 2 14 4 2 6" xfId="5495" xr:uid="{00000000-0005-0000-0000-0000BD290000}"/>
    <cellStyle name="Percent 2 14 4 2 6 2" xfId="8845" xr:uid="{00000000-0005-0000-0000-0000BE290000}"/>
    <cellStyle name="Percent 2 14 4 2 7" xfId="10520" xr:uid="{00000000-0005-0000-0000-0000BF290000}"/>
    <cellStyle name="Percent 2 14 4 2 8" xfId="7170" xr:uid="{00000000-0005-0000-0000-0000C0290000}"/>
    <cellStyle name="Percent 2 14 4 3" xfId="3938" xr:uid="{00000000-0005-0000-0000-0000C1290000}"/>
    <cellStyle name="Percent 2 14 4 3 2" xfId="4905" xr:uid="{00000000-0005-0000-0000-0000C2290000}"/>
    <cellStyle name="Percent 2 14 4 3 2 2" xfId="6580" xr:uid="{00000000-0005-0000-0000-0000C3290000}"/>
    <cellStyle name="Percent 2 14 4 3 2 2 2" xfId="9930" xr:uid="{00000000-0005-0000-0000-0000C4290000}"/>
    <cellStyle name="Percent 2 14 4 3 2 3" xfId="11605" xr:uid="{00000000-0005-0000-0000-0000C5290000}"/>
    <cellStyle name="Percent 2 14 4 3 2 4" xfId="8255" xr:uid="{00000000-0005-0000-0000-0000C6290000}"/>
    <cellStyle name="Percent 2 14 4 3 3" xfId="5613" xr:uid="{00000000-0005-0000-0000-0000C7290000}"/>
    <cellStyle name="Percent 2 14 4 3 3 2" xfId="8963" xr:uid="{00000000-0005-0000-0000-0000C8290000}"/>
    <cellStyle name="Percent 2 14 4 3 4" xfId="10638" xr:uid="{00000000-0005-0000-0000-0000C9290000}"/>
    <cellStyle name="Percent 2 14 4 3 5" xfId="7288" xr:uid="{00000000-0005-0000-0000-0000CA290000}"/>
    <cellStyle name="Percent 2 14 4 4" xfId="4174" xr:uid="{00000000-0005-0000-0000-0000CB290000}"/>
    <cellStyle name="Percent 2 14 4 4 2" xfId="5141" xr:uid="{00000000-0005-0000-0000-0000CC290000}"/>
    <cellStyle name="Percent 2 14 4 4 2 2" xfId="6816" xr:uid="{00000000-0005-0000-0000-0000CD290000}"/>
    <cellStyle name="Percent 2 14 4 4 2 2 2" xfId="10166" xr:uid="{00000000-0005-0000-0000-0000CE290000}"/>
    <cellStyle name="Percent 2 14 4 4 2 3" xfId="11841" xr:uid="{00000000-0005-0000-0000-0000CF290000}"/>
    <cellStyle name="Percent 2 14 4 4 2 4" xfId="8491" xr:uid="{00000000-0005-0000-0000-0000D0290000}"/>
    <cellStyle name="Percent 2 14 4 4 3" xfId="5849" xr:uid="{00000000-0005-0000-0000-0000D1290000}"/>
    <cellStyle name="Percent 2 14 4 4 3 2" xfId="9199" xr:uid="{00000000-0005-0000-0000-0000D2290000}"/>
    <cellStyle name="Percent 2 14 4 4 4" xfId="10874" xr:uid="{00000000-0005-0000-0000-0000D3290000}"/>
    <cellStyle name="Percent 2 14 4 4 5" xfId="7524" xr:uid="{00000000-0005-0000-0000-0000D4290000}"/>
    <cellStyle name="Percent 2 14 4 5" xfId="4410" xr:uid="{00000000-0005-0000-0000-0000D5290000}"/>
    <cellStyle name="Percent 2 14 4 5 2" xfId="6085" xr:uid="{00000000-0005-0000-0000-0000D6290000}"/>
    <cellStyle name="Percent 2 14 4 5 2 2" xfId="9435" xr:uid="{00000000-0005-0000-0000-0000D7290000}"/>
    <cellStyle name="Percent 2 14 4 5 3" xfId="11110" xr:uid="{00000000-0005-0000-0000-0000D8290000}"/>
    <cellStyle name="Percent 2 14 4 5 4" xfId="7760" xr:uid="{00000000-0005-0000-0000-0000D9290000}"/>
    <cellStyle name="Percent 2 14 4 6" xfId="4669" xr:uid="{00000000-0005-0000-0000-0000DA290000}"/>
    <cellStyle name="Percent 2 14 4 6 2" xfId="6344" xr:uid="{00000000-0005-0000-0000-0000DB290000}"/>
    <cellStyle name="Percent 2 14 4 6 2 2" xfId="9694" xr:uid="{00000000-0005-0000-0000-0000DC290000}"/>
    <cellStyle name="Percent 2 14 4 6 3" xfId="11369" xr:uid="{00000000-0005-0000-0000-0000DD290000}"/>
    <cellStyle name="Percent 2 14 4 6 4" xfId="8019" xr:uid="{00000000-0005-0000-0000-0000DE290000}"/>
    <cellStyle name="Percent 2 14 4 7" xfId="5377" xr:uid="{00000000-0005-0000-0000-0000DF290000}"/>
    <cellStyle name="Percent 2 14 4 7 2" xfId="8727" xr:uid="{00000000-0005-0000-0000-0000E0290000}"/>
    <cellStyle name="Percent 2 14 4 8" xfId="10402" xr:uid="{00000000-0005-0000-0000-0000E1290000}"/>
    <cellStyle name="Percent 2 14 4 9" xfId="7052" xr:uid="{00000000-0005-0000-0000-0000E2290000}"/>
    <cellStyle name="Percent 2 14 5" xfId="3726" xr:uid="{00000000-0005-0000-0000-0000E3290000}"/>
    <cellStyle name="Percent 2 14 5 2" xfId="3844" xr:uid="{00000000-0005-0000-0000-0000E4290000}"/>
    <cellStyle name="Percent 2 14 5 2 2" xfId="4080" xr:uid="{00000000-0005-0000-0000-0000E5290000}"/>
    <cellStyle name="Percent 2 14 5 2 2 2" xfId="5047" xr:uid="{00000000-0005-0000-0000-0000E6290000}"/>
    <cellStyle name="Percent 2 14 5 2 2 2 2" xfId="6722" xr:uid="{00000000-0005-0000-0000-0000E7290000}"/>
    <cellStyle name="Percent 2 14 5 2 2 2 2 2" xfId="10072" xr:uid="{00000000-0005-0000-0000-0000E8290000}"/>
    <cellStyle name="Percent 2 14 5 2 2 2 3" xfId="11747" xr:uid="{00000000-0005-0000-0000-0000E9290000}"/>
    <cellStyle name="Percent 2 14 5 2 2 2 4" xfId="8397" xr:uid="{00000000-0005-0000-0000-0000EA290000}"/>
    <cellStyle name="Percent 2 14 5 2 2 3" xfId="5755" xr:uid="{00000000-0005-0000-0000-0000EB290000}"/>
    <cellStyle name="Percent 2 14 5 2 2 3 2" xfId="9105" xr:uid="{00000000-0005-0000-0000-0000EC290000}"/>
    <cellStyle name="Percent 2 14 5 2 2 4" xfId="10780" xr:uid="{00000000-0005-0000-0000-0000ED290000}"/>
    <cellStyle name="Percent 2 14 5 2 2 5" xfId="7430" xr:uid="{00000000-0005-0000-0000-0000EE290000}"/>
    <cellStyle name="Percent 2 14 5 2 3" xfId="4316" xr:uid="{00000000-0005-0000-0000-0000EF290000}"/>
    <cellStyle name="Percent 2 14 5 2 3 2" xfId="5283" xr:uid="{00000000-0005-0000-0000-0000F0290000}"/>
    <cellStyle name="Percent 2 14 5 2 3 2 2" xfId="6958" xr:uid="{00000000-0005-0000-0000-0000F1290000}"/>
    <cellStyle name="Percent 2 14 5 2 3 2 2 2" xfId="10308" xr:uid="{00000000-0005-0000-0000-0000F2290000}"/>
    <cellStyle name="Percent 2 14 5 2 3 2 3" xfId="11983" xr:uid="{00000000-0005-0000-0000-0000F3290000}"/>
    <cellStyle name="Percent 2 14 5 2 3 2 4" xfId="8633" xr:uid="{00000000-0005-0000-0000-0000F4290000}"/>
    <cellStyle name="Percent 2 14 5 2 3 3" xfId="5991" xr:uid="{00000000-0005-0000-0000-0000F5290000}"/>
    <cellStyle name="Percent 2 14 5 2 3 3 2" xfId="9341" xr:uid="{00000000-0005-0000-0000-0000F6290000}"/>
    <cellStyle name="Percent 2 14 5 2 3 4" xfId="11016" xr:uid="{00000000-0005-0000-0000-0000F7290000}"/>
    <cellStyle name="Percent 2 14 5 2 3 5" xfId="7666" xr:uid="{00000000-0005-0000-0000-0000F8290000}"/>
    <cellStyle name="Percent 2 14 5 2 4" xfId="4552" xr:uid="{00000000-0005-0000-0000-0000F9290000}"/>
    <cellStyle name="Percent 2 14 5 2 4 2" xfId="6227" xr:uid="{00000000-0005-0000-0000-0000FA290000}"/>
    <cellStyle name="Percent 2 14 5 2 4 2 2" xfId="9577" xr:uid="{00000000-0005-0000-0000-0000FB290000}"/>
    <cellStyle name="Percent 2 14 5 2 4 3" xfId="11252" xr:uid="{00000000-0005-0000-0000-0000FC290000}"/>
    <cellStyle name="Percent 2 14 5 2 4 4" xfId="7902" xr:uid="{00000000-0005-0000-0000-0000FD290000}"/>
    <cellStyle name="Percent 2 14 5 2 5" xfId="4811" xr:uid="{00000000-0005-0000-0000-0000FE290000}"/>
    <cellStyle name="Percent 2 14 5 2 5 2" xfId="6486" xr:uid="{00000000-0005-0000-0000-0000FF290000}"/>
    <cellStyle name="Percent 2 14 5 2 5 2 2" xfId="9836" xr:uid="{00000000-0005-0000-0000-0000002A0000}"/>
    <cellStyle name="Percent 2 14 5 2 5 3" xfId="11511" xr:uid="{00000000-0005-0000-0000-0000012A0000}"/>
    <cellStyle name="Percent 2 14 5 2 5 4" xfId="8161" xr:uid="{00000000-0005-0000-0000-0000022A0000}"/>
    <cellStyle name="Percent 2 14 5 2 6" xfId="5519" xr:uid="{00000000-0005-0000-0000-0000032A0000}"/>
    <cellStyle name="Percent 2 14 5 2 6 2" xfId="8869" xr:uid="{00000000-0005-0000-0000-0000042A0000}"/>
    <cellStyle name="Percent 2 14 5 2 7" xfId="10544" xr:uid="{00000000-0005-0000-0000-0000052A0000}"/>
    <cellStyle name="Percent 2 14 5 2 8" xfId="7194" xr:uid="{00000000-0005-0000-0000-0000062A0000}"/>
    <cellStyle name="Percent 2 14 5 3" xfId="3962" xr:uid="{00000000-0005-0000-0000-0000072A0000}"/>
    <cellStyle name="Percent 2 14 5 3 2" xfId="4929" xr:uid="{00000000-0005-0000-0000-0000082A0000}"/>
    <cellStyle name="Percent 2 14 5 3 2 2" xfId="6604" xr:uid="{00000000-0005-0000-0000-0000092A0000}"/>
    <cellStyle name="Percent 2 14 5 3 2 2 2" xfId="9954" xr:uid="{00000000-0005-0000-0000-00000A2A0000}"/>
    <cellStyle name="Percent 2 14 5 3 2 3" xfId="11629" xr:uid="{00000000-0005-0000-0000-00000B2A0000}"/>
    <cellStyle name="Percent 2 14 5 3 2 4" xfId="8279" xr:uid="{00000000-0005-0000-0000-00000C2A0000}"/>
    <cellStyle name="Percent 2 14 5 3 3" xfId="5637" xr:uid="{00000000-0005-0000-0000-00000D2A0000}"/>
    <cellStyle name="Percent 2 14 5 3 3 2" xfId="8987" xr:uid="{00000000-0005-0000-0000-00000E2A0000}"/>
    <cellStyle name="Percent 2 14 5 3 4" xfId="10662" xr:uid="{00000000-0005-0000-0000-00000F2A0000}"/>
    <cellStyle name="Percent 2 14 5 3 5" xfId="7312" xr:uid="{00000000-0005-0000-0000-0000102A0000}"/>
    <cellStyle name="Percent 2 14 5 4" xfId="4198" xr:uid="{00000000-0005-0000-0000-0000112A0000}"/>
    <cellStyle name="Percent 2 14 5 4 2" xfId="5165" xr:uid="{00000000-0005-0000-0000-0000122A0000}"/>
    <cellStyle name="Percent 2 14 5 4 2 2" xfId="6840" xr:uid="{00000000-0005-0000-0000-0000132A0000}"/>
    <cellStyle name="Percent 2 14 5 4 2 2 2" xfId="10190" xr:uid="{00000000-0005-0000-0000-0000142A0000}"/>
    <cellStyle name="Percent 2 14 5 4 2 3" xfId="11865" xr:uid="{00000000-0005-0000-0000-0000152A0000}"/>
    <cellStyle name="Percent 2 14 5 4 2 4" xfId="8515" xr:uid="{00000000-0005-0000-0000-0000162A0000}"/>
    <cellStyle name="Percent 2 14 5 4 3" xfId="5873" xr:uid="{00000000-0005-0000-0000-0000172A0000}"/>
    <cellStyle name="Percent 2 14 5 4 3 2" xfId="9223" xr:uid="{00000000-0005-0000-0000-0000182A0000}"/>
    <cellStyle name="Percent 2 14 5 4 4" xfId="10898" xr:uid="{00000000-0005-0000-0000-0000192A0000}"/>
    <cellStyle name="Percent 2 14 5 4 5" xfId="7548" xr:uid="{00000000-0005-0000-0000-00001A2A0000}"/>
    <cellStyle name="Percent 2 14 5 5" xfId="4434" xr:uid="{00000000-0005-0000-0000-00001B2A0000}"/>
    <cellStyle name="Percent 2 14 5 5 2" xfId="6109" xr:uid="{00000000-0005-0000-0000-00001C2A0000}"/>
    <cellStyle name="Percent 2 14 5 5 2 2" xfId="9459" xr:uid="{00000000-0005-0000-0000-00001D2A0000}"/>
    <cellStyle name="Percent 2 14 5 5 3" xfId="11134" xr:uid="{00000000-0005-0000-0000-00001E2A0000}"/>
    <cellStyle name="Percent 2 14 5 5 4" xfId="7784" xr:uid="{00000000-0005-0000-0000-00001F2A0000}"/>
    <cellStyle name="Percent 2 14 5 6" xfId="4693" xr:uid="{00000000-0005-0000-0000-0000202A0000}"/>
    <cellStyle name="Percent 2 14 5 6 2" xfId="6368" xr:uid="{00000000-0005-0000-0000-0000212A0000}"/>
    <cellStyle name="Percent 2 14 5 6 2 2" xfId="9718" xr:uid="{00000000-0005-0000-0000-0000222A0000}"/>
    <cellStyle name="Percent 2 14 5 6 3" xfId="11393" xr:uid="{00000000-0005-0000-0000-0000232A0000}"/>
    <cellStyle name="Percent 2 14 5 6 4" xfId="8043" xr:uid="{00000000-0005-0000-0000-0000242A0000}"/>
    <cellStyle name="Percent 2 14 5 7" xfId="5401" xr:uid="{00000000-0005-0000-0000-0000252A0000}"/>
    <cellStyle name="Percent 2 14 5 7 2" xfId="8751" xr:uid="{00000000-0005-0000-0000-0000262A0000}"/>
    <cellStyle name="Percent 2 14 5 8" xfId="10426" xr:uid="{00000000-0005-0000-0000-0000272A0000}"/>
    <cellStyle name="Percent 2 14 5 9" xfId="7076" xr:uid="{00000000-0005-0000-0000-0000282A0000}"/>
    <cellStyle name="Percent 2 14 6" xfId="3750" xr:uid="{00000000-0005-0000-0000-0000292A0000}"/>
    <cellStyle name="Percent 2 14 6 2" xfId="3986" xr:uid="{00000000-0005-0000-0000-00002A2A0000}"/>
    <cellStyle name="Percent 2 14 6 2 2" xfId="4953" xr:uid="{00000000-0005-0000-0000-00002B2A0000}"/>
    <cellStyle name="Percent 2 14 6 2 2 2" xfId="6628" xr:uid="{00000000-0005-0000-0000-00002C2A0000}"/>
    <cellStyle name="Percent 2 14 6 2 2 2 2" xfId="9978" xr:uid="{00000000-0005-0000-0000-00002D2A0000}"/>
    <cellStyle name="Percent 2 14 6 2 2 3" xfId="11653" xr:uid="{00000000-0005-0000-0000-00002E2A0000}"/>
    <cellStyle name="Percent 2 14 6 2 2 4" xfId="8303" xr:uid="{00000000-0005-0000-0000-00002F2A0000}"/>
    <cellStyle name="Percent 2 14 6 2 3" xfId="5661" xr:uid="{00000000-0005-0000-0000-0000302A0000}"/>
    <cellStyle name="Percent 2 14 6 2 3 2" xfId="9011" xr:uid="{00000000-0005-0000-0000-0000312A0000}"/>
    <cellStyle name="Percent 2 14 6 2 4" xfId="10686" xr:uid="{00000000-0005-0000-0000-0000322A0000}"/>
    <cellStyle name="Percent 2 14 6 2 5" xfId="7336" xr:uid="{00000000-0005-0000-0000-0000332A0000}"/>
    <cellStyle name="Percent 2 14 6 3" xfId="4222" xr:uid="{00000000-0005-0000-0000-0000342A0000}"/>
    <cellStyle name="Percent 2 14 6 3 2" xfId="5189" xr:uid="{00000000-0005-0000-0000-0000352A0000}"/>
    <cellStyle name="Percent 2 14 6 3 2 2" xfId="6864" xr:uid="{00000000-0005-0000-0000-0000362A0000}"/>
    <cellStyle name="Percent 2 14 6 3 2 2 2" xfId="10214" xr:uid="{00000000-0005-0000-0000-0000372A0000}"/>
    <cellStyle name="Percent 2 14 6 3 2 3" xfId="11889" xr:uid="{00000000-0005-0000-0000-0000382A0000}"/>
    <cellStyle name="Percent 2 14 6 3 2 4" xfId="8539" xr:uid="{00000000-0005-0000-0000-0000392A0000}"/>
    <cellStyle name="Percent 2 14 6 3 3" xfId="5897" xr:uid="{00000000-0005-0000-0000-00003A2A0000}"/>
    <cellStyle name="Percent 2 14 6 3 3 2" xfId="9247" xr:uid="{00000000-0005-0000-0000-00003B2A0000}"/>
    <cellStyle name="Percent 2 14 6 3 4" xfId="10922" xr:uid="{00000000-0005-0000-0000-00003C2A0000}"/>
    <cellStyle name="Percent 2 14 6 3 5" xfId="7572" xr:uid="{00000000-0005-0000-0000-00003D2A0000}"/>
    <cellStyle name="Percent 2 14 6 4" xfId="4458" xr:uid="{00000000-0005-0000-0000-00003E2A0000}"/>
    <cellStyle name="Percent 2 14 6 4 2" xfId="6133" xr:uid="{00000000-0005-0000-0000-00003F2A0000}"/>
    <cellStyle name="Percent 2 14 6 4 2 2" xfId="9483" xr:uid="{00000000-0005-0000-0000-0000402A0000}"/>
    <cellStyle name="Percent 2 14 6 4 3" xfId="11158" xr:uid="{00000000-0005-0000-0000-0000412A0000}"/>
    <cellStyle name="Percent 2 14 6 4 4" xfId="7808" xr:uid="{00000000-0005-0000-0000-0000422A0000}"/>
    <cellStyle name="Percent 2 14 6 5" xfId="4717" xr:uid="{00000000-0005-0000-0000-0000432A0000}"/>
    <cellStyle name="Percent 2 14 6 5 2" xfId="6392" xr:uid="{00000000-0005-0000-0000-0000442A0000}"/>
    <cellStyle name="Percent 2 14 6 5 2 2" xfId="9742" xr:uid="{00000000-0005-0000-0000-0000452A0000}"/>
    <cellStyle name="Percent 2 14 6 5 3" xfId="11417" xr:uid="{00000000-0005-0000-0000-0000462A0000}"/>
    <cellStyle name="Percent 2 14 6 5 4" xfId="8067" xr:uid="{00000000-0005-0000-0000-0000472A0000}"/>
    <cellStyle name="Percent 2 14 6 6" xfId="5425" xr:uid="{00000000-0005-0000-0000-0000482A0000}"/>
    <cellStyle name="Percent 2 14 6 6 2" xfId="8775" xr:uid="{00000000-0005-0000-0000-0000492A0000}"/>
    <cellStyle name="Percent 2 14 6 7" xfId="10450" xr:uid="{00000000-0005-0000-0000-00004A2A0000}"/>
    <cellStyle name="Percent 2 14 6 8" xfId="7100" xr:uid="{00000000-0005-0000-0000-00004B2A0000}"/>
    <cellStyle name="Percent 2 14 7" xfId="3868" xr:uid="{00000000-0005-0000-0000-00004C2A0000}"/>
    <cellStyle name="Percent 2 14 7 2" xfId="4835" xr:uid="{00000000-0005-0000-0000-00004D2A0000}"/>
    <cellStyle name="Percent 2 14 7 2 2" xfId="6510" xr:uid="{00000000-0005-0000-0000-00004E2A0000}"/>
    <cellStyle name="Percent 2 14 7 2 2 2" xfId="9860" xr:uid="{00000000-0005-0000-0000-00004F2A0000}"/>
    <cellStyle name="Percent 2 14 7 2 3" xfId="11535" xr:uid="{00000000-0005-0000-0000-0000502A0000}"/>
    <cellStyle name="Percent 2 14 7 2 4" xfId="8185" xr:uid="{00000000-0005-0000-0000-0000512A0000}"/>
    <cellStyle name="Percent 2 14 7 3" xfId="5543" xr:uid="{00000000-0005-0000-0000-0000522A0000}"/>
    <cellStyle name="Percent 2 14 7 3 2" xfId="8893" xr:uid="{00000000-0005-0000-0000-0000532A0000}"/>
    <cellStyle name="Percent 2 14 7 4" xfId="10568" xr:uid="{00000000-0005-0000-0000-0000542A0000}"/>
    <cellStyle name="Percent 2 14 7 5" xfId="7218" xr:uid="{00000000-0005-0000-0000-0000552A0000}"/>
    <cellStyle name="Percent 2 14 8" xfId="4104" xr:uid="{00000000-0005-0000-0000-0000562A0000}"/>
    <cellStyle name="Percent 2 14 8 2" xfId="5071" xr:uid="{00000000-0005-0000-0000-0000572A0000}"/>
    <cellStyle name="Percent 2 14 8 2 2" xfId="6746" xr:uid="{00000000-0005-0000-0000-0000582A0000}"/>
    <cellStyle name="Percent 2 14 8 2 2 2" xfId="10096" xr:uid="{00000000-0005-0000-0000-0000592A0000}"/>
    <cellStyle name="Percent 2 14 8 2 3" xfId="11771" xr:uid="{00000000-0005-0000-0000-00005A2A0000}"/>
    <cellStyle name="Percent 2 14 8 2 4" xfId="8421" xr:uid="{00000000-0005-0000-0000-00005B2A0000}"/>
    <cellStyle name="Percent 2 14 8 3" xfId="5779" xr:uid="{00000000-0005-0000-0000-00005C2A0000}"/>
    <cellStyle name="Percent 2 14 8 3 2" xfId="9129" xr:uid="{00000000-0005-0000-0000-00005D2A0000}"/>
    <cellStyle name="Percent 2 14 8 4" xfId="10804" xr:uid="{00000000-0005-0000-0000-00005E2A0000}"/>
    <cellStyle name="Percent 2 14 8 5" xfId="7454" xr:uid="{00000000-0005-0000-0000-00005F2A0000}"/>
    <cellStyle name="Percent 2 14 9" xfId="4340" xr:uid="{00000000-0005-0000-0000-0000602A0000}"/>
    <cellStyle name="Percent 2 14 9 2" xfId="4599" xr:uid="{00000000-0005-0000-0000-0000612A0000}"/>
    <cellStyle name="Percent 2 14 9 2 2" xfId="6274" xr:uid="{00000000-0005-0000-0000-0000622A0000}"/>
    <cellStyle name="Percent 2 14 9 2 2 2" xfId="9624" xr:uid="{00000000-0005-0000-0000-0000632A0000}"/>
    <cellStyle name="Percent 2 14 9 2 3" xfId="11299" xr:uid="{00000000-0005-0000-0000-0000642A0000}"/>
    <cellStyle name="Percent 2 14 9 2 4" xfId="7949" xr:uid="{00000000-0005-0000-0000-0000652A0000}"/>
    <cellStyle name="Percent 2 14 9 3" xfId="6015" xr:uid="{00000000-0005-0000-0000-0000662A0000}"/>
    <cellStyle name="Percent 2 14 9 3 2" xfId="9365" xr:uid="{00000000-0005-0000-0000-0000672A0000}"/>
    <cellStyle name="Percent 2 14 9 4" xfId="11040" xr:uid="{00000000-0005-0000-0000-0000682A0000}"/>
    <cellStyle name="Percent 2 14 9 5" xfId="7690" xr:uid="{00000000-0005-0000-0000-0000692A0000}"/>
    <cellStyle name="Percent 2 15" xfId="3179" xr:uid="{00000000-0005-0000-0000-00006B0C0000}"/>
    <cellStyle name="Percent 2 16" xfId="3180" xr:uid="{00000000-0005-0000-0000-00006C0C0000}"/>
    <cellStyle name="Percent 2 2" xfId="3181" xr:uid="{00000000-0005-0000-0000-00006D0C0000}"/>
    <cellStyle name="Percent 2 2 2" xfId="3182" xr:uid="{00000000-0005-0000-0000-00006E0C0000}"/>
    <cellStyle name="Percent 2 2 2 2" xfId="3183" xr:uid="{00000000-0005-0000-0000-00006F0C0000}"/>
    <cellStyle name="Percent 2 2 2 2 2" xfId="3184" xr:uid="{00000000-0005-0000-0000-0000700C0000}"/>
    <cellStyle name="Percent 2 2 2 3" xfId="3185" xr:uid="{00000000-0005-0000-0000-0000710C0000}"/>
    <cellStyle name="Percent 2 2 2 3 2" xfId="3186" xr:uid="{00000000-0005-0000-0000-0000720C0000}"/>
    <cellStyle name="Percent 2 2 2 3 2 2" xfId="3187" xr:uid="{00000000-0005-0000-0000-0000730C0000}"/>
    <cellStyle name="Percent 2 2 2 3 3" xfId="3188" xr:uid="{00000000-0005-0000-0000-0000740C0000}"/>
    <cellStyle name="Percent 2 2 2 3 4" xfId="3189" xr:uid="{00000000-0005-0000-0000-0000750C0000}"/>
    <cellStyle name="Percent 2 2 3" xfId="3190" xr:uid="{00000000-0005-0000-0000-0000760C0000}"/>
    <cellStyle name="Percent 2 2 4" xfId="3191" xr:uid="{00000000-0005-0000-0000-0000770C0000}"/>
    <cellStyle name="Percent 2 2 5" xfId="3192" xr:uid="{00000000-0005-0000-0000-0000780C0000}"/>
    <cellStyle name="Percent 2 2 5 2" xfId="3193" xr:uid="{00000000-0005-0000-0000-0000790C0000}"/>
    <cellStyle name="Percent 2 2 6" xfId="3194" xr:uid="{00000000-0005-0000-0000-00007A0C0000}"/>
    <cellStyle name="Percent 2 3" xfId="3195" xr:uid="{00000000-0005-0000-0000-00007B0C0000}"/>
    <cellStyle name="Percent 2 3 2" xfId="3196" xr:uid="{00000000-0005-0000-0000-00007C0C0000}"/>
    <cellStyle name="Percent 2 4" xfId="3197" xr:uid="{00000000-0005-0000-0000-00007D0C0000}"/>
    <cellStyle name="Percent 2 5" xfId="3198" xr:uid="{00000000-0005-0000-0000-00007E0C0000}"/>
    <cellStyle name="Percent 2 6" xfId="3199" xr:uid="{00000000-0005-0000-0000-00007F0C0000}"/>
    <cellStyle name="Percent 2 7" xfId="3200" xr:uid="{00000000-0005-0000-0000-0000800C0000}"/>
    <cellStyle name="Percent 2 8" xfId="3201" xr:uid="{00000000-0005-0000-0000-0000810C0000}"/>
    <cellStyle name="Percent 2 9" xfId="3202" xr:uid="{00000000-0005-0000-0000-0000820C0000}"/>
    <cellStyle name="Percent 3" xfId="3203" xr:uid="{00000000-0005-0000-0000-0000830C0000}"/>
    <cellStyle name="Percent 3 2" xfId="3204" xr:uid="{00000000-0005-0000-0000-0000840C0000}"/>
    <cellStyle name="Percent 3 2 2" xfId="3205" xr:uid="{00000000-0005-0000-0000-0000850C0000}"/>
    <cellStyle name="Percent 4" xfId="3206" xr:uid="{00000000-0005-0000-0000-0000860C0000}"/>
    <cellStyle name="Percent 4 2" xfId="3207" xr:uid="{00000000-0005-0000-0000-0000870C0000}"/>
    <cellStyle name="Percent 4 2 2" xfId="3208" xr:uid="{00000000-0005-0000-0000-0000880C0000}"/>
    <cellStyle name="Percent 4 3" xfId="3209" xr:uid="{00000000-0005-0000-0000-0000890C0000}"/>
    <cellStyle name="Percent 4 4" xfId="3210" xr:uid="{00000000-0005-0000-0000-00008A0C0000}"/>
    <cellStyle name="Percent 4 4 2" xfId="3211" xr:uid="{00000000-0005-0000-0000-00008B0C0000}"/>
    <cellStyle name="Percent 4 5" xfId="3212" xr:uid="{00000000-0005-0000-0000-00008C0C0000}"/>
    <cellStyle name="Percent 4 6" xfId="3213" xr:uid="{00000000-0005-0000-0000-00008D0C0000}"/>
    <cellStyle name="Percent 4 6 2" xfId="3214" xr:uid="{00000000-0005-0000-0000-00008E0C0000}"/>
    <cellStyle name="Percent 4 7" xfId="3215" xr:uid="{00000000-0005-0000-0000-00008F0C0000}"/>
    <cellStyle name="Percent 4 7 2" xfId="3216" xr:uid="{00000000-0005-0000-0000-0000900C0000}"/>
    <cellStyle name="Percent 4 8" xfId="3217" xr:uid="{00000000-0005-0000-0000-0000910C0000}"/>
    <cellStyle name="Percent 5" xfId="3218" xr:uid="{00000000-0005-0000-0000-0000920C0000}"/>
    <cellStyle name="Percent 5 2" xfId="3219" xr:uid="{00000000-0005-0000-0000-0000930C0000}"/>
    <cellStyle name="Percent 5 2 2" xfId="3220" xr:uid="{00000000-0005-0000-0000-0000940C0000}"/>
    <cellStyle name="Percent 5 2 3" xfId="3221" xr:uid="{00000000-0005-0000-0000-0000950C0000}"/>
    <cellStyle name="Percent 5 2 3 2" xfId="3222" xr:uid="{00000000-0005-0000-0000-0000960C0000}"/>
    <cellStyle name="Percent 5 2 4" xfId="3223" xr:uid="{00000000-0005-0000-0000-0000970C0000}"/>
    <cellStyle name="Percent 5 3" xfId="3224" xr:uid="{00000000-0005-0000-0000-0000980C0000}"/>
    <cellStyle name="Percent 6" xfId="3225" xr:uid="{00000000-0005-0000-0000-0000990C0000}"/>
    <cellStyle name="Percent 7" xfId="3226" xr:uid="{00000000-0005-0000-0000-00009A0C0000}"/>
    <cellStyle name="Percent 7 2" xfId="3227" xr:uid="{00000000-0005-0000-0000-00009B0C0000}"/>
    <cellStyle name="Percent 8" xfId="3228" xr:uid="{00000000-0005-0000-0000-00009C0C0000}"/>
    <cellStyle name="Percent 8 2" xfId="3229" xr:uid="{00000000-0005-0000-0000-00009D0C0000}"/>
    <cellStyle name="Percent 8 3" xfId="3230" xr:uid="{00000000-0005-0000-0000-00009E0C0000}"/>
    <cellStyle name="Percent 8 4" xfId="3231" xr:uid="{00000000-0005-0000-0000-00009F0C0000}"/>
    <cellStyle name="Percent 8 5" xfId="3232" xr:uid="{00000000-0005-0000-0000-0000A00C0000}"/>
    <cellStyle name="Percent 8 5 2" xfId="3233" xr:uid="{00000000-0005-0000-0000-0000A10C0000}"/>
    <cellStyle name="Percent 8 6" xfId="3234" xr:uid="{00000000-0005-0000-0000-0000A20C0000}"/>
    <cellStyle name="Percent 9" xfId="3235" xr:uid="{00000000-0005-0000-0000-0000A30C0000}"/>
    <cellStyle name="Percent 9 2" xfId="3236" xr:uid="{00000000-0005-0000-0000-0000A40C0000}"/>
    <cellStyle name="Testo avviso" xfId="3237" xr:uid="{00000000-0005-0000-0000-0000A50C0000}"/>
    <cellStyle name="Testo avviso 2" xfId="3238" xr:uid="{00000000-0005-0000-0000-0000A60C0000}"/>
    <cellStyle name="Testo avviso 2 2" xfId="3239" xr:uid="{00000000-0005-0000-0000-0000A70C0000}"/>
    <cellStyle name="Testo avviso 2 2 2" xfId="3240" xr:uid="{00000000-0005-0000-0000-0000A80C0000}"/>
    <cellStyle name="Testo avviso 3" xfId="3241" xr:uid="{00000000-0005-0000-0000-0000A90C0000}"/>
    <cellStyle name="Testo avviso 4" xfId="3242" xr:uid="{00000000-0005-0000-0000-0000AA0C0000}"/>
    <cellStyle name="Testo descrittivo" xfId="3243" xr:uid="{00000000-0005-0000-0000-0000AB0C0000}"/>
    <cellStyle name="Testo descrittivo 2" xfId="3244" xr:uid="{00000000-0005-0000-0000-0000AC0C0000}"/>
    <cellStyle name="Testo descrittivo 2 2" xfId="3245" xr:uid="{00000000-0005-0000-0000-0000AD0C0000}"/>
    <cellStyle name="Testo descrittivo 2 2 2" xfId="3246" xr:uid="{00000000-0005-0000-0000-0000AE0C0000}"/>
    <cellStyle name="Testo descrittivo 3" xfId="3247" xr:uid="{00000000-0005-0000-0000-0000AF0C0000}"/>
    <cellStyle name="Testo descrittivo 4" xfId="3248" xr:uid="{00000000-0005-0000-0000-0000B00C0000}"/>
    <cellStyle name="Title 2" xfId="3249" xr:uid="{00000000-0005-0000-0000-0000B10C0000}"/>
    <cellStyle name="Title 2 10" xfId="3250" xr:uid="{00000000-0005-0000-0000-0000B20C0000}"/>
    <cellStyle name="Title 2 11" xfId="3251" xr:uid="{00000000-0005-0000-0000-0000B30C0000}"/>
    <cellStyle name="Title 2 12" xfId="3252" xr:uid="{00000000-0005-0000-0000-0000B40C0000}"/>
    <cellStyle name="Title 2 13" xfId="3253" xr:uid="{00000000-0005-0000-0000-0000B50C0000}"/>
    <cellStyle name="Title 2 14" xfId="3254" xr:uid="{00000000-0005-0000-0000-0000B60C0000}"/>
    <cellStyle name="Title 2 15" xfId="3255" xr:uid="{00000000-0005-0000-0000-0000B70C0000}"/>
    <cellStyle name="Title 2 16" xfId="3256" xr:uid="{00000000-0005-0000-0000-0000B80C0000}"/>
    <cellStyle name="Title 2 17" xfId="3257" xr:uid="{00000000-0005-0000-0000-0000B90C0000}"/>
    <cellStyle name="Title 2 18" xfId="3258" xr:uid="{00000000-0005-0000-0000-0000BA0C0000}"/>
    <cellStyle name="Title 2 19" xfId="3259" xr:uid="{00000000-0005-0000-0000-0000BB0C0000}"/>
    <cellStyle name="Title 2 2" xfId="3260" xr:uid="{00000000-0005-0000-0000-0000BC0C0000}"/>
    <cellStyle name="Title 2 20" xfId="3261" xr:uid="{00000000-0005-0000-0000-0000BD0C0000}"/>
    <cellStyle name="Title 2 3" xfId="3262" xr:uid="{00000000-0005-0000-0000-0000BE0C0000}"/>
    <cellStyle name="Title 2 4" xfId="3263" xr:uid="{00000000-0005-0000-0000-0000BF0C0000}"/>
    <cellStyle name="Title 2 5" xfId="3264" xr:uid="{00000000-0005-0000-0000-0000C00C0000}"/>
    <cellStyle name="Title 2 6" xfId="3265" xr:uid="{00000000-0005-0000-0000-0000C10C0000}"/>
    <cellStyle name="Title 2 7" xfId="3266" xr:uid="{00000000-0005-0000-0000-0000C20C0000}"/>
    <cellStyle name="Title 2 8" xfId="3267" xr:uid="{00000000-0005-0000-0000-0000C30C0000}"/>
    <cellStyle name="Title 2 9" xfId="3268" xr:uid="{00000000-0005-0000-0000-0000C40C0000}"/>
    <cellStyle name="Title 3 10" xfId="3269" xr:uid="{00000000-0005-0000-0000-0000C50C0000}"/>
    <cellStyle name="Title 3 11" xfId="3270" xr:uid="{00000000-0005-0000-0000-0000C60C0000}"/>
    <cellStyle name="Title 3 12" xfId="3271" xr:uid="{00000000-0005-0000-0000-0000C70C0000}"/>
    <cellStyle name="Title 3 13" xfId="3272" xr:uid="{00000000-0005-0000-0000-0000C80C0000}"/>
    <cellStyle name="Title 3 14" xfId="3273" xr:uid="{00000000-0005-0000-0000-0000C90C0000}"/>
    <cellStyle name="Title 3 15" xfId="3274" xr:uid="{00000000-0005-0000-0000-0000CA0C0000}"/>
    <cellStyle name="Title 3 16" xfId="3275" xr:uid="{00000000-0005-0000-0000-0000CB0C0000}"/>
    <cellStyle name="Title 3 17" xfId="3276" xr:uid="{00000000-0005-0000-0000-0000CC0C0000}"/>
    <cellStyle name="Title 3 2" xfId="3277" xr:uid="{00000000-0005-0000-0000-0000CD0C0000}"/>
    <cellStyle name="Title 3 3" xfId="3278" xr:uid="{00000000-0005-0000-0000-0000CE0C0000}"/>
    <cellStyle name="Title 3 4" xfId="3279" xr:uid="{00000000-0005-0000-0000-0000CF0C0000}"/>
    <cellStyle name="Title 3 5" xfId="3280" xr:uid="{00000000-0005-0000-0000-0000D00C0000}"/>
    <cellStyle name="Title 3 6" xfId="3281" xr:uid="{00000000-0005-0000-0000-0000D10C0000}"/>
    <cellStyle name="Title 3 7" xfId="3282" xr:uid="{00000000-0005-0000-0000-0000D20C0000}"/>
    <cellStyle name="Title 3 8" xfId="3283" xr:uid="{00000000-0005-0000-0000-0000D30C0000}"/>
    <cellStyle name="Title 3 9" xfId="3284" xr:uid="{00000000-0005-0000-0000-0000D40C0000}"/>
    <cellStyle name="Titolo" xfId="3285" xr:uid="{00000000-0005-0000-0000-0000D50C0000}"/>
    <cellStyle name="Titolo 1" xfId="3286" xr:uid="{00000000-0005-0000-0000-0000D60C0000}"/>
    <cellStyle name="Titolo 1 2" xfId="3287" xr:uid="{00000000-0005-0000-0000-0000D70C0000}"/>
    <cellStyle name="Titolo 1 2 2" xfId="3288" xr:uid="{00000000-0005-0000-0000-0000D80C0000}"/>
    <cellStyle name="Titolo 1 2 2 2" xfId="3289" xr:uid="{00000000-0005-0000-0000-0000D90C0000}"/>
    <cellStyle name="Titolo 1 3" xfId="3290" xr:uid="{00000000-0005-0000-0000-0000DA0C0000}"/>
    <cellStyle name="Titolo 1 4" xfId="3291" xr:uid="{00000000-0005-0000-0000-0000DB0C0000}"/>
    <cellStyle name="Titolo 2" xfId="3292" xr:uid="{00000000-0005-0000-0000-0000DC0C0000}"/>
    <cellStyle name="Titolo 2 2" xfId="3293" xr:uid="{00000000-0005-0000-0000-0000DD0C0000}"/>
    <cellStyle name="Titolo 2 2 2" xfId="3294" xr:uid="{00000000-0005-0000-0000-0000DE0C0000}"/>
    <cellStyle name="Titolo 2 2 2 2" xfId="3295" xr:uid="{00000000-0005-0000-0000-0000DF0C0000}"/>
    <cellStyle name="Titolo 2 3" xfId="3296" xr:uid="{00000000-0005-0000-0000-0000E00C0000}"/>
    <cellStyle name="Titolo 2 4" xfId="3297" xr:uid="{00000000-0005-0000-0000-0000E10C0000}"/>
    <cellStyle name="Titolo 3" xfId="3298" xr:uid="{00000000-0005-0000-0000-0000E20C0000}"/>
    <cellStyle name="Titolo 3 2" xfId="3299" xr:uid="{00000000-0005-0000-0000-0000E30C0000}"/>
    <cellStyle name="Titolo 3 2 2" xfId="3300" xr:uid="{00000000-0005-0000-0000-0000E40C0000}"/>
    <cellStyle name="Titolo 3 2 2 2" xfId="3301" xr:uid="{00000000-0005-0000-0000-0000E50C0000}"/>
    <cellStyle name="Titolo 3 3" xfId="3302" xr:uid="{00000000-0005-0000-0000-0000E60C0000}"/>
    <cellStyle name="Titolo 3 4" xfId="3303" xr:uid="{00000000-0005-0000-0000-0000E70C0000}"/>
    <cellStyle name="Titolo 4" xfId="3304" xr:uid="{00000000-0005-0000-0000-0000E80C0000}"/>
    <cellStyle name="Titolo 4 2" xfId="3305" xr:uid="{00000000-0005-0000-0000-0000E90C0000}"/>
    <cellStyle name="Titolo 4 2 2" xfId="3306" xr:uid="{00000000-0005-0000-0000-0000EA0C0000}"/>
    <cellStyle name="Titolo 4 2 2 2" xfId="3307" xr:uid="{00000000-0005-0000-0000-0000EB0C0000}"/>
    <cellStyle name="Titolo 4 3" xfId="3308" xr:uid="{00000000-0005-0000-0000-0000EC0C0000}"/>
    <cellStyle name="Titolo 4 4" xfId="3309" xr:uid="{00000000-0005-0000-0000-0000ED0C0000}"/>
    <cellStyle name="Titolo 5" xfId="3310" xr:uid="{00000000-0005-0000-0000-0000EE0C0000}"/>
    <cellStyle name="Titolo 5 2" xfId="3311" xr:uid="{00000000-0005-0000-0000-0000EF0C0000}"/>
    <cellStyle name="Titolo 5 2 2" xfId="3312" xr:uid="{00000000-0005-0000-0000-0000F00C0000}"/>
    <cellStyle name="Titolo 6" xfId="3313" xr:uid="{00000000-0005-0000-0000-0000F10C0000}"/>
    <cellStyle name="Titolo 7" xfId="3314" xr:uid="{00000000-0005-0000-0000-0000F20C0000}"/>
    <cellStyle name="Total 2" xfId="3315" xr:uid="{00000000-0005-0000-0000-0000F30C0000}"/>
    <cellStyle name="Total 2 10" xfId="3316" xr:uid="{00000000-0005-0000-0000-0000F40C0000}"/>
    <cellStyle name="Total 2 11" xfId="3317" xr:uid="{00000000-0005-0000-0000-0000F50C0000}"/>
    <cellStyle name="Total 2 12" xfId="3318" xr:uid="{00000000-0005-0000-0000-0000F60C0000}"/>
    <cellStyle name="Total 2 13" xfId="3319" xr:uid="{00000000-0005-0000-0000-0000F70C0000}"/>
    <cellStyle name="Total 2 14" xfId="3320" xr:uid="{00000000-0005-0000-0000-0000F80C0000}"/>
    <cellStyle name="Total 2 15" xfId="3321" xr:uid="{00000000-0005-0000-0000-0000F90C0000}"/>
    <cellStyle name="Total 2 16" xfId="3322" xr:uid="{00000000-0005-0000-0000-0000FA0C0000}"/>
    <cellStyle name="Total 2 17" xfId="3323" xr:uid="{00000000-0005-0000-0000-0000FB0C0000}"/>
    <cellStyle name="Total 2 2" xfId="3324" xr:uid="{00000000-0005-0000-0000-0000FC0C0000}"/>
    <cellStyle name="Total 2 3" xfId="3325" xr:uid="{00000000-0005-0000-0000-0000FD0C0000}"/>
    <cellStyle name="Total 2 4" xfId="3326" xr:uid="{00000000-0005-0000-0000-0000FE0C0000}"/>
    <cellStyle name="Total 2 5" xfId="3327" xr:uid="{00000000-0005-0000-0000-0000FF0C0000}"/>
    <cellStyle name="Total 2 6" xfId="3328" xr:uid="{00000000-0005-0000-0000-0000000D0000}"/>
    <cellStyle name="Total 2 7" xfId="3329" xr:uid="{00000000-0005-0000-0000-0000010D0000}"/>
    <cellStyle name="Total 2 8" xfId="3330" xr:uid="{00000000-0005-0000-0000-0000020D0000}"/>
    <cellStyle name="Total 2 9" xfId="3331" xr:uid="{00000000-0005-0000-0000-0000030D0000}"/>
    <cellStyle name="Total 3 10" xfId="3332" xr:uid="{00000000-0005-0000-0000-0000040D0000}"/>
    <cellStyle name="Total 3 11" xfId="3333" xr:uid="{00000000-0005-0000-0000-0000050D0000}"/>
    <cellStyle name="Total 3 12" xfId="3334" xr:uid="{00000000-0005-0000-0000-0000060D0000}"/>
    <cellStyle name="Total 3 13" xfId="3335" xr:uid="{00000000-0005-0000-0000-0000070D0000}"/>
    <cellStyle name="Total 3 14" xfId="3336" xr:uid="{00000000-0005-0000-0000-0000080D0000}"/>
    <cellStyle name="Total 3 15" xfId="3337" xr:uid="{00000000-0005-0000-0000-0000090D0000}"/>
    <cellStyle name="Total 3 16" xfId="3338" xr:uid="{00000000-0005-0000-0000-00000A0D0000}"/>
    <cellStyle name="Total 3 17" xfId="3339" xr:uid="{00000000-0005-0000-0000-00000B0D0000}"/>
    <cellStyle name="Total 3 2" xfId="3340" xr:uid="{00000000-0005-0000-0000-00000C0D0000}"/>
    <cellStyle name="Total 3 3" xfId="3341" xr:uid="{00000000-0005-0000-0000-00000D0D0000}"/>
    <cellStyle name="Total 3 4" xfId="3342" xr:uid="{00000000-0005-0000-0000-00000E0D0000}"/>
    <cellStyle name="Total 3 5" xfId="3343" xr:uid="{00000000-0005-0000-0000-00000F0D0000}"/>
    <cellStyle name="Total 3 6" xfId="3344" xr:uid="{00000000-0005-0000-0000-0000100D0000}"/>
    <cellStyle name="Total 3 7" xfId="3345" xr:uid="{00000000-0005-0000-0000-0000110D0000}"/>
    <cellStyle name="Total 3 8" xfId="3346" xr:uid="{00000000-0005-0000-0000-0000120D0000}"/>
    <cellStyle name="Total 3 9" xfId="3347" xr:uid="{00000000-0005-0000-0000-0000130D0000}"/>
    <cellStyle name="Totale" xfId="3348" xr:uid="{00000000-0005-0000-0000-0000140D0000}"/>
    <cellStyle name="Totale 2" xfId="3349" xr:uid="{00000000-0005-0000-0000-0000150D0000}"/>
    <cellStyle name="Totale 2 2" xfId="3350" xr:uid="{00000000-0005-0000-0000-0000160D0000}"/>
    <cellStyle name="Totale 2 2 2" xfId="3351" xr:uid="{00000000-0005-0000-0000-0000170D0000}"/>
    <cellStyle name="Totale 3" xfId="3352" xr:uid="{00000000-0005-0000-0000-0000180D0000}"/>
    <cellStyle name="Totale 4" xfId="3353" xr:uid="{00000000-0005-0000-0000-0000190D0000}"/>
    <cellStyle name="Valore non valido" xfId="3354" xr:uid="{00000000-0005-0000-0000-00001A0D0000}"/>
    <cellStyle name="Valore non valido 2" xfId="3355" xr:uid="{00000000-0005-0000-0000-00001B0D0000}"/>
    <cellStyle name="Valore non valido 2 2" xfId="3356" xr:uid="{00000000-0005-0000-0000-00001C0D0000}"/>
    <cellStyle name="Valore non valido 2 2 2" xfId="3357" xr:uid="{00000000-0005-0000-0000-00001D0D0000}"/>
    <cellStyle name="Valore non valido 3" xfId="3358" xr:uid="{00000000-0005-0000-0000-00001E0D0000}"/>
    <cellStyle name="Valore non valido 4" xfId="3359" xr:uid="{00000000-0005-0000-0000-00001F0D0000}"/>
    <cellStyle name="Valore valido" xfId="3360" xr:uid="{00000000-0005-0000-0000-0000200D0000}"/>
    <cellStyle name="Valore valido 2" xfId="3361" xr:uid="{00000000-0005-0000-0000-0000210D0000}"/>
    <cellStyle name="Valore valido 2 2" xfId="3362" xr:uid="{00000000-0005-0000-0000-0000220D0000}"/>
    <cellStyle name="Valore valido 2 2 2" xfId="3363" xr:uid="{00000000-0005-0000-0000-0000230D0000}"/>
    <cellStyle name="Valore valido 3" xfId="3364" xr:uid="{00000000-0005-0000-0000-0000240D0000}"/>
    <cellStyle name="Valore valido 4" xfId="3365" xr:uid="{00000000-0005-0000-0000-0000250D0000}"/>
    <cellStyle name="Warning Text 2" xfId="3366" xr:uid="{00000000-0005-0000-0000-0000260D0000}"/>
    <cellStyle name="Warning Text 2 10" xfId="3367" xr:uid="{00000000-0005-0000-0000-0000270D0000}"/>
    <cellStyle name="Warning Text 2 11" xfId="3368" xr:uid="{00000000-0005-0000-0000-0000280D0000}"/>
    <cellStyle name="Warning Text 2 12" xfId="3369" xr:uid="{00000000-0005-0000-0000-0000290D0000}"/>
    <cellStyle name="Warning Text 2 13" xfId="3370" xr:uid="{00000000-0005-0000-0000-00002A0D0000}"/>
    <cellStyle name="Warning Text 2 14" xfId="3371" xr:uid="{00000000-0005-0000-0000-00002B0D0000}"/>
    <cellStyle name="Warning Text 2 15" xfId="3372" xr:uid="{00000000-0005-0000-0000-00002C0D0000}"/>
    <cellStyle name="Warning Text 2 16" xfId="3373" xr:uid="{00000000-0005-0000-0000-00002D0D0000}"/>
    <cellStyle name="Warning Text 2 17" xfId="3374" xr:uid="{00000000-0005-0000-0000-00002E0D0000}"/>
    <cellStyle name="Warning Text 2 2" xfId="3375" xr:uid="{00000000-0005-0000-0000-00002F0D0000}"/>
    <cellStyle name="Warning Text 2 3" xfId="3376" xr:uid="{00000000-0005-0000-0000-0000300D0000}"/>
    <cellStyle name="Warning Text 2 4" xfId="3377" xr:uid="{00000000-0005-0000-0000-0000310D0000}"/>
    <cellStyle name="Warning Text 2 5" xfId="3378" xr:uid="{00000000-0005-0000-0000-0000320D0000}"/>
    <cellStyle name="Warning Text 2 6" xfId="3379" xr:uid="{00000000-0005-0000-0000-0000330D0000}"/>
    <cellStyle name="Warning Text 2 7" xfId="3380" xr:uid="{00000000-0005-0000-0000-0000340D0000}"/>
    <cellStyle name="Warning Text 2 8" xfId="3381" xr:uid="{00000000-0005-0000-0000-0000350D0000}"/>
    <cellStyle name="Warning Text 2 9" xfId="3382" xr:uid="{00000000-0005-0000-0000-0000360D0000}"/>
    <cellStyle name="Warning Text 3 10" xfId="3383" xr:uid="{00000000-0005-0000-0000-0000370D0000}"/>
    <cellStyle name="Warning Text 3 11" xfId="3384" xr:uid="{00000000-0005-0000-0000-0000380D0000}"/>
    <cellStyle name="Warning Text 3 12" xfId="3385" xr:uid="{00000000-0005-0000-0000-0000390D0000}"/>
    <cellStyle name="Warning Text 3 13" xfId="3386" xr:uid="{00000000-0005-0000-0000-00003A0D0000}"/>
    <cellStyle name="Warning Text 3 14" xfId="3387" xr:uid="{00000000-0005-0000-0000-00003B0D0000}"/>
    <cellStyle name="Warning Text 3 15" xfId="3388" xr:uid="{00000000-0005-0000-0000-00003C0D0000}"/>
    <cellStyle name="Warning Text 3 16" xfId="3389" xr:uid="{00000000-0005-0000-0000-00003D0D0000}"/>
    <cellStyle name="Warning Text 3 17" xfId="3390" xr:uid="{00000000-0005-0000-0000-00003E0D0000}"/>
    <cellStyle name="Warning Text 3 2" xfId="3391" xr:uid="{00000000-0005-0000-0000-00003F0D0000}"/>
    <cellStyle name="Warning Text 3 3" xfId="3392" xr:uid="{00000000-0005-0000-0000-0000400D0000}"/>
    <cellStyle name="Warning Text 3 4" xfId="3393" xr:uid="{00000000-0005-0000-0000-0000410D0000}"/>
    <cellStyle name="Warning Text 3 5" xfId="3394" xr:uid="{00000000-0005-0000-0000-0000420D0000}"/>
    <cellStyle name="Warning Text 3 6" xfId="3395" xr:uid="{00000000-0005-0000-0000-0000430D0000}"/>
    <cellStyle name="Warning Text 3 7" xfId="3396" xr:uid="{00000000-0005-0000-0000-0000440D0000}"/>
    <cellStyle name="Warning Text 3 8" xfId="3397" xr:uid="{00000000-0005-0000-0000-0000450D0000}"/>
    <cellStyle name="Warning Text 3 9" xfId="3398" xr:uid="{00000000-0005-0000-0000-0000460D0000}"/>
  </cellStyles>
  <dxfs count="0"/>
  <tableStyles count="0" defaultTableStyle="TableStyleMedium2" defaultPivotStyle="PivotStyleLight16"/>
  <colors>
    <mruColors>
      <color rgb="FFFFFFCC"/>
      <color rgb="FFFFFF66"/>
      <color rgb="FFFFFF99"/>
      <color rgb="FF00FF00"/>
      <color rgb="FF9900FF"/>
      <color rgb="FF008000"/>
      <color rgb="FF66FF33"/>
      <color rgb="FFFF66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39"/>
  <sheetViews>
    <sheetView tabSelected="1" view="pageBreakPreview" zoomScaleNormal="100" zoomScaleSheetLayoutView="100" workbookViewId="0">
      <pane ySplit="1" topLeftCell="A818" activePane="bottomLeft" state="frozen"/>
      <selection pane="bottomLeft" activeCell="C811" sqref="C811"/>
    </sheetView>
  </sheetViews>
  <sheetFormatPr defaultColWidth="9.140625" defaultRowHeight="11.25"/>
  <cols>
    <col min="1" max="1" width="9.7109375" style="71" customWidth="1"/>
    <col min="2" max="2" width="8.85546875" style="71" customWidth="1"/>
    <col min="3" max="3" width="14.85546875" style="71" customWidth="1"/>
    <col min="4" max="4" width="16.42578125" style="71" customWidth="1"/>
    <col min="5" max="5" width="14.5703125" style="28" customWidth="1"/>
    <col min="6" max="6" width="16" style="28" customWidth="1"/>
    <col min="7" max="7" width="15.7109375" style="28" customWidth="1"/>
    <col min="8" max="8" width="11.28515625" style="28" customWidth="1"/>
    <col min="9" max="9" width="13.140625" style="87" customWidth="1"/>
    <col min="10" max="10" width="9" style="28" customWidth="1"/>
    <col min="11" max="11" width="8.85546875" style="88" customWidth="1"/>
    <col min="12" max="12" width="11.42578125" style="28" customWidth="1"/>
    <col min="13" max="13" width="65.7109375" style="71" customWidth="1"/>
    <col min="14" max="14" width="46.5703125" style="71" customWidth="1"/>
    <col min="15" max="16384" width="9.140625" style="73"/>
  </cols>
  <sheetData>
    <row r="1" spans="1:14" s="33" customFormat="1" ht="48">
      <c r="A1" s="30" t="s">
        <v>0</v>
      </c>
      <c r="B1" s="31" t="s">
        <v>1</v>
      </c>
      <c r="C1" s="31" t="s">
        <v>2</v>
      </c>
      <c r="D1" s="31" t="s">
        <v>3</v>
      </c>
      <c r="E1" s="31" t="s">
        <v>4</v>
      </c>
      <c r="F1" s="31" t="s">
        <v>5</v>
      </c>
      <c r="G1" s="31" t="s">
        <v>6</v>
      </c>
      <c r="H1" s="31" t="s">
        <v>7</v>
      </c>
      <c r="I1" s="17" t="s">
        <v>2328</v>
      </c>
      <c r="J1" s="17" t="s">
        <v>8</v>
      </c>
      <c r="K1" s="32" t="s">
        <v>2329</v>
      </c>
      <c r="L1" s="31" t="s">
        <v>9</v>
      </c>
      <c r="M1" s="31" t="s">
        <v>2144</v>
      </c>
      <c r="N1" s="31" t="s">
        <v>2145</v>
      </c>
    </row>
    <row r="2" spans="1:14" ht="22.5">
      <c r="A2" s="9" t="s">
        <v>14</v>
      </c>
      <c r="B2" s="6" t="s">
        <v>15</v>
      </c>
      <c r="C2" s="6" t="s">
        <v>16</v>
      </c>
      <c r="D2" s="6" t="s">
        <v>17</v>
      </c>
      <c r="E2" s="11" t="s">
        <v>18</v>
      </c>
      <c r="F2" s="11" t="s">
        <v>19</v>
      </c>
      <c r="G2" s="11" t="s">
        <v>20</v>
      </c>
      <c r="H2" s="11" t="s">
        <v>12</v>
      </c>
      <c r="I2" s="20">
        <v>232.1</v>
      </c>
      <c r="J2" s="20" t="s">
        <v>21</v>
      </c>
      <c r="K2" s="14">
        <f>I2/15/20*20</f>
        <v>15.473333333333333</v>
      </c>
      <c r="L2" s="20">
        <v>50</v>
      </c>
      <c r="M2" s="6" t="s">
        <v>2146</v>
      </c>
      <c r="N2" s="6" t="s">
        <v>2147</v>
      </c>
    </row>
    <row r="3" spans="1:14" ht="33.75">
      <c r="A3" s="8">
        <v>1122908</v>
      </c>
      <c r="B3" s="29" t="s">
        <v>15</v>
      </c>
      <c r="C3" s="8" t="s">
        <v>16</v>
      </c>
      <c r="D3" s="8" t="s">
        <v>2842</v>
      </c>
      <c r="E3" s="5" t="s">
        <v>18</v>
      </c>
      <c r="F3" s="5" t="s">
        <v>19</v>
      </c>
      <c r="G3" s="5" t="s">
        <v>3054</v>
      </c>
      <c r="H3" s="5" t="s">
        <v>3055</v>
      </c>
      <c r="I3" s="20">
        <v>232.1</v>
      </c>
      <c r="J3" s="19" t="s">
        <v>21</v>
      </c>
      <c r="K3" s="48">
        <f>I3/15/20*20</f>
        <v>15.473333333333333</v>
      </c>
      <c r="L3" s="20">
        <v>50</v>
      </c>
      <c r="M3" s="6" t="s">
        <v>2146</v>
      </c>
      <c r="N3" s="6" t="s">
        <v>2147</v>
      </c>
    </row>
    <row r="4" spans="1:14" ht="33.75">
      <c r="A4" s="9" t="s">
        <v>31</v>
      </c>
      <c r="B4" s="6" t="s">
        <v>25</v>
      </c>
      <c r="C4" s="6" t="s">
        <v>26</v>
      </c>
      <c r="D4" s="6" t="s">
        <v>32</v>
      </c>
      <c r="E4" s="11" t="s">
        <v>27</v>
      </c>
      <c r="F4" s="11" t="s">
        <v>28</v>
      </c>
      <c r="G4" s="34" t="s">
        <v>2980</v>
      </c>
      <c r="H4" s="34" t="s">
        <v>2981</v>
      </c>
      <c r="I4" s="20">
        <v>119</v>
      </c>
      <c r="J4" s="20" t="s">
        <v>29</v>
      </c>
      <c r="K4" s="14">
        <f>I4/14/40*40</f>
        <v>8.5</v>
      </c>
      <c r="L4" s="20">
        <v>50</v>
      </c>
      <c r="M4" s="6" t="s">
        <v>2146</v>
      </c>
      <c r="N4" s="6" t="s">
        <v>2148</v>
      </c>
    </row>
    <row r="5" spans="1:14" ht="22.5">
      <c r="A5" s="9" t="s">
        <v>34</v>
      </c>
      <c r="B5" s="6" t="s">
        <v>25</v>
      </c>
      <c r="C5" s="6" t="s">
        <v>26</v>
      </c>
      <c r="D5" s="6" t="s">
        <v>35</v>
      </c>
      <c r="E5" s="11" t="s">
        <v>27</v>
      </c>
      <c r="F5" s="11" t="s">
        <v>28</v>
      </c>
      <c r="G5" s="11" t="s">
        <v>1495</v>
      </c>
      <c r="H5" s="11" t="s">
        <v>43</v>
      </c>
      <c r="I5" s="74">
        <v>119</v>
      </c>
      <c r="J5" s="20" t="s">
        <v>29</v>
      </c>
      <c r="K5" s="14">
        <f>I5/14/40*40</f>
        <v>8.5</v>
      </c>
      <c r="L5" s="20">
        <v>50</v>
      </c>
      <c r="M5" s="6" t="s">
        <v>2146</v>
      </c>
      <c r="N5" s="6" t="s">
        <v>2148</v>
      </c>
    </row>
    <row r="6" spans="1:14" ht="22.5">
      <c r="A6" s="9" t="s">
        <v>36</v>
      </c>
      <c r="B6" s="6" t="s">
        <v>25</v>
      </c>
      <c r="C6" s="6" t="s">
        <v>26</v>
      </c>
      <c r="D6" s="6" t="s">
        <v>35</v>
      </c>
      <c r="E6" s="11" t="s">
        <v>27</v>
      </c>
      <c r="F6" s="11" t="s">
        <v>30</v>
      </c>
      <c r="G6" s="11" t="s">
        <v>1495</v>
      </c>
      <c r="H6" s="11" t="s">
        <v>43</v>
      </c>
      <c r="I6" s="74">
        <v>238</v>
      </c>
      <c r="J6" s="20" t="s">
        <v>29</v>
      </c>
      <c r="K6" s="14">
        <f>I6/28/40*40</f>
        <v>8.5</v>
      </c>
      <c r="L6" s="20">
        <v>50</v>
      </c>
      <c r="M6" s="6" t="s">
        <v>2146</v>
      </c>
      <c r="N6" s="6" t="s">
        <v>2148</v>
      </c>
    </row>
    <row r="7" spans="1:14" ht="22.5">
      <c r="A7" s="35" t="s">
        <v>2493</v>
      </c>
      <c r="B7" s="29" t="s">
        <v>25</v>
      </c>
      <c r="C7" s="8" t="s">
        <v>26</v>
      </c>
      <c r="D7" s="36" t="s">
        <v>2494</v>
      </c>
      <c r="E7" s="5" t="s">
        <v>27</v>
      </c>
      <c r="F7" s="5" t="s">
        <v>28</v>
      </c>
      <c r="G7" s="5" t="s">
        <v>541</v>
      </c>
      <c r="H7" s="5" t="s">
        <v>43</v>
      </c>
      <c r="I7" s="19">
        <v>119</v>
      </c>
      <c r="J7" s="21" t="s">
        <v>29</v>
      </c>
      <c r="K7" s="19">
        <f>I7/14/40*40</f>
        <v>8.5</v>
      </c>
      <c r="L7" s="20">
        <v>50</v>
      </c>
      <c r="M7" s="6" t="s">
        <v>2146</v>
      </c>
      <c r="N7" s="6" t="s">
        <v>2148</v>
      </c>
    </row>
    <row r="8" spans="1:14" ht="22.5">
      <c r="A8" s="9" t="s">
        <v>44</v>
      </c>
      <c r="B8" s="6" t="s">
        <v>40</v>
      </c>
      <c r="C8" s="6" t="s">
        <v>41</v>
      </c>
      <c r="D8" s="6" t="s">
        <v>42</v>
      </c>
      <c r="E8" s="11" t="s">
        <v>18</v>
      </c>
      <c r="F8" s="11" t="s">
        <v>22</v>
      </c>
      <c r="G8" s="11" t="s">
        <v>1495</v>
      </c>
      <c r="H8" s="11" t="s">
        <v>43</v>
      </c>
      <c r="I8" s="20">
        <v>150</v>
      </c>
      <c r="J8" s="20" t="s">
        <v>37</v>
      </c>
      <c r="K8" s="14">
        <f>I8/14/20*30</f>
        <v>16.071428571428569</v>
      </c>
      <c r="L8" s="20">
        <v>50</v>
      </c>
      <c r="M8" s="6" t="s">
        <v>2146</v>
      </c>
      <c r="N8" s="6" t="s">
        <v>2148</v>
      </c>
    </row>
    <row r="9" spans="1:14" ht="22.5">
      <c r="A9" s="9" t="s">
        <v>45</v>
      </c>
      <c r="B9" s="6" t="s">
        <v>40</v>
      </c>
      <c r="C9" s="6" t="s">
        <v>41</v>
      </c>
      <c r="D9" s="6" t="s">
        <v>42</v>
      </c>
      <c r="E9" s="11" t="s">
        <v>18</v>
      </c>
      <c r="F9" s="11" t="s">
        <v>46</v>
      </c>
      <c r="G9" s="11" t="s">
        <v>1495</v>
      </c>
      <c r="H9" s="11" t="s">
        <v>43</v>
      </c>
      <c r="I9" s="20">
        <v>299.89999999999998</v>
      </c>
      <c r="J9" s="20" t="s">
        <v>37</v>
      </c>
      <c r="K9" s="14">
        <f>I9/28/20*30</f>
        <v>16.066071428571426</v>
      </c>
      <c r="L9" s="20">
        <v>50</v>
      </c>
      <c r="M9" s="6" t="s">
        <v>2146</v>
      </c>
      <c r="N9" s="6" t="s">
        <v>2148</v>
      </c>
    </row>
    <row r="10" spans="1:14" ht="22.5">
      <c r="A10" s="9" t="s">
        <v>47</v>
      </c>
      <c r="B10" s="6" t="s">
        <v>40</v>
      </c>
      <c r="C10" s="6" t="s">
        <v>41</v>
      </c>
      <c r="D10" s="6" t="s">
        <v>42</v>
      </c>
      <c r="E10" s="11" t="s">
        <v>18</v>
      </c>
      <c r="F10" s="11" t="s">
        <v>28</v>
      </c>
      <c r="G10" s="11" t="s">
        <v>1495</v>
      </c>
      <c r="H10" s="11" t="s">
        <v>43</v>
      </c>
      <c r="I10" s="20">
        <v>208.5</v>
      </c>
      <c r="J10" s="20" t="s">
        <v>37</v>
      </c>
      <c r="K10" s="14">
        <f>I10/14/40*30</f>
        <v>11.169642857142858</v>
      </c>
      <c r="L10" s="20">
        <v>50</v>
      </c>
      <c r="M10" s="6" t="s">
        <v>2146</v>
      </c>
      <c r="N10" s="6" t="s">
        <v>2148</v>
      </c>
    </row>
    <row r="11" spans="1:14" ht="22.5">
      <c r="A11" s="9" t="s">
        <v>48</v>
      </c>
      <c r="B11" s="6" t="s">
        <v>40</v>
      </c>
      <c r="C11" s="6" t="s">
        <v>41</v>
      </c>
      <c r="D11" s="6" t="s">
        <v>42</v>
      </c>
      <c r="E11" s="11" t="s">
        <v>18</v>
      </c>
      <c r="F11" s="11" t="s">
        <v>30</v>
      </c>
      <c r="G11" s="11" t="s">
        <v>1495</v>
      </c>
      <c r="H11" s="11" t="s">
        <v>43</v>
      </c>
      <c r="I11" s="20">
        <v>417.1</v>
      </c>
      <c r="J11" s="20" t="s">
        <v>37</v>
      </c>
      <c r="K11" s="14">
        <f>I11/28/40*30</f>
        <v>11.172321428571429</v>
      </c>
      <c r="L11" s="20">
        <v>50</v>
      </c>
      <c r="M11" s="6" t="s">
        <v>2146</v>
      </c>
      <c r="N11" s="6" t="s">
        <v>2148</v>
      </c>
    </row>
    <row r="12" spans="1:14" ht="22.5">
      <c r="A12" s="9" t="s">
        <v>51</v>
      </c>
      <c r="B12" s="6" t="s">
        <v>52</v>
      </c>
      <c r="C12" s="6" t="s">
        <v>53</v>
      </c>
      <c r="D12" s="6" t="s">
        <v>54</v>
      </c>
      <c r="E12" s="11" t="s">
        <v>55</v>
      </c>
      <c r="F12" s="11" t="s">
        <v>56</v>
      </c>
      <c r="G12" s="11" t="s">
        <v>11</v>
      </c>
      <c r="H12" s="11" t="s">
        <v>12</v>
      </c>
      <c r="I12" s="20">
        <v>141.4</v>
      </c>
      <c r="J12" s="20" t="s">
        <v>37</v>
      </c>
      <c r="K12" s="14">
        <f>I12/30/10*30</f>
        <v>14.14</v>
      </c>
      <c r="L12" s="20">
        <v>50</v>
      </c>
      <c r="M12" s="6"/>
      <c r="N12" s="6"/>
    </row>
    <row r="13" spans="1:14" ht="33.75">
      <c r="A13" s="9" t="s">
        <v>58</v>
      </c>
      <c r="B13" s="6" t="s">
        <v>52</v>
      </c>
      <c r="C13" s="6" t="s">
        <v>53</v>
      </c>
      <c r="D13" s="6" t="s">
        <v>59</v>
      </c>
      <c r="E13" s="11" t="s">
        <v>55</v>
      </c>
      <c r="F13" s="11" t="s">
        <v>60</v>
      </c>
      <c r="G13" s="11" t="s">
        <v>2128</v>
      </c>
      <c r="H13" s="11" t="s">
        <v>2673</v>
      </c>
      <c r="I13" s="20">
        <v>188.5</v>
      </c>
      <c r="J13" s="20" t="s">
        <v>37</v>
      </c>
      <c r="K13" s="14">
        <f>I13/40/10*30</f>
        <v>14.137500000000001</v>
      </c>
      <c r="L13" s="20">
        <v>50</v>
      </c>
      <c r="M13" s="6"/>
      <c r="N13" s="6"/>
    </row>
    <row r="14" spans="1:14" ht="22.5">
      <c r="A14" s="9" t="s">
        <v>61</v>
      </c>
      <c r="B14" s="6" t="s">
        <v>62</v>
      </c>
      <c r="C14" s="6" t="s">
        <v>63</v>
      </c>
      <c r="D14" s="6" t="s">
        <v>64</v>
      </c>
      <c r="E14" s="11" t="s">
        <v>65</v>
      </c>
      <c r="F14" s="11" t="s">
        <v>66</v>
      </c>
      <c r="G14" s="11" t="s">
        <v>67</v>
      </c>
      <c r="H14" s="11" t="s">
        <v>12</v>
      </c>
      <c r="I14" s="20">
        <v>950.6</v>
      </c>
      <c r="J14" s="20" t="s">
        <v>68</v>
      </c>
      <c r="K14" s="14">
        <f>I14/10/4*16</f>
        <v>380.24</v>
      </c>
      <c r="L14" s="20">
        <v>50</v>
      </c>
      <c r="M14" s="6" t="s">
        <v>2149</v>
      </c>
      <c r="N14" s="6"/>
    </row>
    <row r="15" spans="1:14" ht="22.5">
      <c r="A15" s="9" t="s">
        <v>69</v>
      </c>
      <c r="B15" s="6" t="s">
        <v>62</v>
      </c>
      <c r="C15" s="6" t="s">
        <v>63</v>
      </c>
      <c r="D15" s="6" t="s">
        <v>64</v>
      </c>
      <c r="E15" s="11" t="s">
        <v>65</v>
      </c>
      <c r="F15" s="11" t="s">
        <v>70</v>
      </c>
      <c r="G15" s="11" t="s">
        <v>67</v>
      </c>
      <c r="H15" s="11" t="s">
        <v>12</v>
      </c>
      <c r="I15" s="20">
        <v>1530.1</v>
      </c>
      <c r="J15" s="20" t="s">
        <v>68</v>
      </c>
      <c r="K15" s="14">
        <f>I15/10/8*16</f>
        <v>306.02</v>
      </c>
      <c r="L15" s="20">
        <v>50</v>
      </c>
      <c r="M15" s="6" t="s">
        <v>2149</v>
      </c>
      <c r="N15" s="6"/>
    </row>
    <row r="16" spans="1:14" ht="22.5">
      <c r="A16" s="9" t="s">
        <v>1724</v>
      </c>
      <c r="B16" s="6" t="s">
        <v>62</v>
      </c>
      <c r="C16" s="6" t="s">
        <v>63</v>
      </c>
      <c r="D16" s="6" t="s">
        <v>1542</v>
      </c>
      <c r="E16" s="11" t="s">
        <v>65</v>
      </c>
      <c r="F16" s="11" t="s">
        <v>1543</v>
      </c>
      <c r="G16" s="11" t="s">
        <v>1544</v>
      </c>
      <c r="H16" s="11" t="s">
        <v>1319</v>
      </c>
      <c r="I16" s="20">
        <v>2295.1999999999998</v>
      </c>
      <c r="J16" s="20" t="s">
        <v>68</v>
      </c>
      <c r="K16" s="14">
        <f>I16/15/8*16</f>
        <v>306.02666666666664</v>
      </c>
      <c r="L16" s="20">
        <v>50</v>
      </c>
      <c r="M16" s="6" t="s">
        <v>2149</v>
      </c>
      <c r="N16" s="6"/>
    </row>
    <row r="17" spans="1:14" ht="22.5">
      <c r="A17" s="9" t="s">
        <v>71</v>
      </c>
      <c r="B17" s="6" t="s">
        <v>72</v>
      </c>
      <c r="C17" s="6" t="s">
        <v>73</v>
      </c>
      <c r="D17" s="6" t="s">
        <v>74</v>
      </c>
      <c r="E17" s="11" t="s">
        <v>65</v>
      </c>
      <c r="F17" s="11" t="s">
        <v>75</v>
      </c>
      <c r="G17" s="11" t="s">
        <v>2441</v>
      </c>
      <c r="H17" s="11" t="s">
        <v>2442</v>
      </c>
      <c r="I17" s="20">
        <v>2226.1</v>
      </c>
      <c r="J17" s="20" t="s">
        <v>76</v>
      </c>
      <c r="K17" s="14">
        <f>I17/10/1*2</f>
        <v>445.21999999999997</v>
      </c>
      <c r="L17" s="20">
        <v>50</v>
      </c>
      <c r="M17" s="6" t="s">
        <v>2149</v>
      </c>
      <c r="N17" s="6"/>
    </row>
    <row r="18" spans="1:14">
      <c r="A18" s="9" t="s">
        <v>77</v>
      </c>
      <c r="B18" s="6" t="s">
        <v>72</v>
      </c>
      <c r="C18" s="6" t="s">
        <v>73</v>
      </c>
      <c r="D18" s="6" t="s">
        <v>74</v>
      </c>
      <c r="E18" s="11" t="s">
        <v>65</v>
      </c>
      <c r="F18" s="11" t="s">
        <v>78</v>
      </c>
      <c r="G18" s="11" t="s">
        <v>2441</v>
      </c>
      <c r="H18" s="11" t="s">
        <v>2443</v>
      </c>
      <c r="I18" s="20">
        <v>2481.6</v>
      </c>
      <c r="J18" s="20" t="s">
        <v>76</v>
      </c>
      <c r="K18" s="14">
        <f>I18/5/2*2</f>
        <v>496.32</v>
      </c>
      <c r="L18" s="20">
        <v>50</v>
      </c>
      <c r="M18" s="6" t="s">
        <v>2149</v>
      </c>
      <c r="N18" s="6"/>
    </row>
    <row r="19" spans="1:14" ht="45">
      <c r="A19" s="8">
        <v>1124586</v>
      </c>
      <c r="B19" s="37" t="s">
        <v>72</v>
      </c>
      <c r="C19" s="8" t="s">
        <v>73</v>
      </c>
      <c r="D19" s="8" t="s">
        <v>2393</v>
      </c>
      <c r="E19" s="5" t="s">
        <v>65</v>
      </c>
      <c r="F19" s="5" t="s">
        <v>75</v>
      </c>
      <c r="G19" s="5" t="s">
        <v>2394</v>
      </c>
      <c r="H19" s="5" t="s">
        <v>2395</v>
      </c>
      <c r="I19" s="20">
        <v>2226.1</v>
      </c>
      <c r="J19" s="5" t="s">
        <v>76</v>
      </c>
      <c r="K19" s="19">
        <f>I19/10/1*2</f>
        <v>445.21999999999997</v>
      </c>
      <c r="L19" s="20">
        <v>50</v>
      </c>
      <c r="M19" s="6" t="s">
        <v>2149</v>
      </c>
      <c r="N19" s="6"/>
    </row>
    <row r="20" spans="1:14" ht="22.5">
      <c r="A20" s="9" t="s">
        <v>85</v>
      </c>
      <c r="B20" s="6" t="s">
        <v>79</v>
      </c>
      <c r="C20" s="6" t="s">
        <v>80</v>
      </c>
      <c r="D20" s="6" t="s">
        <v>86</v>
      </c>
      <c r="E20" s="11" t="s">
        <v>81</v>
      </c>
      <c r="F20" s="11" t="s">
        <v>84</v>
      </c>
      <c r="G20" s="11" t="s">
        <v>88</v>
      </c>
      <c r="H20" s="11" t="s">
        <v>50</v>
      </c>
      <c r="I20" s="20">
        <v>2317.1999999999998</v>
      </c>
      <c r="J20" s="20" t="s">
        <v>83</v>
      </c>
      <c r="K20" s="14">
        <f>I20/100/250*750</f>
        <v>69.515999999999991</v>
      </c>
      <c r="L20" s="20">
        <v>50</v>
      </c>
      <c r="M20" s="6" t="s">
        <v>2150</v>
      </c>
      <c r="N20" s="6" t="s">
        <v>2151</v>
      </c>
    </row>
    <row r="21" spans="1:14" ht="22.5">
      <c r="A21" s="9" t="s">
        <v>89</v>
      </c>
      <c r="B21" s="6" t="s">
        <v>79</v>
      </c>
      <c r="C21" s="6" t="s">
        <v>80</v>
      </c>
      <c r="D21" s="6" t="s">
        <v>86</v>
      </c>
      <c r="E21" s="11" t="s">
        <v>81</v>
      </c>
      <c r="F21" s="11" t="s">
        <v>1797</v>
      </c>
      <c r="G21" s="11" t="s">
        <v>88</v>
      </c>
      <c r="H21" s="11" t="s">
        <v>50</v>
      </c>
      <c r="I21" s="20">
        <v>1158.5999999999999</v>
      </c>
      <c r="J21" s="20" t="s">
        <v>83</v>
      </c>
      <c r="K21" s="14">
        <f>I21/50/250*750</f>
        <v>69.515999999999991</v>
      </c>
      <c r="L21" s="20">
        <v>50</v>
      </c>
      <c r="M21" s="6" t="s">
        <v>2150</v>
      </c>
      <c r="N21" s="6" t="s">
        <v>2151</v>
      </c>
    </row>
    <row r="22" spans="1:14" ht="22.5">
      <c r="A22" s="9" t="s">
        <v>90</v>
      </c>
      <c r="B22" s="6" t="s">
        <v>91</v>
      </c>
      <c r="C22" s="6" t="s">
        <v>92</v>
      </c>
      <c r="D22" s="6" t="s">
        <v>93</v>
      </c>
      <c r="E22" s="11" t="s">
        <v>94</v>
      </c>
      <c r="F22" s="11" t="s">
        <v>95</v>
      </c>
      <c r="G22" s="11" t="s">
        <v>96</v>
      </c>
      <c r="H22" s="11" t="s">
        <v>39</v>
      </c>
      <c r="I22" s="20">
        <v>424.7</v>
      </c>
      <c r="J22" s="20" t="s">
        <v>97</v>
      </c>
      <c r="K22" s="14">
        <f>I22/333.5*6.7</f>
        <v>8.5322038980509749</v>
      </c>
      <c r="L22" s="20">
        <v>50</v>
      </c>
      <c r="M22" s="6" t="s">
        <v>2334</v>
      </c>
      <c r="N22" s="6" t="s">
        <v>2152</v>
      </c>
    </row>
    <row r="23" spans="1:14" ht="33.75">
      <c r="A23" s="9" t="s">
        <v>98</v>
      </c>
      <c r="B23" s="6" t="s">
        <v>91</v>
      </c>
      <c r="C23" s="6" t="s">
        <v>92</v>
      </c>
      <c r="D23" s="6" t="s">
        <v>1877</v>
      </c>
      <c r="E23" s="11" t="s">
        <v>94</v>
      </c>
      <c r="F23" s="11" t="s">
        <v>2131</v>
      </c>
      <c r="G23" s="11" t="s">
        <v>24</v>
      </c>
      <c r="H23" s="11" t="s">
        <v>12</v>
      </c>
      <c r="I23" s="20">
        <v>424.7</v>
      </c>
      <c r="J23" s="20" t="s">
        <v>97</v>
      </c>
      <c r="K23" s="14">
        <f>I23/66.7/5*6.7</f>
        <v>8.5322038980509731</v>
      </c>
      <c r="L23" s="20">
        <v>50</v>
      </c>
      <c r="M23" s="6" t="s">
        <v>2334</v>
      </c>
      <c r="N23" s="6" t="s">
        <v>2153</v>
      </c>
    </row>
    <row r="24" spans="1:14" ht="22.5">
      <c r="A24" s="9" t="s">
        <v>102</v>
      </c>
      <c r="B24" s="6" t="s">
        <v>103</v>
      </c>
      <c r="C24" s="6" t="s">
        <v>104</v>
      </c>
      <c r="D24" s="6" t="s">
        <v>2495</v>
      </c>
      <c r="E24" s="11" t="s">
        <v>55</v>
      </c>
      <c r="F24" s="11" t="s">
        <v>105</v>
      </c>
      <c r="G24" s="11" t="s">
        <v>20</v>
      </c>
      <c r="H24" s="11" t="s">
        <v>12</v>
      </c>
      <c r="I24" s="20">
        <v>188.9</v>
      </c>
      <c r="J24" s="20" t="s">
        <v>106</v>
      </c>
      <c r="K24" s="14">
        <f>I24/20/2*10</f>
        <v>47.225000000000001</v>
      </c>
      <c r="L24" s="20">
        <v>50</v>
      </c>
      <c r="M24" s="6"/>
      <c r="N24" s="6"/>
    </row>
    <row r="25" spans="1:14" ht="112.5">
      <c r="A25" s="9" t="s">
        <v>107</v>
      </c>
      <c r="B25" s="6" t="s">
        <v>108</v>
      </c>
      <c r="C25" s="6" t="s">
        <v>109</v>
      </c>
      <c r="D25" s="6" t="s">
        <v>110</v>
      </c>
      <c r="E25" s="11" t="s">
        <v>18</v>
      </c>
      <c r="F25" s="11" t="s">
        <v>111</v>
      </c>
      <c r="G25" s="11" t="s">
        <v>88</v>
      </c>
      <c r="H25" s="11" t="s">
        <v>50</v>
      </c>
      <c r="I25" s="20">
        <v>9096.7999999999993</v>
      </c>
      <c r="J25" s="20" t="s">
        <v>112</v>
      </c>
      <c r="K25" s="14">
        <f>I25/100/3*9</f>
        <v>272.904</v>
      </c>
      <c r="L25" s="20">
        <v>50</v>
      </c>
      <c r="M25" s="6" t="s">
        <v>2439</v>
      </c>
      <c r="N25" s="6" t="s">
        <v>2440</v>
      </c>
    </row>
    <row r="26" spans="1:14" ht="22.5">
      <c r="A26" s="9" t="s">
        <v>113</v>
      </c>
      <c r="B26" s="6" t="s">
        <v>114</v>
      </c>
      <c r="C26" s="6" t="s">
        <v>115</v>
      </c>
      <c r="D26" s="6" t="s">
        <v>116</v>
      </c>
      <c r="E26" s="11" t="s">
        <v>27</v>
      </c>
      <c r="F26" s="11" t="s">
        <v>1364</v>
      </c>
      <c r="G26" s="11" t="s">
        <v>1803</v>
      </c>
      <c r="H26" s="11" t="s">
        <v>117</v>
      </c>
      <c r="I26" s="20">
        <v>1205</v>
      </c>
      <c r="J26" s="20" t="s">
        <v>118</v>
      </c>
      <c r="K26" s="14">
        <f>I26/100/500*2000</f>
        <v>48.2</v>
      </c>
      <c r="L26" s="20">
        <v>50</v>
      </c>
      <c r="M26" s="6"/>
      <c r="N26" s="6"/>
    </row>
    <row r="27" spans="1:14" ht="22.5">
      <c r="A27" s="9" t="s">
        <v>119</v>
      </c>
      <c r="B27" s="6" t="s">
        <v>120</v>
      </c>
      <c r="C27" s="6" t="s">
        <v>121</v>
      </c>
      <c r="D27" s="6" t="s">
        <v>122</v>
      </c>
      <c r="E27" s="11" t="s">
        <v>27</v>
      </c>
      <c r="F27" s="11" t="s">
        <v>84</v>
      </c>
      <c r="G27" s="11" t="s">
        <v>67</v>
      </c>
      <c r="H27" s="11" t="s">
        <v>12</v>
      </c>
      <c r="I27" s="20">
        <v>911.4</v>
      </c>
      <c r="J27" s="20" t="s">
        <v>123</v>
      </c>
      <c r="K27" s="14">
        <f>I27/100/250*1500</f>
        <v>54.68399999999999</v>
      </c>
      <c r="L27" s="20">
        <v>50</v>
      </c>
      <c r="M27" s="6" t="s">
        <v>2154</v>
      </c>
      <c r="N27" s="6" t="s">
        <v>2155</v>
      </c>
    </row>
    <row r="28" spans="1:14" ht="22.5">
      <c r="A28" s="9" t="s">
        <v>124</v>
      </c>
      <c r="B28" s="6" t="s">
        <v>120</v>
      </c>
      <c r="C28" s="6" t="s">
        <v>121</v>
      </c>
      <c r="D28" s="6" t="s">
        <v>122</v>
      </c>
      <c r="E28" s="11" t="s">
        <v>125</v>
      </c>
      <c r="F28" s="11" t="s">
        <v>126</v>
      </c>
      <c r="G28" s="11" t="s">
        <v>67</v>
      </c>
      <c r="H28" s="11" t="s">
        <v>12</v>
      </c>
      <c r="I28" s="20">
        <v>952</v>
      </c>
      <c r="J28" s="20" t="s">
        <v>123</v>
      </c>
      <c r="K28" s="14">
        <f>I28/30/250*1500</f>
        <v>190.4</v>
      </c>
      <c r="L28" s="20">
        <v>50</v>
      </c>
      <c r="M28" s="6" t="s">
        <v>2154</v>
      </c>
      <c r="N28" s="6" t="s">
        <v>2155</v>
      </c>
    </row>
    <row r="29" spans="1:14" ht="56.25">
      <c r="A29" s="9" t="s">
        <v>132</v>
      </c>
      <c r="B29" s="6" t="s">
        <v>127</v>
      </c>
      <c r="C29" s="6" t="s">
        <v>128</v>
      </c>
      <c r="D29" s="6" t="s">
        <v>129</v>
      </c>
      <c r="E29" s="11" t="s">
        <v>18</v>
      </c>
      <c r="F29" s="11" t="s">
        <v>133</v>
      </c>
      <c r="G29" s="11" t="s">
        <v>130</v>
      </c>
      <c r="H29" s="11" t="s">
        <v>50</v>
      </c>
      <c r="I29" s="20">
        <v>1478.3</v>
      </c>
      <c r="J29" s="20" t="s">
        <v>131</v>
      </c>
      <c r="K29" s="14">
        <f>I29/50*4</f>
        <v>118.264</v>
      </c>
      <c r="L29" s="20">
        <v>50</v>
      </c>
      <c r="M29" s="6" t="s">
        <v>2156</v>
      </c>
      <c r="N29" s="6" t="s">
        <v>2157</v>
      </c>
    </row>
    <row r="30" spans="1:14" ht="56.25">
      <c r="A30" s="9" t="s">
        <v>134</v>
      </c>
      <c r="B30" s="6" t="s">
        <v>127</v>
      </c>
      <c r="C30" s="6" t="s">
        <v>128</v>
      </c>
      <c r="D30" s="6" t="s">
        <v>129</v>
      </c>
      <c r="E30" s="11" t="s">
        <v>18</v>
      </c>
      <c r="F30" s="11" t="s">
        <v>135</v>
      </c>
      <c r="G30" s="11" t="s">
        <v>130</v>
      </c>
      <c r="H30" s="11" t="s">
        <v>50</v>
      </c>
      <c r="I30" s="20">
        <v>2956.4</v>
      </c>
      <c r="J30" s="20" t="s">
        <v>131</v>
      </c>
      <c r="K30" s="14">
        <f>I30/100*4</f>
        <v>118.256</v>
      </c>
      <c r="L30" s="20">
        <v>50</v>
      </c>
      <c r="M30" s="6" t="s">
        <v>2156</v>
      </c>
      <c r="N30" s="6" t="s">
        <v>2157</v>
      </c>
    </row>
    <row r="31" spans="1:14" ht="56.25">
      <c r="A31" s="9" t="s">
        <v>1740</v>
      </c>
      <c r="B31" s="6" t="s">
        <v>127</v>
      </c>
      <c r="C31" s="6" t="s">
        <v>128</v>
      </c>
      <c r="D31" s="6" t="s">
        <v>1741</v>
      </c>
      <c r="E31" s="11" t="s">
        <v>18</v>
      </c>
      <c r="F31" s="11" t="s">
        <v>1742</v>
      </c>
      <c r="G31" s="11" t="s">
        <v>1743</v>
      </c>
      <c r="H31" s="11" t="s">
        <v>50</v>
      </c>
      <c r="I31" s="20">
        <v>591.29999999999995</v>
      </c>
      <c r="J31" s="20" t="s">
        <v>131</v>
      </c>
      <c r="K31" s="14">
        <f>I31/20/300*1200</f>
        <v>118.26</v>
      </c>
      <c r="L31" s="20">
        <v>50</v>
      </c>
      <c r="M31" s="6" t="s">
        <v>2156</v>
      </c>
      <c r="N31" s="6" t="s">
        <v>2157</v>
      </c>
    </row>
    <row r="32" spans="1:14" ht="56.25">
      <c r="A32" s="9" t="s">
        <v>137</v>
      </c>
      <c r="B32" s="6" t="s">
        <v>127</v>
      </c>
      <c r="C32" s="6" t="s">
        <v>128</v>
      </c>
      <c r="D32" s="6" t="s">
        <v>138</v>
      </c>
      <c r="E32" s="11" t="s">
        <v>18</v>
      </c>
      <c r="F32" s="11" t="s">
        <v>139</v>
      </c>
      <c r="G32" s="11" t="s">
        <v>130</v>
      </c>
      <c r="H32" s="11" t="s">
        <v>50</v>
      </c>
      <c r="I32" s="20">
        <v>1166.4000000000001</v>
      </c>
      <c r="J32" s="20" t="s">
        <v>140</v>
      </c>
      <c r="K32" s="14">
        <f>I32/100*6</f>
        <v>69.984000000000009</v>
      </c>
      <c r="L32" s="20">
        <v>50</v>
      </c>
      <c r="M32" s="6" t="s">
        <v>2156</v>
      </c>
      <c r="N32" s="6" t="s">
        <v>2157</v>
      </c>
    </row>
    <row r="33" spans="1:14" ht="33.75">
      <c r="A33" s="9" t="s">
        <v>141</v>
      </c>
      <c r="B33" s="6" t="s">
        <v>142</v>
      </c>
      <c r="C33" s="6" t="s">
        <v>143</v>
      </c>
      <c r="D33" s="6" t="s">
        <v>144</v>
      </c>
      <c r="E33" s="11" t="s">
        <v>145</v>
      </c>
      <c r="F33" s="11" t="s">
        <v>146</v>
      </c>
      <c r="G33" s="11" t="s">
        <v>147</v>
      </c>
      <c r="H33" s="11" t="s">
        <v>148</v>
      </c>
      <c r="I33" s="20">
        <v>2155.9</v>
      </c>
      <c r="J33" s="20" t="s">
        <v>149</v>
      </c>
      <c r="K33" s="14">
        <f>I33/1500*40</f>
        <v>57.490666666666669</v>
      </c>
      <c r="L33" s="20">
        <v>50</v>
      </c>
      <c r="M33" s="6"/>
      <c r="N33" s="6" t="s">
        <v>2619</v>
      </c>
    </row>
    <row r="34" spans="1:14" ht="56.25">
      <c r="A34" s="35" t="s">
        <v>2496</v>
      </c>
      <c r="B34" s="29" t="s">
        <v>142</v>
      </c>
      <c r="C34" s="8" t="s">
        <v>143</v>
      </c>
      <c r="D34" s="36" t="s">
        <v>2497</v>
      </c>
      <c r="E34" s="15" t="s">
        <v>2498</v>
      </c>
      <c r="F34" s="5" t="s">
        <v>2499</v>
      </c>
      <c r="G34" s="5" t="s">
        <v>2500</v>
      </c>
      <c r="H34" s="5" t="s">
        <v>148</v>
      </c>
      <c r="I34" s="21">
        <v>2155.9</v>
      </c>
      <c r="J34" s="21" t="s">
        <v>149</v>
      </c>
      <c r="K34" s="48">
        <f>I34/1500*40</f>
        <v>57.490666666666669</v>
      </c>
      <c r="L34" s="20">
        <v>50</v>
      </c>
      <c r="M34" s="6"/>
      <c r="N34" s="6" t="s">
        <v>2158</v>
      </c>
    </row>
    <row r="35" spans="1:14" ht="22.5">
      <c r="A35" s="9" t="s">
        <v>150</v>
      </c>
      <c r="B35" s="6" t="s">
        <v>142</v>
      </c>
      <c r="C35" s="6" t="s">
        <v>143</v>
      </c>
      <c r="D35" s="6" t="s">
        <v>151</v>
      </c>
      <c r="E35" s="11" t="s">
        <v>145</v>
      </c>
      <c r="F35" s="11" t="s">
        <v>152</v>
      </c>
      <c r="G35" s="11" t="s">
        <v>153</v>
      </c>
      <c r="H35" s="11" t="s">
        <v>154</v>
      </c>
      <c r="I35" s="20">
        <v>2004.7</v>
      </c>
      <c r="J35" s="20" t="s">
        <v>149</v>
      </c>
      <c r="K35" s="14">
        <f>I35/1500*40</f>
        <v>53.458666666666666</v>
      </c>
      <c r="L35" s="20">
        <v>50</v>
      </c>
      <c r="M35" s="6"/>
      <c r="N35" s="6" t="s">
        <v>2158</v>
      </c>
    </row>
    <row r="36" spans="1:14" ht="337.5">
      <c r="A36" s="9" t="s">
        <v>156</v>
      </c>
      <c r="B36" s="6" t="s">
        <v>157</v>
      </c>
      <c r="C36" s="6" t="s">
        <v>158</v>
      </c>
      <c r="D36" s="6" t="s">
        <v>159</v>
      </c>
      <c r="E36" s="11" t="s">
        <v>145</v>
      </c>
      <c r="F36" s="11" t="s">
        <v>146</v>
      </c>
      <c r="G36" s="11" t="s">
        <v>1788</v>
      </c>
      <c r="H36" s="11" t="s">
        <v>154</v>
      </c>
      <c r="I36" s="20">
        <v>2739.4</v>
      </c>
      <c r="J36" s="20" t="s">
        <v>149</v>
      </c>
      <c r="K36" s="14">
        <f>I36/5/300*40</f>
        <v>73.050666666666672</v>
      </c>
      <c r="L36" s="20">
        <v>50</v>
      </c>
      <c r="M36" s="6"/>
      <c r="N36" s="29" t="s">
        <v>2679</v>
      </c>
    </row>
    <row r="37" spans="1:14" ht="33.75">
      <c r="A37" s="9" t="s">
        <v>161</v>
      </c>
      <c r="B37" s="6" t="s">
        <v>162</v>
      </c>
      <c r="C37" s="6" t="s">
        <v>163</v>
      </c>
      <c r="D37" s="6" t="s">
        <v>164</v>
      </c>
      <c r="E37" s="11" t="s">
        <v>160</v>
      </c>
      <c r="F37" s="11" t="s">
        <v>1520</v>
      </c>
      <c r="G37" s="11" t="s">
        <v>165</v>
      </c>
      <c r="H37" s="11" t="s">
        <v>166</v>
      </c>
      <c r="I37" s="20">
        <v>1461.1</v>
      </c>
      <c r="J37" s="20" t="s">
        <v>1521</v>
      </c>
      <c r="K37" s="14">
        <f>I37/1000*40</f>
        <v>58.443999999999996</v>
      </c>
      <c r="L37" s="20">
        <v>50</v>
      </c>
      <c r="M37" s="6"/>
      <c r="N37" s="6" t="s">
        <v>2159</v>
      </c>
    </row>
    <row r="38" spans="1:14" ht="337.5">
      <c r="A38" s="9" t="s">
        <v>167</v>
      </c>
      <c r="B38" s="6" t="s">
        <v>162</v>
      </c>
      <c r="C38" s="6" t="s">
        <v>168</v>
      </c>
      <c r="D38" s="6" t="s">
        <v>169</v>
      </c>
      <c r="E38" s="11" t="s">
        <v>160</v>
      </c>
      <c r="F38" s="11" t="s">
        <v>1522</v>
      </c>
      <c r="G38" s="11" t="s">
        <v>147</v>
      </c>
      <c r="H38" s="11" t="s">
        <v>148</v>
      </c>
      <c r="I38" s="20">
        <v>2604.6</v>
      </c>
      <c r="J38" s="20" t="s">
        <v>1521</v>
      </c>
      <c r="K38" s="14">
        <f>I38/1500*40</f>
        <v>69.456000000000003</v>
      </c>
      <c r="L38" s="20">
        <v>50</v>
      </c>
      <c r="M38" s="6"/>
      <c r="N38" s="29" t="s">
        <v>2679</v>
      </c>
    </row>
    <row r="39" spans="1:14" ht="33.75">
      <c r="A39" s="37" t="s">
        <v>2444</v>
      </c>
      <c r="B39" s="8" t="s">
        <v>162</v>
      </c>
      <c r="C39" s="7" t="s">
        <v>163</v>
      </c>
      <c r="D39" s="7" t="s">
        <v>2445</v>
      </c>
      <c r="E39" s="12" t="s">
        <v>160</v>
      </c>
      <c r="F39" s="12" t="s">
        <v>2446</v>
      </c>
      <c r="G39" s="12" t="s">
        <v>165</v>
      </c>
      <c r="H39" s="12" t="s">
        <v>166</v>
      </c>
      <c r="I39" s="19">
        <v>1461.1</v>
      </c>
      <c r="J39" s="19" t="s">
        <v>1521</v>
      </c>
      <c r="K39" s="19">
        <f>I39/1000*40</f>
        <v>58.443999999999996</v>
      </c>
      <c r="L39" s="20">
        <v>50</v>
      </c>
      <c r="M39" s="6"/>
      <c r="N39" s="29" t="s">
        <v>2676</v>
      </c>
    </row>
    <row r="40" spans="1:14" ht="337.5">
      <c r="A40" s="37" t="s">
        <v>2447</v>
      </c>
      <c r="B40" s="8" t="s">
        <v>162</v>
      </c>
      <c r="C40" s="7" t="s">
        <v>163</v>
      </c>
      <c r="D40" s="7" t="s">
        <v>2448</v>
      </c>
      <c r="E40" s="12" t="s">
        <v>1547</v>
      </c>
      <c r="F40" s="12" t="s">
        <v>2449</v>
      </c>
      <c r="G40" s="12" t="s">
        <v>165</v>
      </c>
      <c r="H40" s="12" t="s">
        <v>166</v>
      </c>
      <c r="I40" s="19">
        <v>2604.6</v>
      </c>
      <c r="J40" s="19" t="s">
        <v>1521</v>
      </c>
      <c r="K40" s="19">
        <f>I40/5/300*40</f>
        <v>69.456000000000003</v>
      </c>
      <c r="L40" s="20">
        <v>50</v>
      </c>
      <c r="M40" s="6"/>
      <c r="N40" s="29" t="s">
        <v>2677</v>
      </c>
    </row>
    <row r="41" spans="1:14" ht="337.5">
      <c r="A41" s="9" t="s">
        <v>172</v>
      </c>
      <c r="B41" s="6" t="s">
        <v>170</v>
      </c>
      <c r="C41" s="6" t="s">
        <v>171</v>
      </c>
      <c r="D41" s="6" t="s">
        <v>173</v>
      </c>
      <c r="E41" s="11" t="s">
        <v>160</v>
      </c>
      <c r="F41" s="11" t="s">
        <v>174</v>
      </c>
      <c r="G41" s="11" t="s">
        <v>155</v>
      </c>
      <c r="H41" s="11" t="s">
        <v>50</v>
      </c>
      <c r="I41" s="20">
        <v>2628.1</v>
      </c>
      <c r="J41" s="20" t="s">
        <v>149</v>
      </c>
      <c r="K41" s="14">
        <f>I41/5/300*40</f>
        <v>70.082666666666668</v>
      </c>
      <c r="L41" s="20">
        <v>50</v>
      </c>
      <c r="M41" s="6"/>
      <c r="N41" s="29" t="s">
        <v>2675</v>
      </c>
    </row>
    <row r="42" spans="1:14" ht="33.75">
      <c r="A42" s="9" t="s">
        <v>175</v>
      </c>
      <c r="B42" s="6" t="s">
        <v>176</v>
      </c>
      <c r="C42" s="6" t="s">
        <v>177</v>
      </c>
      <c r="D42" s="6" t="s">
        <v>178</v>
      </c>
      <c r="E42" s="11" t="s">
        <v>179</v>
      </c>
      <c r="F42" s="11" t="s">
        <v>180</v>
      </c>
      <c r="G42" s="11" t="s">
        <v>147</v>
      </c>
      <c r="H42" s="11" t="s">
        <v>148</v>
      </c>
      <c r="I42" s="20">
        <v>2116</v>
      </c>
      <c r="J42" s="20" t="s">
        <v>149</v>
      </c>
      <c r="K42" s="14">
        <f>I42/1500*40</f>
        <v>56.426666666666669</v>
      </c>
      <c r="L42" s="20">
        <v>50</v>
      </c>
      <c r="M42" s="6"/>
      <c r="N42" s="6" t="s">
        <v>2619</v>
      </c>
    </row>
    <row r="43" spans="1:14" ht="56.25">
      <c r="A43" s="35" t="s">
        <v>2501</v>
      </c>
      <c r="B43" s="29" t="s">
        <v>176</v>
      </c>
      <c r="C43" s="8" t="s">
        <v>143</v>
      </c>
      <c r="D43" s="36" t="s">
        <v>2502</v>
      </c>
      <c r="E43" s="15" t="s">
        <v>2503</v>
      </c>
      <c r="F43" s="5" t="s">
        <v>2499</v>
      </c>
      <c r="G43" s="5" t="s">
        <v>2500</v>
      </c>
      <c r="H43" s="5" t="s">
        <v>148</v>
      </c>
      <c r="I43" s="20">
        <v>2116</v>
      </c>
      <c r="J43" s="21" t="s">
        <v>149</v>
      </c>
      <c r="K43" s="48">
        <f>I43/1500*40</f>
        <v>56.426666666666669</v>
      </c>
      <c r="L43" s="20">
        <v>50</v>
      </c>
      <c r="M43" s="6"/>
      <c r="N43" s="6" t="s">
        <v>2158</v>
      </c>
    </row>
    <row r="44" spans="1:14" ht="22.5">
      <c r="A44" s="9" t="s">
        <v>181</v>
      </c>
      <c r="B44" s="6" t="s">
        <v>176</v>
      </c>
      <c r="C44" s="6" t="s">
        <v>182</v>
      </c>
      <c r="D44" s="6" t="s">
        <v>183</v>
      </c>
      <c r="E44" s="11" t="s">
        <v>179</v>
      </c>
      <c r="F44" s="11" t="s">
        <v>152</v>
      </c>
      <c r="G44" s="11" t="s">
        <v>153</v>
      </c>
      <c r="H44" s="11" t="s">
        <v>154</v>
      </c>
      <c r="I44" s="20">
        <v>2116</v>
      </c>
      <c r="J44" s="20" t="s">
        <v>149</v>
      </c>
      <c r="K44" s="14">
        <f>I44/1500*40</f>
        <v>56.426666666666669</v>
      </c>
      <c r="L44" s="20">
        <v>50</v>
      </c>
      <c r="M44" s="6"/>
      <c r="N44" s="6" t="s">
        <v>2158</v>
      </c>
    </row>
    <row r="45" spans="1:14" ht="56.25">
      <c r="A45" s="35" t="s">
        <v>2504</v>
      </c>
      <c r="B45" s="29" t="s">
        <v>184</v>
      </c>
      <c r="C45" s="8" t="s">
        <v>143</v>
      </c>
      <c r="D45" s="36" t="s">
        <v>2505</v>
      </c>
      <c r="E45" s="15" t="s">
        <v>2503</v>
      </c>
      <c r="F45" s="5" t="s">
        <v>2499</v>
      </c>
      <c r="G45" s="5" t="s">
        <v>2500</v>
      </c>
      <c r="H45" s="5" t="s">
        <v>148</v>
      </c>
      <c r="I45" s="19">
        <v>1989.5</v>
      </c>
      <c r="J45" s="21" t="s">
        <v>149</v>
      </c>
      <c r="K45" s="19">
        <f>I45/5/3/100*40</f>
        <v>53.053333333333335</v>
      </c>
      <c r="L45" s="20">
        <v>50</v>
      </c>
      <c r="M45" s="6"/>
      <c r="N45" s="6" t="s">
        <v>2160</v>
      </c>
    </row>
    <row r="46" spans="1:14" ht="22.5">
      <c r="A46" s="9" t="s">
        <v>185</v>
      </c>
      <c r="B46" s="6" t="s">
        <v>184</v>
      </c>
      <c r="C46" s="6" t="s">
        <v>182</v>
      </c>
      <c r="D46" s="6" t="s">
        <v>186</v>
      </c>
      <c r="E46" s="11" t="s">
        <v>179</v>
      </c>
      <c r="F46" s="11" t="s">
        <v>152</v>
      </c>
      <c r="G46" s="11" t="s">
        <v>153</v>
      </c>
      <c r="H46" s="11" t="s">
        <v>154</v>
      </c>
      <c r="I46" s="20">
        <v>1989.5</v>
      </c>
      <c r="J46" s="38" t="s">
        <v>149</v>
      </c>
      <c r="K46" s="20">
        <f>I46/1500*40</f>
        <v>53.053333333333335</v>
      </c>
      <c r="L46" s="20">
        <v>50</v>
      </c>
      <c r="M46" s="6"/>
      <c r="N46" s="6" t="s">
        <v>2160</v>
      </c>
    </row>
    <row r="47" spans="1:14" ht="360">
      <c r="A47" s="9" t="s">
        <v>187</v>
      </c>
      <c r="B47" s="6" t="s">
        <v>188</v>
      </c>
      <c r="C47" s="6" t="s">
        <v>158</v>
      </c>
      <c r="D47" s="6" t="s">
        <v>189</v>
      </c>
      <c r="E47" s="11" t="s">
        <v>179</v>
      </c>
      <c r="F47" s="11" t="s">
        <v>190</v>
      </c>
      <c r="G47" s="11" t="s">
        <v>153</v>
      </c>
      <c r="H47" s="11" t="s">
        <v>154</v>
      </c>
      <c r="I47" s="20">
        <v>2739.4</v>
      </c>
      <c r="J47" s="20" t="s">
        <v>149</v>
      </c>
      <c r="K47" s="14">
        <f>I47/1500*40</f>
        <v>73.050666666666672</v>
      </c>
      <c r="L47" s="20">
        <v>50</v>
      </c>
      <c r="M47" s="6"/>
      <c r="N47" s="6" t="s">
        <v>2681</v>
      </c>
    </row>
    <row r="48" spans="1:14" ht="292.5">
      <c r="A48" s="9" t="s">
        <v>191</v>
      </c>
      <c r="B48" s="6" t="s">
        <v>188</v>
      </c>
      <c r="C48" s="6" t="s">
        <v>158</v>
      </c>
      <c r="D48" s="6" t="s">
        <v>192</v>
      </c>
      <c r="E48" s="11" t="s">
        <v>179</v>
      </c>
      <c r="F48" s="11" t="s">
        <v>190</v>
      </c>
      <c r="G48" s="11" t="s">
        <v>153</v>
      </c>
      <c r="H48" s="11" t="s">
        <v>154</v>
      </c>
      <c r="I48" s="20">
        <v>2739.4</v>
      </c>
      <c r="J48" s="20" t="s">
        <v>149</v>
      </c>
      <c r="K48" s="14">
        <f>I48/1500*40</f>
        <v>73.050666666666672</v>
      </c>
      <c r="L48" s="20">
        <v>50</v>
      </c>
      <c r="M48" s="6"/>
      <c r="N48" s="29" t="s">
        <v>2680</v>
      </c>
    </row>
    <row r="49" spans="1:14" ht="360">
      <c r="A49" s="9" t="s">
        <v>193</v>
      </c>
      <c r="B49" s="6" t="s">
        <v>194</v>
      </c>
      <c r="C49" s="7" t="s">
        <v>168</v>
      </c>
      <c r="D49" s="7" t="s">
        <v>195</v>
      </c>
      <c r="E49" s="11" t="s">
        <v>196</v>
      </c>
      <c r="F49" s="11" t="s">
        <v>1523</v>
      </c>
      <c r="G49" s="11" t="s">
        <v>147</v>
      </c>
      <c r="H49" s="11" t="s">
        <v>148</v>
      </c>
      <c r="I49" s="20">
        <v>2604.6</v>
      </c>
      <c r="J49" s="20" t="s">
        <v>1521</v>
      </c>
      <c r="K49" s="14">
        <f>I49/5/300*40</f>
        <v>69.456000000000003</v>
      </c>
      <c r="L49" s="20">
        <v>50</v>
      </c>
      <c r="M49" s="6"/>
      <c r="N49" s="6" t="s">
        <v>2682</v>
      </c>
    </row>
    <row r="50" spans="1:14" ht="292.5">
      <c r="A50" s="9" t="s">
        <v>199</v>
      </c>
      <c r="B50" s="6" t="s">
        <v>197</v>
      </c>
      <c r="C50" s="6" t="s">
        <v>198</v>
      </c>
      <c r="D50" s="6" t="s">
        <v>200</v>
      </c>
      <c r="E50" s="11" t="s">
        <v>160</v>
      </c>
      <c r="F50" s="11" t="s">
        <v>174</v>
      </c>
      <c r="G50" s="11" t="s">
        <v>155</v>
      </c>
      <c r="H50" s="11" t="s">
        <v>50</v>
      </c>
      <c r="I50" s="20">
        <v>3967.3</v>
      </c>
      <c r="J50" s="20" t="s">
        <v>149</v>
      </c>
      <c r="K50" s="14">
        <f>I50/5/300*40</f>
        <v>105.79466666666667</v>
      </c>
      <c r="L50" s="20">
        <v>50</v>
      </c>
      <c r="M50" s="6"/>
      <c r="N50" s="29" t="s">
        <v>2680</v>
      </c>
    </row>
    <row r="51" spans="1:14" ht="303.75">
      <c r="A51" s="9" t="s">
        <v>1545</v>
      </c>
      <c r="B51" s="6" t="s">
        <v>197</v>
      </c>
      <c r="C51" s="6" t="s">
        <v>198</v>
      </c>
      <c r="D51" s="6" t="s">
        <v>1546</v>
      </c>
      <c r="E51" s="11" t="s">
        <v>1547</v>
      </c>
      <c r="F51" s="11" t="s">
        <v>1548</v>
      </c>
      <c r="G51" s="11" t="s">
        <v>155</v>
      </c>
      <c r="H51" s="11" t="s">
        <v>50</v>
      </c>
      <c r="I51" s="20">
        <v>3736.5</v>
      </c>
      <c r="J51" s="20" t="s">
        <v>149</v>
      </c>
      <c r="K51" s="14">
        <f>I51/3/450*40</f>
        <v>110.71111111111111</v>
      </c>
      <c r="L51" s="20">
        <v>50</v>
      </c>
      <c r="M51" s="6"/>
      <c r="N51" s="29" t="s">
        <v>2690</v>
      </c>
    </row>
    <row r="52" spans="1:14" ht="292.5">
      <c r="A52" s="9" t="s">
        <v>1808</v>
      </c>
      <c r="B52" s="6" t="s">
        <v>197</v>
      </c>
      <c r="C52" s="6" t="s">
        <v>198</v>
      </c>
      <c r="D52" s="6" t="s">
        <v>1804</v>
      </c>
      <c r="E52" s="11" t="s">
        <v>145</v>
      </c>
      <c r="F52" s="11" t="s">
        <v>1805</v>
      </c>
      <c r="G52" s="11" t="s">
        <v>1806</v>
      </c>
      <c r="H52" s="11" t="s">
        <v>136</v>
      </c>
      <c r="I52" s="20">
        <v>3201.6</v>
      </c>
      <c r="J52" s="20" t="s">
        <v>1807</v>
      </c>
      <c r="K52" s="14">
        <f>I52/5/300*40</f>
        <v>85.375999999999991</v>
      </c>
      <c r="L52" s="20">
        <v>50</v>
      </c>
      <c r="M52" s="6"/>
      <c r="N52" s="29" t="s">
        <v>2680</v>
      </c>
    </row>
    <row r="53" spans="1:14" ht="292.5">
      <c r="A53" s="9" t="s">
        <v>201</v>
      </c>
      <c r="B53" s="6" t="s">
        <v>202</v>
      </c>
      <c r="C53" s="6" t="s">
        <v>203</v>
      </c>
      <c r="D53" s="6" t="s">
        <v>204</v>
      </c>
      <c r="E53" s="11" t="s">
        <v>160</v>
      </c>
      <c r="F53" s="11" t="s">
        <v>1524</v>
      </c>
      <c r="G53" s="11" t="s">
        <v>147</v>
      </c>
      <c r="H53" s="11" t="s">
        <v>148</v>
      </c>
      <c r="I53" s="20">
        <v>5109.7</v>
      </c>
      <c r="J53" s="20" t="s">
        <v>1521</v>
      </c>
      <c r="K53" s="14">
        <f>I53/5/3/100*40</f>
        <v>136.25866666666664</v>
      </c>
      <c r="L53" s="20">
        <v>50</v>
      </c>
      <c r="M53" s="6"/>
      <c r="N53" s="29" t="s">
        <v>2680</v>
      </c>
    </row>
    <row r="54" spans="1:14" ht="33.75">
      <c r="A54" s="9" t="s">
        <v>2356</v>
      </c>
      <c r="B54" s="6" t="s">
        <v>2357</v>
      </c>
      <c r="C54" s="6" t="s">
        <v>2358</v>
      </c>
      <c r="D54" s="6" t="s">
        <v>2359</v>
      </c>
      <c r="E54" s="11" t="s">
        <v>1547</v>
      </c>
      <c r="F54" s="11" t="s">
        <v>2360</v>
      </c>
      <c r="G54" s="12" t="s">
        <v>165</v>
      </c>
      <c r="H54" s="11" t="s">
        <v>166</v>
      </c>
      <c r="I54" s="20">
        <v>5478.3</v>
      </c>
      <c r="J54" s="20" t="s">
        <v>2361</v>
      </c>
      <c r="K54" s="14">
        <f>I54/5/3/100*40</f>
        <v>146.08799999999999</v>
      </c>
      <c r="L54" s="20">
        <v>50</v>
      </c>
      <c r="M54" s="6"/>
      <c r="N54" s="29" t="s">
        <v>2940</v>
      </c>
    </row>
    <row r="55" spans="1:14" ht="292.5">
      <c r="A55" s="9" t="s">
        <v>2362</v>
      </c>
      <c r="B55" s="6" t="s">
        <v>2357</v>
      </c>
      <c r="C55" s="6" t="s">
        <v>2358</v>
      </c>
      <c r="D55" s="6" t="s">
        <v>2359</v>
      </c>
      <c r="E55" s="11" t="s">
        <v>1547</v>
      </c>
      <c r="F55" s="11" t="s">
        <v>2363</v>
      </c>
      <c r="G55" s="12" t="s">
        <v>165</v>
      </c>
      <c r="H55" s="11" t="s">
        <v>166</v>
      </c>
      <c r="I55" s="20">
        <v>6990.3</v>
      </c>
      <c r="J55" s="20" t="s">
        <v>2361</v>
      </c>
      <c r="K55" s="14">
        <f>I55/3/3/200*40</f>
        <v>155.33999999999997</v>
      </c>
      <c r="L55" s="20">
        <v>50</v>
      </c>
      <c r="M55" s="6"/>
      <c r="N55" s="29" t="s">
        <v>2680</v>
      </c>
    </row>
    <row r="56" spans="1:14" ht="33.75">
      <c r="A56" s="37" t="s">
        <v>2891</v>
      </c>
      <c r="B56" s="8" t="s">
        <v>2357</v>
      </c>
      <c r="C56" s="8" t="s">
        <v>2358</v>
      </c>
      <c r="D56" s="8" t="s">
        <v>2892</v>
      </c>
      <c r="E56" s="5" t="s">
        <v>145</v>
      </c>
      <c r="F56" s="5" t="s">
        <v>2893</v>
      </c>
      <c r="G56" s="5" t="s">
        <v>165</v>
      </c>
      <c r="H56" s="5" t="s">
        <v>166</v>
      </c>
      <c r="I56" s="19">
        <v>5478.3</v>
      </c>
      <c r="J56" s="19" t="s">
        <v>149</v>
      </c>
      <c r="K56" s="19">
        <f>(I56/5)/300*40</f>
        <v>146.08799999999999</v>
      </c>
      <c r="L56" s="20">
        <v>50</v>
      </c>
      <c r="M56" s="6"/>
      <c r="N56" s="29" t="s">
        <v>2940</v>
      </c>
    </row>
    <row r="57" spans="1:14" ht="22.5">
      <c r="A57" s="9" t="s">
        <v>205</v>
      </c>
      <c r="B57" s="6" t="s">
        <v>206</v>
      </c>
      <c r="C57" s="6" t="s">
        <v>207</v>
      </c>
      <c r="D57" s="6" t="s">
        <v>208</v>
      </c>
      <c r="E57" s="11" t="s">
        <v>65</v>
      </c>
      <c r="F57" s="11" t="s">
        <v>209</v>
      </c>
      <c r="G57" s="11" t="s">
        <v>24</v>
      </c>
      <c r="H57" s="11" t="s">
        <v>12</v>
      </c>
      <c r="I57" s="20">
        <v>78.900000000000006</v>
      </c>
      <c r="J57" s="20" t="s">
        <v>118</v>
      </c>
      <c r="K57" s="14">
        <f>I57/30/500*2000</f>
        <v>10.520000000000001</v>
      </c>
      <c r="L57" s="20">
        <v>50</v>
      </c>
      <c r="M57" s="6"/>
      <c r="N57" s="6"/>
    </row>
    <row r="58" spans="1:14" ht="22.5">
      <c r="A58" s="9" t="s">
        <v>210</v>
      </c>
      <c r="B58" s="6" t="s">
        <v>206</v>
      </c>
      <c r="C58" s="6" t="s">
        <v>207</v>
      </c>
      <c r="D58" s="6" t="s">
        <v>208</v>
      </c>
      <c r="E58" s="11" t="s">
        <v>65</v>
      </c>
      <c r="F58" s="11" t="s">
        <v>211</v>
      </c>
      <c r="G58" s="11" t="s">
        <v>24</v>
      </c>
      <c r="H58" s="11" t="s">
        <v>12</v>
      </c>
      <c r="I58" s="20">
        <v>121.3</v>
      </c>
      <c r="J58" s="20" t="s">
        <v>118</v>
      </c>
      <c r="K58" s="14">
        <f>I58/30/1000*2000</f>
        <v>8.086666666666666</v>
      </c>
      <c r="L58" s="20">
        <v>50</v>
      </c>
      <c r="M58" s="6"/>
      <c r="N58" s="6"/>
    </row>
    <row r="59" spans="1:14" ht="22.5">
      <c r="A59" s="9" t="s">
        <v>212</v>
      </c>
      <c r="B59" s="6" t="s">
        <v>206</v>
      </c>
      <c r="C59" s="6" t="s">
        <v>207</v>
      </c>
      <c r="D59" s="6" t="s">
        <v>213</v>
      </c>
      <c r="E59" s="11" t="s">
        <v>65</v>
      </c>
      <c r="F59" s="11" t="s">
        <v>209</v>
      </c>
      <c r="G59" s="11" t="s">
        <v>11</v>
      </c>
      <c r="H59" s="11" t="s">
        <v>12</v>
      </c>
      <c r="I59" s="20">
        <v>78.900000000000006</v>
      </c>
      <c r="J59" s="20" t="s">
        <v>118</v>
      </c>
      <c r="K59" s="14">
        <f>I59/30/500*2000</f>
        <v>10.520000000000001</v>
      </c>
      <c r="L59" s="20">
        <v>50</v>
      </c>
      <c r="M59" s="6"/>
      <c r="N59" s="6"/>
    </row>
    <row r="60" spans="1:14" ht="22.5">
      <c r="A60" s="9" t="s">
        <v>214</v>
      </c>
      <c r="B60" s="6" t="s">
        <v>206</v>
      </c>
      <c r="C60" s="6" t="s">
        <v>207</v>
      </c>
      <c r="D60" s="6" t="s">
        <v>213</v>
      </c>
      <c r="E60" s="11" t="s">
        <v>65</v>
      </c>
      <c r="F60" s="11" t="s">
        <v>215</v>
      </c>
      <c r="G60" s="11" t="s">
        <v>11</v>
      </c>
      <c r="H60" s="11" t="s">
        <v>12</v>
      </c>
      <c r="I60" s="20">
        <v>94.2</v>
      </c>
      <c r="J60" s="20" t="s">
        <v>118</v>
      </c>
      <c r="K60" s="14">
        <f>I60/30/850*2000</f>
        <v>7.3882352941176475</v>
      </c>
      <c r="L60" s="20">
        <v>50</v>
      </c>
      <c r="M60" s="6"/>
      <c r="N60" s="6"/>
    </row>
    <row r="61" spans="1:14" ht="56.25">
      <c r="A61" s="9" t="s">
        <v>216</v>
      </c>
      <c r="B61" s="6" t="s">
        <v>206</v>
      </c>
      <c r="C61" s="6" t="s">
        <v>207</v>
      </c>
      <c r="D61" s="6" t="s">
        <v>217</v>
      </c>
      <c r="E61" s="11" t="s">
        <v>65</v>
      </c>
      <c r="F61" s="11" t="s">
        <v>218</v>
      </c>
      <c r="G61" s="11" t="s">
        <v>2604</v>
      </c>
      <c r="H61" s="11" t="s">
        <v>1528</v>
      </c>
      <c r="I61" s="20">
        <v>177.8</v>
      </c>
      <c r="J61" s="20" t="s">
        <v>118</v>
      </c>
      <c r="K61" s="14">
        <f>I61/30/1000*2000</f>
        <v>11.853333333333333</v>
      </c>
      <c r="L61" s="20">
        <v>50</v>
      </c>
      <c r="M61" s="6"/>
      <c r="N61" s="6"/>
    </row>
    <row r="62" spans="1:14">
      <c r="A62" s="37" t="s">
        <v>2951</v>
      </c>
      <c r="B62" s="37" t="s">
        <v>206</v>
      </c>
      <c r="C62" s="37" t="s">
        <v>207</v>
      </c>
      <c r="D62" s="37" t="s">
        <v>2952</v>
      </c>
      <c r="E62" s="39" t="s">
        <v>65</v>
      </c>
      <c r="F62" s="39" t="s">
        <v>2953</v>
      </c>
      <c r="G62" s="39" t="s">
        <v>2954</v>
      </c>
      <c r="H62" s="15" t="s">
        <v>1732</v>
      </c>
      <c r="I62" s="20">
        <v>71</v>
      </c>
      <c r="J62" s="20" t="s">
        <v>118</v>
      </c>
      <c r="K62" s="14">
        <f>I62/30/500*2000</f>
        <v>9.4666666666666668</v>
      </c>
      <c r="L62" s="75">
        <v>50</v>
      </c>
      <c r="M62" s="6"/>
      <c r="N62" s="6"/>
    </row>
    <row r="63" spans="1:14">
      <c r="A63" s="37" t="s">
        <v>2955</v>
      </c>
      <c r="B63" s="37" t="s">
        <v>206</v>
      </c>
      <c r="C63" s="37" t="s">
        <v>207</v>
      </c>
      <c r="D63" s="37" t="s">
        <v>2952</v>
      </c>
      <c r="E63" s="39" t="s">
        <v>65</v>
      </c>
      <c r="F63" s="39" t="s">
        <v>2956</v>
      </c>
      <c r="G63" s="39" t="s">
        <v>2954</v>
      </c>
      <c r="H63" s="15" t="s">
        <v>1732</v>
      </c>
      <c r="I63" s="20">
        <v>142</v>
      </c>
      <c r="J63" s="20" t="s">
        <v>118</v>
      </c>
      <c r="K63" s="14">
        <f>I63/60/500*2000</f>
        <v>9.4666666666666668</v>
      </c>
      <c r="L63" s="75">
        <v>50</v>
      </c>
      <c r="M63" s="6"/>
      <c r="N63" s="6"/>
    </row>
    <row r="64" spans="1:14">
      <c r="A64" s="37" t="s">
        <v>2957</v>
      </c>
      <c r="B64" s="37" t="s">
        <v>206</v>
      </c>
      <c r="C64" s="37" t="s">
        <v>207</v>
      </c>
      <c r="D64" s="37" t="s">
        <v>2952</v>
      </c>
      <c r="E64" s="39" t="s">
        <v>65</v>
      </c>
      <c r="F64" s="39" t="s">
        <v>2958</v>
      </c>
      <c r="G64" s="39" t="s">
        <v>2954</v>
      </c>
      <c r="H64" s="15" t="s">
        <v>1732</v>
      </c>
      <c r="I64" s="20">
        <v>84.8</v>
      </c>
      <c r="J64" s="20" t="s">
        <v>118</v>
      </c>
      <c r="K64" s="14">
        <f>I64/30/850*2000</f>
        <v>6.6509803921568622</v>
      </c>
      <c r="L64" s="75">
        <v>50</v>
      </c>
      <c r="M64" s="6"/>
      <c r="N64" s="6"/>
    </row>
    <row r="65" spans="1:14">
      <c r="A65" s="37" t="s">
        <v>2959</v>
      </c>
      <c r="B65" s="37" t="s">
        <v>206</v>
      </c>
      <c r="C65" s="37" t="s">
        <v>207</v>
      </c>
      <c r="D65" s="37" t="s">
        <v>2952</v>
      </c>
      <c r="E65" s="39" t="s">
        <v>65</v>
      </c>
      <c r="F65" s="39" t="s">
        <v>218</v>
      </c>
      <c r="G65" s="39" t="s">
        <v>2954</v>
      </c>
      <c r="H65" s="15" t="s">
        <v>1732</v>
      </c>
      <c r="I65" s="20">
        <v>109.2</v>
      </c>
      <c r="J65" s="20" t="s">
        <v>118</v>
      </c>
      <c r="K65" s="14">
        <f>I65/30/1000*2000</f>
        <v>7.28</v>
      </c>
      <c r="L65" s="75">
        <v>50</v>
      </c>
      <c r="M65" s="6"/>
      <c r="N65" s="6"/>
    </row>
    <row r="66" spans="1:14" ht="22.5">
      <c r="A66" s="9" t="s">
        <v>219</v>
      </c>
      <c r="B66" s="6" t="s">
        <v>220</v>
      </c>
      <c r="C66" s="6" t="s">
        <v>221</v>
      </c>
      <c r="D66" s="6" t="s">
        <v>1446</v>
      </c>
      <c r="E66" s="11" t="s">
        <v>55</v>
      </c>
      <c r="F66" s="11" t="s">
        <v>222</v>
      </c>
      <c r="G66" s="11" t="s">
        <v>223</v>
      </c>
      <c r="H66" s="11" t="s">
        <v>50</v>
      </c>
      <c r="I66" s="20">
        <v>95</v>
      </c>
      <c r="J66" s="20" t="s">
        <v>224</v>
      </c>
      <c r="K66" s="14">
        <f>I66/30/3.5*7</f>
        <v>6.333333333333333</v>
      </c>
      <c r="L66" s="20">
        <v>50</v>
      </c>
      <c r="M66" s="6"/>
      <c r="N66" s="6"/>
    </row>
    <row r="67" spans="1:14" ht="22.5">
      <c r="A67" s="9" t="s">
        <v>225</v>
      </c>
      <c r="B67" s="6" t="s">
        <v>226</v>
      </c>
      <c r="C67" s="6" t="s">
        <v>227</v>
      </c>
      <c r="D67" s="6" t="s">
        <v>228</v>
      </c>
      <c r="E67" s="11" t="s">
        <v>55</v>
      </c>
      <c r="F67" s="11" t="s">
        <v>229</v>
      </c>
      <c r="G67" s="11" t="s">
        <v>67</v>
      </c>
      <c r="H67" s="11" t="s">
        <v>12</v>
      </c>
      <c r="I67" s="20">
        <v>177.3</v>
      </c>
      <c r="J67" s="20" t="s">
        <v>307</v>
      </c>
      <c r="K67" s="14">
        <f>I67/30/80*60</f>
        <v>4.4325000000000001</v>
      </c>
      <c r="L67" s="20">
        <v>50</v>
      </c>
      <c r="M67" s="6"/>
      <c r="N67" s="6"/>
    </row>
    <row r="68" spans="1:14" ht="22.5">
      <c r="A68" s="9" t="s">
        <v>231</v>
      </c>
      <c r="B68" s="6" t="s">
        <v>226</v>
      </c>
      <c r="C68" s="6" t="s">
        <v>227</v>
      </c>
      <c r="D68" s="6" t="s">
        <v>232</v>
      </c>
      <c r="E68" s="11" t="s">
        <v>55</v>
      </c>
      <c r="F68" s="11" t="s">
        <v>229</v>
      </c>
      <c r="G68" s="11" t="s">
        <v>11</v>
      </c>
      <c r="H68" s="11" t="s">
        <v>12</v>
      </c>
      <c r="I68" s="20">
        <v>177.3</v>
      </c>
      <c r="J68" s="20" t="s">
        <v>307</v>
      </c>
      <c r="K68" s="14">
        <f>I68/30/80*60</f>
        <v>4.4325000000000001</v>
      </c>
      <c r="L68" s="20">
        <v>50</v>
      </c>
      <c r="M68" s="6"/>
      <c r="N68" s="6"/>
    </row>
    <row r="69" spans="1:14" ht="33.75">
      <c r="A69" s="9" t="s">
        <v>233</v>
      </c>
      <c r="B69" s="6" t="s">
        <v>234</v>
      </c>
      <c r="C69" s="6" t="s">
        <v>235</v>
      </c>
      <c r="D69" s="6" t="s">
        <v>236</v>
      </c>
      <c r="E69" s="11" t="s">
        <v>55</v>
      </c>
      <c r="F69" s="11" t="s">
        <v>237</v>
      </c>
      <c r="G69" s="11" t="s">
        <v>3014</v>
      </c>
      <c r="H69" s="11" t="s">
        <v>154</v>
      </c>
      <c r="I69" s="20">
        <v>79.400000000000006</v>
      </c>
      <c r="J69" s="20" t="s">
        <v>76</v>
      </c>
      <c r="K69" s="14">
        <f>I69/30/2*2</f>
        <v>2.6466666666666669</v>
      </c>
      <c r="L69" s="20">
        <v>50</v>
      </c>
      <c r="M69" s="6"/>
      <c r="N69" s="6"/>
    </row>
    <row r="70" spans="1:14" ht="33.75">
      <c r="A70" s="9" t="s">
        <v>238</v>
      </c>
      <c r="B70" s="6" t="s">
        <v>234</v>
      </c>
      <c r="C70" s="6" t="s">
        <v>235</v>
      </c>
      <c r="D70" s="6" t="s">
        <v>236</v>
      </c>
      <c r="E70" s="11" t="s">
        <v>55</v>
      </c>
      <c r="F70" s="11" t="s">
        <v>239</v>
      </c>
      <c r="G70" s="11" t="s">
        <v>3014</v>
      </c>
      <c r="H70" s="11" t="s">
        <v>154</v>
      </c>
      <c r="I70" s="20">
        <v>133.5</v>
      </c>
      <c r="J70" s="20" t="s">
        <v>76</v>
      </c>
      <c r="K70" s="14">
        <f>I70/30/3*2</f>
        <v>2.9666666666666668</v>
      </c>
      <c r="L70" s="20">
        <v>50</v>
      </c>
      <c r="M70" s="6"/>
      <c r="N70" s="6"/>
    </row>
    <row r="71" spans="1:14" ht="33.75">
      <c r="A71" s="9" t="s">
        <v>240</v>
      </c>
      <c r="B71" s="6" t="s">
        <v>234</v>
      </c>
      <c r="C71" s="6" t="s">
        <v>235</v>
      </c>
      <c r="D71" s="6" t="s">
        <v>236</v>
      </c>
      <c r="E71" s="11" t="s">
        <v>55</v>
      </c>
      <c r="F71" s="11" t="s">
        <v>241</v>
      </c>
      <c r="G71" s="11" t="s">
        <v>3014</v>
      </c>
      <c r="H71" s="11" t="s">
        <v>154</v>
      </c>
      <c r="I71" s="20">
        <v>148.4</v>
      </c>
      <c r="J71" s="20" t="s">
        <v>76</v>
      </c>
      <c r="K71" s="14">
        <f>I71/30/4*2</f>
        <v>2.4733333333333336</v>
      </c>
      <c r="L71" s="20">
        <v>50</v>
      </c>
      <c r="M71" s="6"/>
      <c r="N71" s="6"/>
    </row>
    <row r="72" spans="1:14" ht="22.5">
      <c r="A72" s="9" t="s">
        <v>243</v>
      </c>
      <c r="B72" s="6" t="s">
        <v>234</v>
      </c>
      <c r="C72" s="6" t="s">
        <v>235</v>
      </c>
      <c r="D72" s="6" t="s">
        <v>244</v>
      </c>
      <c r="E72" s="11" t="s">
        <v>55</v>
      </c>
      <c r="F72" s="11" t="s">
        <v>245</v>
      </c>
      <c r="G72" s="34" t="s">
        <v>2506</v>
      </c>
      <c r="H72" s="34" t="s">
        <v>2507</v>
      </c>
      <c r="I72" s="20">
        <v>101.7</v>
      </c>
      <c r="J72" s="20" t="s">
        <v>76</v>
      </c>
      <c r="K72" s="14">
        <f>I72/30/1*2</f>
        <v>6.78</v>
      </c>
      <c r="L72" s="20">
        <v>50</v>
      </c>
      <c r="M72" s="6"/>
      <c r="N72" s="6"/>
    </row>
    <row r="73" spans="1:14" ht="22.5">
      <c r="A73" s="9" t="s">
        <v>246</v>
      </c>
      <c r="B73" s="6" t="s">
        <v>234</v>
      </c>
      <c r="C73" s="6" t="s">
        <v>235</v>
      </c>
      <c r="D73" s="6" t="s">
        <v>244</v>
      </c>
      <c r="E73" s="11" t="s">
        <v>55</v>
      </c>
      <c r="F73" s="11" t="s">
        <v>237</v>
      </c>
      <c r="G73" s="34" t="s">
        <v>2506</v>
      </c>
      <c r="H73" s="34" t="s">
        <v>2507</v>
      </c>
      <c r="I73" s="20">
        <v>79.400000000000006</v>
      </c>
      <c r="J73" s="20" t="s">
        <v>76</v>
      </c>
      <c r="K73" s="14">
        <f>I73/30/2*2</f>
        <v>2.6466666666666669</v>
      </c>
      <c r="L73" s="20">
        <v>50</v>
      </c>
      <c r="M73" s="6"/>
      <c r="N73" s="6"/>
    </row>
    <row r="74" spans="1:14" ht="22.5">
      <c r="A74" s="9" t="s">
        <v>247</v>
      </c>
      <c r="B74" s="6" t="s">
        <v>234</v>
      </c>
      <c r="C74" s="6" t="s">
        <v>235</v>
      </c>
      <c r="D74" s="6" t="s">
        <v>244</v>
      </c>
      <c r="E74" s="11" t="s">
        <v>55</v>
      </c>
      <c r="F74" s="11" t="s">
        <v>239</v>
      </c>
      <c r="G74" s="34" t="s">
        <v>2506</v>
      </c>
      <c r="H74" s="34" t="s">
        <v>2507</v>
      </c>
      <c r="I74" s="20">
        <v>133.5</v>
      </c>
      <c r="J74" s="20" t="s">
        <v>76</v>
      </c>
      <c r="K74" s="14">
        <f>I74/30/3*2</f>
        <v>2.9666666666666668</v>
      </c>
      <c r="L74" s="20">
        <v>50</v>
      </c>
      <c r="M74" s="6"/>
      <c r="N74" s="6"/>
    </row>
    <row r="75" spans="1:14" ht="22.5">
      <c r="A75" s="9" t="s">
        <v>248</v>
      </c>
      <c r="B75" s="6" t="s">
        <v>234</v>
      </c>
      <c r="C75" s="6" t="s">
        <v>235</v>
      </c>
      <c r="D75" s="6" t="s">
        <v>244</v>
      </c>
      <c r="E75" s="11" t="s">
        <v>55</v>
      </c>
      <c r="F75" s="11" t="s">
        <v>241</v>
      </c>
      <c r="G75" s="34" t="s">
        <v>2506</v>
      </c>
      <c r="H75" s="34" t="s">
        <v>2507</v>
      </c>
      <c r="I75" s="20">
        <v>219.3</v>
      </c>
      <c r="J75" s="20" t="s">
        <v>76</v>
      </c>
      <c r="K75" s="14">
        <f>I75/30/4*2</f>
        <v>3.6550000000000002</v>
      </c>
      <c r="L75" s="20">
        <v>50</v>
      </c>
      <c r="M75" s="6"/>
      <c r="N75" s="6"/>
    </row>
    <row r="76" spans="1:14" ht="22.5">
      <c r="A76" s="9" t="s">
        <v>249</v>
      </c>
      <c r="B76" s="6" t="s">
        <v>234</v>
      </c>
      <c r="C76" s="6" t="s">
        <v>235</v>
      </c>
      <c r="D76" s="6" t="s">
        <v>244</v>
      </c>
      <c r="E76" s="11" t="s">
        <v>55</v>
      </c>
      <c r="F76" s="11" t="s">
        <v>250</v>
      </c>
      <c r="G76" s="34" t="s">
        <v>2506</v>
      </c>
      <c r="H76" s="34" t="s">
        <v>2507</v>
      </c>
      <c r="I76" s="20">
        <v>366.5</v>
      </c>
      <c r="J76" s="20" t="s">
        <v>76</v>
      </c>
      <c r="K76" s="14">
        <f>I76/30/6*2</f>
        <v>4.072222222222222</v>
      </c>
      <c r="L76" s="20">
        <v>50</v>
      </c>
      <c r="M76" s="6"/>
      <c r="N76" s="6"/>
    </row>
    <row r="77" spans="1:14" s="77" customFormat="1" ht="22.5">
      <c r="A77" s="40" t="s">
        <v>1480</v>
      </c>
      <c r="B77" s="40" t="s">
        <v>234</v>
      </c>
      <c r="C77" s="40" t="s">
        <v>235</v>
      </c>
      <c r="D77" s="40" t="s">
        <v>1477</v>
      </c>
      <c r="E77" s="14" t="s">
        <v>55</v>
      </c>
      <c r="F77" s="14" t="s">
        <v>245</v>
      </c>
      <c r="G77" s="14" t="s">
        <v>1478</v>
      </c>
      <c r="H77" s="14" t="s">
        <v>1479</v>
      </c>
      <c r="I77" s="20">
        <v>77.3</v>
      </c>
      <c r="J77" s="14" t="s">
        <v>76</v>
      </c>
      <c r="K77" s="14">
        <f>I77/30/1*2</f>
        <v>5.1533333333333333</v>
      </c>
      <c r="L77" s="14">
        <v>50</v>
      </c>
      <c r="M77" s="89"/>
      <c r="N77" s="89"/>
    </row>
    <row r="78" spans="1:14" s="77" customFormat="1" ht="22.5">
      <c r="A78" s="40" t="s">
        <v>1481</v>
      </c>
      <c r="B78" s="40" t="s">
        <v>234</v>
      </c>
      <c r="C78" s="40" t="s">
        <v>235</v>
      </c>
      <c r="D78" s="40" t="s">
        <v>1477</v>
      </c>
      <c r="E78" s="14" t="s">
        <v>55</v>
      </c>
      <c r="F78" s="14" t="s">
        <v>237</v>
      </c>
      <c r="G78" s="14" t="s">
        <v>1478</v>
      </c>
      <c r="H78" s="14" t="s">
        <v>1479</v>
      </c>
      <c r="I78" s="20">
        <v>79.400000000000006</v>
      </c>
      <c r="J78" s="14" t="s">
        <v>76</v>
      </c>
      <c r="K78" s="14">
        <f>I78/30/2*2</f>
        <v>2.6466666666666669</v>
      </c>
      <c r="L78" s="14">
        <v>50</v>
      </c>
      <c r="M78" s="89"/>
      <c r="N78" s="89"/>
    </row>
    <row r="79" spans="1:14" s="77" customFormat="1" ht="22.5">
      <c r="A79" s="40" t="s">
        <v>1482</v>
      </c>
      <c r="B79" s="40" t="s">
        <v>234</v>
      </c>
      <c r="C79" s="40" t="s">
        <v>235</v>
      </c>
      <c r="D79" s="40" t="s">
        <v>1477</v>
      </c>
      <c r="E79" s="14" t="s">
        <v>55</v>
      </c>
      <c r="F79" s="14" t="s">
        <v>239</v>
      </c>
      <c r="G79" s="14" t="s">
        <v>1478</v>
      </c>
      <c r="H79" s="14" t="s">
        <v>1479</v>
      </c>
      <c r="I79" s="20">
        <v>133.5</v>
      </c>
      <c r="J79" s="14" t="s">
        <v>76</v>
      </c>
      <c r="K79" s="14">
        <f>I79/30/3*2</f>
        <v>2.9666666666666668</v>
      </c>
      <c r="L79" s="14">
        <v>50</v>
      </c>
      <c r="M79" s="89"/>
      <c r="N79" s="89"/>
    </row>
    <row r="80" spans="1:14" s="77" customFormat="1" ht="67.5">
      <c r="A80" s="35" t="s">
        <v>2634</v>
      </c>
      <c r="B80" s="29" t="s">
        <v>2635</v>
      </c>
      <c r="C80" s="8" t="s">
        <v>2636</v>
      </c>
      <c r="D80" s="8" t="s">
        <v>2637</v>
      </c>
      <c r="E80" s="15" t="s">
        <v>2498</v>
      </c>
      <c r="F80" s="5" t="s">
        <v>2638</v>
      </c>
      <c r="G80" s="5" t="s">
        <v>165</v>
      </c>
      <c r="H80" s="5" t="s">
        <v>2659</v>
      </c>
      <c r="I80" s="19">
        <v>8180.3</v>
      </c>
      <c r="J80" s="21" t="s">
        <v>2639</v>
      </c>
      <c r="K80" s="14">
        <f>+I80/2*0.11</f>
        <v>449.91649999999998</v>
      </c>
      <c r="L80" s="19">
        <v>50</v>
      </c>
      <c r="M80" s="8" t="s">
        <v>2632</v>
      </c>
      <c r="N80" s="8" t="s">
        <v>2633</v>
      </c>
    </row>
    <row r="81" spans="1:14" s="77" customFormat="1" ht="67.5">
      <c r="A81" s="35" t="s">
        <v>2640</v>
      </c>
      <c r="B81" s="29" t="s">
        <v>2635</v>
      </c>
      <c r="C81" s="8" t="s">
        <v>2636</v>
      </c>
      <c r="D81" s="8" t="s">
        <v>2637</v>
      </c>
      <c r="E81" s="15" t="s">
        <v>2498</v>
      </c>
      <c r="F81" s="5" t="s">
        <v>2641</v>
      </c>
      <c r="G81" s="5" t="s">
        <v>165</v>
      </c>
      <c r="H81" s="5" t="s">
        <v>2659</v>
      </c>
      <c r="I81" s="19">
        <v>8180.3</v>
      </c>
      <c r="J81" s="21" t="s">
        <v>2639</v>
      </c>
      <c r="K81" s="19">
        <f>I81/2*0.11</f>
        <v>449.91649999999998</v>
      </c>
      <c r="L81" s="19">
        <v>50</v>
      </c>
      <c r="M81" s="8" t="s">
        <v>2632</v>
      </c>
      <c r="N81" s="8" t="s">
        <v>2633</v>
      </c>
    </row>
    <row r="82" spans="1:14" s="77" customFormat="1" ht="67.5">
      <c r="A82" s="35" t="s">
        <v>2642</v>
      </c>
      <c r="B82" s="29" t="s">
        <v>2635</v>
      </c>
      <c r="C82" s="8" t="s">
        <v>2636</v>
      </c>
      <c r="D82" s="8" t="s">
        <v>2637</v>
      </c>
      <c r="E82" s="15" t="s">
        <v>2498</v>
      </c>
      <c r="F82" s="5" t="s">
        <v>2643</v>
      </c>
      <c r="G82" s="5" t="s">
        <v>165</v>
      </c>
      <c r="H82" s="5" t="s">
        <v>2659</v>
      </c>
      <c r="I82" s="19">
        <v>8180.3</v>
      </c>
      <c r="J82" s="21" t="s">
        <v>2639</v>
      </c>
      <c r="K82" s="19">
        <f>I82/4*0.11</f>
        <v>224.95824999999999</v>
      </c>
      <c r="L82" s="19">
        <v>50</v>
      </c>
      <c r="M82" s="8" t="s">
        <v>2632</v>
      </c>
      <c r="N82" s="8" t="s">
        <v>2633</v>
      </c>
    </row>
    <row r="83" spans="1:14" s="77" customFormat="1" ht="45">
      <c r="A83" s="8">
        <v>1341371</v>
      </c>
      <c r="B83" s="8" t="s">
        <v>2644</v>
      </c>
      <c r="C83" s="8" t="s">
        <v>2645</v>
      </c>
      <c r="D83" s="8" t="s">
        <v>2646</v>
      </c>
      <c r="E83" s="5" t="s">
        <v>65</v>
      </c>
      <c r="F83" s="5" t="s">
        <v>2647</v>
      </c>
      <c r="G83" s="5" t="s">
        <v>2648</v>
      </c>
      <c r="H83" s="5" t="s">
        <v>2649</v>
      </c>
      <c r="I83" s="19">
        <v>3919.3</v>
      </c>
      <c r="J83" s="5" t="s">
        <v>106</v>
      </c>
      <c r="K83" s="19">
        <f>I83/30/10*10</f>
        <v>130.64333333333335</v>
      </c>
      <c r="L83" s="19">
        <v>50</v>
      </c>
      <c r="M83" s="8" t="s">
        <v>2650</v>
      </c>
      <c r="N83" s="8" t="s">
        <v>2651</v>
      </c>
    </row>
    <row r="84" spans="1:14" s="77" customFormat="1" ht="56.25">
      <c r="A84" s="8" t="s">
        <v>2652</v>
      </c>
      <c r="B84" s="8" t="s">
        <v>2653</v>
      </c>
      <c r="C84" s="8" t="s">
        <v>2654</v>
      </c>
      <c r="D84" s="8" t="s">
        <v>2655</v>
      </c>
      <c r="E84" s="5" t="s">
        <v>65</v>
      </c>
      <c r="F84" s="5" t="s">
        <v>2647</v>
      </c>
      <c r="G84" s="5" t="s">
        <v>2656</v>
      </c>
      <c r="H84" s="5" t="s">
        <v>2657</v>
      </c>
      <c r="I84" s="19">
        <v>3967.3</v>
      </c>
      <c r="J84" s="19" t="s">
        <v>2941</v>
      </c>
      <c r="K84" s="19">
        <f>I84/30/10*17.5</f>
        <v>231.42583333333334</v>
      </c>
      <c r="L84" s="19">
        <v>50</v>
      </c>
      <c r="M84" s="8" t="s">
        <v>2650</v>
      </c>
      <c r="N84" s="8" t="s">
        <v>2651</v>
      </c>
    </row>
    <row r="85" spans="1:14" s="77" customFormat="1" ht="56.25">
      <c r="A85" s="8" t="s">
        <v>2658</v>
      </c>
      <c r="B85" s="8" t="s">
        <v>2653</v>
      </c>
      <c r="C85" s="8" t="s">
        <v>2654</v>
      </c>
      <c r="D85" s="8" t="s">
        <v>2655</v>
      </c>
      <c r="E85" s="5" t="s">
        <v>65</v>
      </c>
      <c r="F85" s="5" t="s">
        <v>2931</v>
      </c>
      <c r="G85" s="5" t="s">
        <v>2656</v>
      </c>
      <c r="H85" s="5" t="s">
        <v>2657</v>
      </c>
      <c r="I85" s="19">
        <v>3967.3</v>
      </c>
      <c r="J85" s="19" t="s">
        <v>2941</v>
      </c>
      <c r="K85" s="19">
        <f>I85/30/25*17.5</f>
        <v>92.570333333333338</v>
      </c>
      <c r="L85" s="19">
        <v>50</v>
      </c>
      <c r="M85" s="8" t="s">
        <v>2650</v>
      </c>
      <c r="N85" s="8" t="s">
        <v>2651</v>
      </c>
    </row>
    <row r="86" spans="1:14" ht="33.75">
      <c r="A86" s="9" t="s">
        <v>251</v>
      </c>
      <c r="B86" s="6" t="s">
        <v>252</v>
      </c>
      <c r="C86" s="6" t="s">
        <v>253</v>
      </c>
      <c r="D86" s="6" t="s">
        <v>3003</v>
      </c>
      <c r="E86" s="11" t="s">
        <v>618</v>
      </c>
      <c r="F86" s="11" t="s">
        <v>2435</v>
      </c>
      <c r="G86" s="5" t="s">
        <v>2611</v>
      </c>
      <c r="H86" s="5" t="s">
        <v>2612</v>
      </c>
      <c r="I86" s="20">
        <v>228.5</v>
      </c>
      <c r="J86" s="20" t="s">
        <v>2438</v>
      </c>
      <c r="K86" s="14">
        <f>+I86/10/500*20</f>
        <v>0.91400000000000015</v>
      </c>
      <c r="L86" s="20">
        <v>50</v>
      </c>
      <c r="M86" s="6"/>
      <c r="N86" s="6" t="s">
        <v>2195</v>
      </c>
    </row>
    <row r="87" spans="1:14" ht="33.75">
      <c r="A87" s="9" t="s">
        <v>255</v>
      </c>
      <c r="B87" s="6" t="s">
        <v>256</v>
      </c>
      <c r="C87" s="6" t="s">
        <v>257</v>
      </c>
      <c r="D87" s="6" t="s">
        <v>258</v>
      </c>
      <c r="E87" s="11" t="s">
        <v>55</v>
      </c>
      <c r="F87" s="11" t="s">
        <v>259</v>
      </c>
      <c r="G87" s="11" t="s">
        <v>260</v>
      </c>
      <c r="H87" s="11" t="s">
        <v>2673</v>
      </c>
      <c r="I87" s="20">
        <v>577.4</v>
      </c>
      <c r="J87" s="20" t="s">
        <v>261</v>
      </c>
      <c r="K87" s="14">
        <f>I87/50/1*3</f>
        <v>34.643999999999998</v>
      </c>
      <c r="L87" s="20">
        <v>50</v>
      </c>
      <c r="M87" s="6"/>
      <c r="N87" s="6"/>
    </row>
    <row r="88" spans="1:14" ht="33.75">
      <c r="A88" s="9" t="s">
        <v>1725</v>
      </c>
      <c r="B88" s="6" t="s">
        <v>1549</v>
      </c>
      <c r="C88" s="6" t="s">
        <v>1550</v>
      </c>
      <c r="D88" s="6" t="s">
        <v>1551</v>
      </c>
      <c r="E88" s="11" t="s">
        <v>2409</v>
      </c>
      <c r="F88" s="11" t="s">
        <v>1552</v>
      </c>
      <c r="G88" s="11" t="s">
        <v>1553</v>
      </c>
      <c r="H88" s="11" t="s">
        <v>12</v>
      </c>
      <c r="I88" s="19">
        <v>237.5</v>
      </c>
      <c r="J88" s="20" t="s">
        <v>327</v>
      </c>
      <c r="K88" s="14">
        <f>+I88/10*3</f>
        <v>71.25</v>
      </c>
      <c r="L88" s="20">
        <v>50</v>
      </c>
      <c r="M88" s="6"/>
      <c r="N88" s="6" t="s">
        <v>2161</v>
      </c>
    </row>
    <row r="89" spans="1:14" ht="33.75">
      <c r="A89" s="37" t="s">
        <v>2843</v>
      </c>
      <c r="B89" s="29" t="s">
        <v>2844</v>
      </c>
      <c r="C89" s="8" t="s">
        <v>2845</v>
      </c>
      <c r="D89" s="8" t="s">
        <v>2846</v>
      </c>
      <c r="E89" s="5" t="s">
        <v>81</v>
      </c>
      <c r="F89" s="5" t="s">
        <v>2899</v>
      </c>
      <c r="G89" s="5" t="s">
        <v>2847</v>
      </c>
      <c r="H89" s="5" t="s">
        <v>50</v>
      </c>
      <c r="I89" s="19">
        <v>343086.9</v>
      </c>
      <c r="J89" s="19" t="s">
        <v>2848</v>
      </c>
      <c r="K89" s="19">
        <f>+(I89/100)/200*450</f>
        <v>7719.45525</v>
      </c>
      <c r="L89" s="20">
        <v>50</v>
      </c>
      <c r="M89" s="6" t="s">
        <v>2853</v>
      </c>
      <c r="N89" s="6"/>
    </row>
    <row r="90" spans="1:14" ht="33.75">
      <c r="A90" s="37" t="s">
        <v>2849</v>
      </c>
      <c r="B90" s="29" t="s">
        <v>2844</v>
      </c>
      <c r="C90" s="8" t="s">
        <v>2845</v>
      </c>
      <c r="D90" s="8" t="s">
        <v>2850</v>
      </c>
      <c r="E90" s="5" t="s">
        <v>81</v>
      </c>
      <c r="F90" s="5" t="s">
        <v>2942</v>
      </c>
      <c r="G90" s="5" t="s">
        <v>2851</v>
      </c>
      <c r="H90" s="5" t="s">
        <v>2852</v>
      </c>
      <c r="I90" s="19">
        <v>267685.8</v>
      </c>
      <c r="J90" s="19" t="s">
        <v>2848</v>
      </c>
      <c r="K90" s="19">
        <f>+(I90/100)/167*450</f>
        <v>7213.0904191616755</v>
      </c>
      <c r="L90" s="20">
        <v>50</v>
      </c>
      <c r="M90" s="6" t="s">
        <v>2853</v>
      </c>
      <c r="N90" s="6"/>
    </row>
    <row r="91" spans="1:14" ht="22.5">
      <c r="A91" s="9" t="s">
        <v>262</v>
      </c>
      <c r="B91" s="6" t="s">
        <v>263</v>
      </c>
      <c r="C91" s="6" t="s">
        <v>264</v>
      </c>
      <c r="D91" s="6" t="s">
        <v>265</v>
      </c>
      <c r="E91" s="11" t="s">
        <v>55</v>
      </c>
      <c r="F91" s="11" t="s">
        <v>266</v>
      </c>
      <c r="G91" s="11" t="s">
        <v>11</v>
      </c>
      <c r="H91" s="11" t="s">
        <v>12</v>
      </c>
      <c r="I91" s="20">
        <v>175.1</v>
      </c>
      <c r="J91" s="20" t="s">
        <v>267</v>
      </c>
      <c r="K91" s="14">
        <f>I91/30/5*7.5</f>
        <v>8.7550000000000008</v>
      </c>
      <c r="L91" s="20">
        <v>50</v>
      </c>
      <c r="M91" s="6"/>
      <c r="N91" s="6"/>
    </row>
    <row r="92" spans="1:14" ht="45">
      <c r="A92" s="9" t="s">
        <v>270</v>
      </c>
      <c r="B92" s="6" t="s">
        <v>268</v>
      </c>
      <c r="C92" s="6" t="s">
        <v>271</v>
      </c>
      <c r="D92" s="6" t="s">
        <v>272</v>
      </c>
      <c r="E92" s="11" t="s">
        <v>94</v>
      </c>
      <c r="F92" s="11" t="s">
        <v>273</v>
      </c>
      <c r="G92" s="11" t="s">
        <v>67</v>
      </c>
      <c r="H92" s="11" t="s">
        <v>12</v>
      </c>
      <c r="I92" s="20">
        <v>300.8</v>
      </c>
      <c r="J92" s="20" t="s">
        <v>269</v>
      </c>
      <c r="K92" s="14">
        <f>I92/20/50*90</f>
        <v>27.072000000000003</v>
      </c>
      <c r="L92" s="20">
        <v>50</v>
      </c>
      <c r="M92" s="6"/>
      <c r="N92" s="6"/>
    </row>
    <row r="93" spans="1:14" ht="45">
      <c r="A93" s="9" t="s">
        <v>274</v>
      </c>
      <c r="B93" s="6" t="s">
        <v>268</v>
      </c>
      <c r="C93" s="6" t="s">
        <v>271</v>
      </c>
      <c r="D93" s="6" t="s">
        <v>272</v>
      </c>
      <c r="E93" s="11" t="s">
        <v>94</v>
      </c>
      <c r="F93" s="11" t="s">
        <v>275</v>
      </c>
      <c r="G93" s="11" t="s">
        <v>67</v>
      </c>
      <c r="H93" s="11" t="s">
        <v>12</v>
      </c>
      <c r="I93" s="20">
        <v>600.20000000000005</v>
      </c>
      <c r="J93" s="20" t="s">
        <v>269</v>
      </c>
      <c r="K93" s="14">
        <f>I93/20/100*90</f>
        <v>27.009000000000004</v>
      </c>
      <c r="L93" s="20">
        <v>50</v>
      </c>
      <c r="M93" s="6"/>
      <c r="N93" s="6"/>
    </row>
    <row r="94" spans="1:14" ht="22.5">
      <c r="A94" s="9" t="s">
        <v>276</v>
      </c>
      <c r="B94" s="6" t="s">
        <v>277</v>
      </c>
      <c r="C94" s="6" t="s">
        <v>278</v>
      </c>
      <c r="D94" s="6" t="s">
        <v>279</v>
      </c>
      <c r="E94" s="11" t="s">
        <v>55</v>
      </c>
      <c r="F94" s="11" t="s">
        <v>1529</v>
      </c>
      <c r="G94" s="11" t="s">
        <v>280</v>
      </c>
      <c r="H94" s="11" t="s">
        <v>12</v>
      </c>
      <c r="I94" s="20">
        <v>116.3</v>
      </c>
      <c r="J94" s="20" t="s">
        <v>281</v>
      </c>
      <c r="K94" s="14">
        <f>I94/20/5*0.4</f>
        <v>0.46519999999999995</v>
      </c>
      <c r="L94" s="20">
        <v>50</v>
      </c>
      <c r="M94" s="6"/>
      <c r="N94" s="6" t="s">
        <v>2162</v>
      </c>
    </row>
    <row r="95" spans="1:14" ht="22.5">
      <c r="A95" s="9" t="s">
        <v>282</v>
      </c>
      <c r="B95" s="6" t="s">
        <v>277</v>
      </c>
      <c r="C95" s="6" t="s">
        <v>278</v>
      </c>
      <c r="D95" s="6" t="s">
        <v>283</v>
      </c>
      <c r="E95" s="11" t="s">
        <v>55</v>
      </c>
      <c r="F95" s="11" t="s">
        <v>286</v>
      </c>
      <c r="G95" s="11" t="s">
        <v>1536</v>
      </c>
      <c r="H95" s="11" t="s">
        <v>12</v>
      </c>
      <c r="I95" s="20">
        <v>116.3</v>
      </c>
      <c r="J95" s="20" t="s">
        <v>281</v>
      </c>
      <c r="K95" s="14">
        <f>I95/20/5*0.4</f>
        <v>0.46519999999999995</v>
      </c>
      <c r="L95" s="20">
        <v>50</v>
      </c>
      <c r="M95" s="6"/>
      <c r="N95" s="6" t="s">
        <v>2162</v>
      </c>
    </row>
    <row r="96" spans="1:14" ht="22.5">
      <c r="A96" s="9" t="s">
        <v>284</v>
      </c>
      <c r="B96" s="6" t="s">
        <v>277</v>
      </c>
      <c r="C96" s="6" t="s">
        <v>278</v>
      </c>
      <c r="D96" s="6" t="s">
        <v>285</v>
      </c>
      <c r="E96" s="11" t="s">
        <v>55</v>
      </c>
      <c r="F96" s="11" t="s">
        <v>286</v>
      </c>
      <c r="G96" s="5" t="s">
        <v>2691</v>
      </c>
      <c r="H96" s="11" t="s">
        <v>12</v>
      </c>
      <c r="I96" s="20">
        <v>116.3</v>
      </c>
      <c r="J96" s="20" t="s">
        <v>281</v>
      </c>
      <c r="K96" s="14">
        <f>I96/20/5*0.4</f>
        <v>0.46519999999999995</v>
      </c>
      <c r="L96" s="20">
        <v>50</v>
      </c>
      <c r="M96" s="6"/>
      <c r="N96" s="6" t="s">
        <v>2162</v>
      </c>
    </row>
    <row r="97" spans="1:14" ht="22.5">
      <c r="A97" s="37" t="s">
        <v>2450</v>
      </c>
      <c r="B97" s="8" t="s">
        <v>277</v>
      </c>
      <c r="C97" s="8" t="s">
        <v>278</v>
      </c>
      <c r="D97" s="8" t="s">
        <v>285</v>
      </c>
      <c r="E97" s="5" t="s">
        <v>55</v>
      </c>
      <c r="F97" s="5" t="s">
        <v>266</v>
      </c>
      <c r="G97" s="5" t="s">
        <v>2691</v>
      </c>
      <c r="H97" s="5" t="s">
        <v>12</v>
      </c>
      <c r="I97" s="19">
        <v>174.4</v>
      </c>
      <c r="J97" s="21" t="s">
        <v>281</v>
      </c>
      <c r="K97" s="19">
        <f>+(I97/30)/5*0.4</f>
        <v>0.46506666666666674</v>
      </c>
      <c r="L97" s="20">
        <v>50</v>
      </c>
      <c r="M97" s="6"/>
      <c r="N97" s="6" t="s">
        <v>2162</v>
      </c>
    </row>
    <row r="98" spans="1:14" ht="22.5">
      <c r="A98" s="35" t="s">
        <v>2692</v>
      </c>
      <c r="B98" s="29" t="s">
        <v>277</v>
      </c>
      <c r="C98" s="29" t="s">
        <v>278</v>
      </c>
      <c r="D98" s="36" t="s">
        <v>2693</v>
      </c>
      <c r="E98" s="15" t="s">
        <v>55</v>
      </c>
      <c r="F98" s="15" t="s">
        <v>286</v>
      </c>
      <c r="G98" s="5" t="s">
        <v>2694</v>
      </c>
      <c r="H98" s="15" t="s">
        <v>12</v>
      </c>
      <c r="I98" s="21">
        <v>116.3</v>
      </c>
      <c r="J98" s="21" t="s">
        <v>281</v>
      </c>
      <c r="K98" s="14">
        <f>I98/20/5*0.4</f>
        <v>0.46519999999999995</v>
      </c>
      <c r="L98" s="20">
        <v>50</v>
      </c>
      <c r="M98" s="6"/>
      <c r="N98" s="6" t="s">
        <v>2162</v>
      </c>
    </row>
    <row r="99" spans="1:14" ht="22.5">
      <c r="A99" s="37" t="s">
        <v>2960</v>
      </c>
      <c r="B99" s="37" t="s">
        <v>277</v>
      </c>
      <c r="C99" s="41" t="s">
        <v>278</v>
      </c>
      <c r="D99" s="37" t="s">
        <v>2693</v>
      </c>
      <c r="E99" s="42" t="s">
        <v>55</v>
      </c>
      <c r="F99" s="42" t="s">
        <v>266</v>
      </c>
      <c r="G99" s="39" t="s">
        <v>2961</v>
      </c>
      <c r="H99" s="15" t="s">
        <v>12</v>
      </c>
      <c r="I99" s="21">
        <v>174.4</v>
      </c>
      <c r="J99" s="20" t="s">
        <v>281</v>
      </c>
      <c r="K99" s="14">
        <f>+(I99/30)/5*0.4</f>
        <v>0.46506666666666674</v>
      </c>
      <c r="L99" s="20">
        <v>50</v>
      </c>
      <c r="M99" s="6"/>
      <c r="N99" s="6" t="s">
        <v>2162</v>
      </c>
    </row>
    <row r="100" spans="1:14" ht="22.5">
      <c r="A100" s="9" t="s">
        <v>1885</v>
      </c>
      <c r="B100" s="6" t="s">
        <v>288</v>
      </c>
      <c r="C100" s="6" t="s">
        <v>289</v>
      </c>
      <c r="D100" s="6" t="s">
        <v>290</v>
      </c>
      <c r="E100" s="11" t="s">
        <v>55</v>
      </c>
      <c r="F100" s="11" t="s">
        <v>291</v>
      </c>
      <c r="G100" s="11" t="s">
        <v>20</v>
      </c>
      <c r="H100" s="11" t="s">
        <v>12</v>
      </c>
      <c r="I100" s="20">
        <v>141.4</v>
      </c>
      <c r="J100" s="20" t="s">
        <v>292</v>
      </c>
      <c r="K100" s="14">
        <f>I100/20/0.25*0.25</f>
        <v>7.07</v>
      </c>
      <c r="L100" s="14">
        <v>50</v>
      </c>
      <c r="M100" s="6"/>
      <c r="N100" s="6"/>
    </row>
    <row r="101" spans="1:14" ht="22.5">
      <c r="A101" s="8" t="s">
        <v>1886</v>
      </c>
      <c r="B101" s="8" t="s">
        <v>288</v>
      </c>
      <c r="C101" s="8" t="s">
        <v>289</v>
      </c>
      <c r="D101" s="8" t="s">
        <v>1809</v>
      </c>
      <c r="E101" s="5" t="s">
        <v>55</v>
      </c>
      <c r="F101" s="5" t="s">
        <v>1810</v>
      </c>
      <c r="G101" s="5" t="s">
        <v>1811</v>
      </c>
      <c r="H101" s="5" t="s">
        <v>542</v>
      </c>
      <c r="I101" s="20">
        <v>183.6</v>
      </c>
      <c r="J101" s="20" t="s">
        <v>292</v>
      </c>
      <c r="K101" s="20">
        <f>I101/50/0.25*0.25</f>
        <v>3.6719999999999997</v>
      </c>
      <c r="L101" s="14">
        <v>50</v>
      </c>
      <c r="M101" s="8"/>
      <c r="N101" s="8"/>
    </row>
    <row r="102" spans="1:14" ht="22.5">
      <c r="A102" s="9" t="s">
        <v>1887</v>
      </c>
      <c r="B102" s="6" t="s">
        <v>293</v>
      </c>
      <c r="C102" s="6" t="s">
        <v>294</v>
      </c>
      <c r="D102" s="6" t="s">
        <v>295</v>
      </c>
      <c r="E102" s="11" t="s">
        <v>65</v>
      </c>
      <c r="F102" s="11" t="s">
        <v>296</v>
      </c>
      <c r="G102" s="11" t="s">
        <v>24</v>
      </c>
      <c r="H102" s="11" t="s">
        <v>12</v>
      </c>
      <c r="I102" s="20">
        <v>316.39999999999998</v>
      </c>
      <c r="J102" s="20" t="s">
        <v>297</v>
      </c>
      <c r="K102" s="14">
        <f>I102/50/150*300</f>
        <v>12.655999999999999</v>
      </c>
      <c r="L102" s="14">
        <v>50</v>
      </c>
      <c r="M102" s="6"/>
      <c r="N102" s="6" t="s">
        <v>2163</v>
      </c>
    </row>
    <row r="103" spans="1:14" ht="22.5">
      <c r="A103" s="9" t="s">
        <v>1888</v>
      </c>
      <c r="B103" s="6" t="s">
        <v>293</v>
      </c>
      <c r="C103" s="6" t="s">
        <v>294</v>
      </c>
      <c r="D103" s="6" t="s">
        <v>295</v>
      </c>
      <c r="E103" s="11" t="s">
        <v>65</v>
      </c>
      <c r="F103" s="11" t="s">
        <v>298</v>
      </c>
      <c r="G103" s="11" t="s">
        <v>24</v>
      </c>
      <c r="H103" s="11" t="s">
        <v>12</v>
      </c>
      <c r="I103" s="20">
        <v>684</v>
      </c>
      <c r="J103" s="20" t="s">
        <v>297</v>
      </c>
      <c r="K103" s="14">
        <f>I103/50/300*300</f>
        <v>13.68</v>
      </c>
      <c r="L103" s="14">
        <v>50</v>
      </c>
      <c r="M103" s="6"/>
      <c r="N103" s="6" t="s">
        <v>2163</v>
      </c>
    </row>
    <row r="104" spans="1:14" ht="22.5">
      <c r="A104" s="9" t="s">
        <v>1889</v>
      </c>
      <c r="B104" s="6" t="s">
        <v>299</v>
      </c>
      <c r="C104" s="6" t="s">
        <v>300</v>
      </c>
      <c r="D104" s="8" t="s">
        <v>2508</v>
      </c>
      <c r="E104" s="11" t="s">
        <v>55</v>
      </c>
      <c r="F104" s="11" t="s">
        <v>301</v>
      </c>
      <c r="G104" s="11" t="s">
        <v>20</v>
      </c>
      <c r="H104" s="11" t="s">
        <v>12</v>
      </c>
      <c r="I104" s="20">
        <v>1348.6</v>
      </c>
      <c r="J104" s="20" t="s">
        <v>13</v>
      </c>
      <c r="K104" s="14">
        <f>I104/60/200*200</f>
        <v>22.476666666666667</v>
      </c>
      <c r="L104" s="14">
        <v>50</v>
      </c>
      <c r="M104" s="6"/>
      <c r="N104" s="6" t="s">
        <v>2163</v>
      </c>
    </row>
    <row r="105" spans="1:14" ht="33.75">
      <c r="A105" s="9" t="s">
        <v>1554</v>
      </c>
      <c r="B105" s="6" t="s">
        <v>1555</v>
      </c>
      <c r="C105" s="6" t="s">
        <v>1556</v>
      </c>
      <c r="D105" s="6" t="s">
        <v>1557</v>
      </c>
      <c r="E105" s="11" t="s">
        <v>1558</v>
      </c>
      <c r="F105" s="11" t="s">
        <v>1559</v>
      </c>
      <c r="G105" s="11" t="s">
        <v>1560</v>
      </c>
      <c r="H105" s="11" t="s">
        <v>2673</v>
      </c>
      <c r="I105" s="20">
        <v>118.2</v>
      </c>
      <c r="J105" s="20" t="s">
        <v>472</v>
      </c>
      <c r="K105" s="14">
        <f>I105/40/0.5*2.5</f>
        <v>14.775</v>
      </c>
      <c r="L105" s="14">
        <v>50</v>
      </c>
      <c r="M105" s="6"/>
      <c r="N105" s="6"/>
    </row>
    <row r="106" spans="1:14" ht="22.5">
      <c r="A106" s="37" t="s">
        <v>1890</v>
      </c>
      <c r="B106" s="37" t="s">
        <v>1555</v>
      </c>
      <c r="C106" s="8" t="s">
        <v>1556</v>
      </c>
      <c r="D106" s="8" t="s">
        <v>1812</v>
      </c>
      <c r="E106" s="43" t="s">
        <v>1558</v>
      </c>
      <c r="F106" s="43" t="s">
        <v>1559</v>
      </c>
      <c r="G106" s="5" t="s">
        <v>322</v>
      </c>
      <c r="H106" s="5" t="s">
        <v>12</v>
      </c>
      <c r="I106" s="20">
        <v>137.30000000000001</v>
      </c>
      <c r="J106" s="39" t="s">
        <v>472</v>
      </c>
      <c r="K106" s="20">
        <f>I106/40/0.5*2.5</f>
        <v>17.162500000000001</v>
      </c>
      <c r="L106" s="14">
        <v>50</v>
      </c>
      <c r="M106" s="8"/>
      <c r="N106" s="8"/>
    </row>
    <row r="107" spans="1:14" ht="45">
      <c r="A107" s="9" t="s">
        <v>1891</v>
      </c>
      <c r="B107" s="6" t="s">
        <v>305</v>
      </c>
      <c r="C107" s="6" t="s">
        <v>306</v>
      </c>
      <c r="D107" s="6" t="s">
        <v>308</v>
      </c>
      <c r="E107" s="11" t="s">
        <v>309</v>
      </c>
      <c r="F107" s="11" t="s">
        <v>310</v>
      </c>
      <c r="G107" s="11" t="s">
        <v>20</v>
      </c>
      <c r="H107" s="11" t="s">
        <v>12</v>
      </c>
      <c r="I107" s="20">
        <v>299</v>
      </c>
      <c r="J107" s="20" t="s">
        <v>307</v>
      </c>
      <c r="K107" s="14">
        <f>I107/60/20*60</f>
        <v>14.950000000000001</v>
      </c>
      <c r="L107" s="1">
        <v>50</v>
      </c>
      <c r="M107" s="6"/>
      <c r="N107" s="6"/>
    </row>
    <row r="108" spans="1:14" ht="22.5">
      <c r="A108" s="9" t="s">
        <v>1892</v>
      </c>
      <c r="B108" s="6" t="s">
        <v>305</v>
      </c>
      <c r="C108" s="6" t="s">
        <v>306</v>
      </c>
      <c r="D108" s="6" t="s">
        <v>311</v>
      </c>
      <c r="E108" s="11" t="s">
        <v>55</v>
      </c>
      <c r="F108" s="11" t="s">
        <v>312</v>
      </c>
      <c r="G108" s="11" t="s">
        <v>11</v>
      </c>
      <c r="H108" s="11" t="s">
        <v>12</v>
      </c>
      <c r="I108" s="20">
        <v>79</v>
      </c>
      <c r="J108" s="20" t="s">
        <v>307</v>
      </c>
      <c r="K108" s="14">
        <f>I108/20/20*60</f>
        <v>11.850000000000001</v>
      </c>
      <c r="L108" s="1">
        <v>50</v>
      </c>
      <c r="M108" s="6"/>
      <c r="N108" s="6"/>
    </row>
    <row r="109" spans="1:14" ht="22.5">
      <c r="A109" s="9" t="s">
        <v>1893</v>
      </c>
      <c r="B109" s="6" t="s">
        <v>313</v>
      </c>
      <c r="C109" s="6" t="s">
        <v>314</v>
      </c>
      <c r="D109" s="6" t="s">
        <v>315</v>
      </c>
      <c r="E109" s="11" t="s">
        <v>55</v>
      </c>
      <c r="F109" s="11" t="s">
        <v>316</v>
      </c>
      <c r="G109" s="11" t="s">
        <v>24</v>
      </c>
      <c r="H109" s="11" t="s">
        <v>12</v>
      </c>
      <c r="I109" s="20">
        <v>113.7</v>
      </c>
      <c r="J109" s="20" t="s">
        <v>29</v>
      </c>
      <c r="K109" s="14">
        <f>I109/30/20*40</f>
        <v>7.58</v>
      </c>
      <c r="L109" s="14">
        <v>50</v>
      </c>
      <c r="M109" s="6"/>
      <c r="N109" s="6"/>
    </row>
    <row r="110" spans="1:14" ht="22.5">
      <c r="A110" s="9" t="s">
        <v>1894</v>
      </c>
      <c r="B110" s="6" t="s">
        <v>313</v>
      </c>
      <c r="C110" s="6" t="s">
        <v>314</v>
      </c>
      <c r="D110" s="6" t="s">
        <v>315</v>
      </c>
      <c r="E110" s="11" t="s">
        <v>55</v>
      </c>
      <c r="F110" s="11" t="s">
        <v>317</v>
      </c>
      <c r="G110" s="11" t="s">
        <v>24</v>
      </c>
      <c r="H110" s="11" t="s">
        <v>12</v>
      </c>
      <c r="I110" s="20">
        <v>184.7</v>
      </c>
      <c r="J110" s="20" t="s">
        <v>29</v>
      </c>
      <c r="K110" s="14">
        <f>I110/30/40*40</f>
        <v>6.1566666666666663</v>
      </c>
      <c r="L110" s="14">
        <v>50</v>
      </c>
      <c r="M110" s="6"/>
      <c r="N110" s="6"/>
    </row>
    <row r="111" spans="1:14" ht="22.5">
      <c r="A111" s="9" t="s">
        <v>1895</v>
      </c>
      <c r="B111" s="6" t="s">
        <v>313</v>
      </c>
      <c r="C111" s="6" t="s">
        <v>314</v>
      </c>
      <c r="D111" s="6" t="s">
        <v>318</v>
      </c>
      <c r="E111" s="11" t="s">
        <v>55</v>
      </c>
      <c r="F111" s="11" t="s">
        <v>319</v>
      </c>
      <c r="G111" s="11" t="s">
        <v>67</v>
      </c>
      <c r="H111" s="11" t="s">
        <v>12</v>
      </c>
      <c r="I111" s="20">
        <v>113.7</v>
      </c>
      <c r="J111" s="20" t="s">
        <v>29</v>
      </c>
      <c r="K111" s="14">
        <f>I111/30/20*40</f>
        <v>7.58</v>
      </c>
      <c r="L111" s="14">
        <v>50</v>
      </c>
      <c r="M111" s="6"/>
      <c r="N111" s="6"/>
    </row>
    <row r="112" spans="1:14" ht="22.5">
      <c r="A112" s="9" t="s">
        <v>1896</v>
      </c>
      <c r="B112" s="6" t="s">
        <v>313</v>
      </c>
      <c r="C112" s="6" t="s">
        <v>314</v>
      </c>
      <c r="D112" s="6" t="s">
        <v>318</v>
      </c>
      <c r="E112" s="11" t="s">
        <v>55</v>
      </c>
      <c r="F112" s="11" t="s">
        <v>317</v>
      </c>
      <c r="G112" s="11" t="s">
        <v>67</v>
      </c>
      <c r="H112" s="11" t="s">
        <v>12</v>
      </c>
      <c r="I112" s="20">
        <v>184.7</v>
      </c>
      <c r="J112" s="20" t="s">
        <v>29</v>
      </c>
      <c r="K112" s="14">
        <f>I112/30/40*40</f>
        <v>6.1566666666666663</v>
      </c>
      <c r="L112" s="14">
        <v>50</v>
      </c>
      <c r="M112" s="6"/>
      <c r="N112" s="6"/>
    </row>
    <row r="113" spans="1:14" ht="33.75">
      <c r="A113" s="9" t="s">
        <v>1365</v>
      </c>
      <c r="B113" s="6" t="s">
        <v>313</v>
      </c>
      <c r="C113" s="6" t="s">
        <v>1366</v>
      </c>
      <c r="D113" s="6" t="s">
        <v>1367</v>
      </c>
      <c r="E113" s="11" t="s">
        <v>427</v>
      </c>
      <c r="F113" s="11" t="s">
        <v>1368</v>
      </c>
      <c r="G113" s="5" t="s">
        <v>2695</v>
      </c>
      <c r="H113" s="11" t="s">
        <v>39</v>
      </c>
      <c r="I113" s="20">
        <v>722</v>
      </c>
      <c r="J113" s="20" t="s">
        <v>29</v>
      </c>
      <c r="K113" s="14">
        <f>I113/50/60*40</f>
        <v>9.6266666666666669</v>
      </c>
      <c r="L113" s="20">
        <v>50</v>
      </c>
      <c r="M113" s="90"/>
      <c r="N113" s="6"/>
    </row>
    <row r="114" spans="1:14" ht="22.5">
      <c r="A114" s="9" t="s">
        <v>1897</v>
      </c>
      <c r="B114" s="9" t="s">
        <v>320</v>
      </c>
      <c r="C114" s="9" t="s">
        <v>321</v>
      </c>
      <c r="D114" s="9" t="s">
        <v>1813</v>
      </c>
      <c r="E114" s="38" t="s">
        <v>55</v>
      </c>
      <c r="F114" s="38" t="s">
        <v>237</v>
      </c>
      <c r="G114" s="38" t="s">
        <v>322</v>
      </c>
      <c r="H114" s="38" t="s">
        <v>12</v>
      </c>
      <c r="I114" s="20">
        <v>232.7</v>
      </c>
      <c r="J114" s="11" t="s">
        <v>254</v>
      </c>
      <c r="K114" s="14" t="s">
        <v>254</v>
      </c>
      <c r="L114" s="14">
        <v>50</v>
      </c>
      <c r="M114" s="44"/>
      <c r="N114" s="40"/>
    </row>
    <row r="115" spans="1:14" ht="22.5">
      <c r="A115" s="8" t="s">
        <v>1898</v>
      </c>
      <c r="B115" s="8" t="s">
        <v>320</v>
      </c>
      <c r="C115" s="8" t="s">
        <v>321</v>
      </c>
      <c r="D115" s="8" t="s">
        <v>1813</v>
      </c>
      <c r="E115" s="5" t="s">
        <v>55</v>
      </c>
      <c r="F115" s="5" t="s">
        <v>1258</v>
      </c>
      <c r="G115" s="5" t="s">
        <v>1854</v>
      </c>
      <c r="H115" s="5" t="s">
        <v>12</v>
      </c>
      <c r="I115" s="20">
        <v>465.3</v>
      </c>
      <c r="J115" s="5" t="s">
        <v>254</v>
      </c>
      <c r="K115" s="5" t="s">
        <v>254</v>
      </c>
      <c r="L115" s="14">
        <v>50</v>
      </c>
      <c r="M115" s="44"/>
      <c r="N115" s="40"/>
    </row>
    <row r="116" spans="1:14" ht="22.5">
      <c r="A116" s="9" t="s">
        <v>1733</v>
      </c>
      <c r="B116" s="6" t="s">
        <v>323</v>
      </c>
      <c r="C116" s="6" t="s">
        <v>324</v>
      </c>
      <c r="D116" s="6" t="s">
        <v>325</v>
      </c>
      <c r="E116" s="11" t="s">
        <v>65</v>
      </c>
      <c r="F116" s="11" t="s">
        <v>326</v>
      </c>
      <c r="G116" s="11" t="s">
        <v>24</v>
      </c>
      <c r="H116" s="11" t="s">
        <v>12</v>
      </c>
      <c r="I116" s="20">
        <v>167.7</v>
      </c>
      <c r="J116" s="20" t="s">
        <v>118</v>
      </c>
      <c r="K116" s="14">
        <f>I116/20/250*2000</f>
        <v>67.08</v>
      </c>
      <c r="L116" s="14">
        <v>50</v>
      </c>
      <c r="M116" s="6" t="s">
        <v>2164</v>
      </c>
      <c r="N116" s="6" t="s">
        <v>2165</v>
      </c>
    </row>
    <row r="117" spans="1:14" ht="56.25">
      <c r="A117" s="8" t="s">
        <v>1899</v>
      </c>
      <c r="B117" s="8" t="s">
        <v>1730</v>
      </c>
      <c r="C117" s="8" t="s">
        <v>1731</v>
      </c>
      <c r="D117" s="8" t="s">
        <v>1855</v>
      </c>
      <c r="E117" s="5" t="s">
        <v>65</v>
      </c>
      <c r="F117" s="5" t="s">
        <v>1856</v>
      </c>
      <c r="G117" s="5" t="s">
        <v>1857</v>
      </c>
      <c r="H117" s="5" t="s">
        <v>12</v>
      </c>
      <c r="I117" s="20">
        <v>30085.1</v>
      </c>
      <c r="J117" s="39" t="s">
        <v>908</v>
      </c>
      <c r="K117" s="20">
        <f>I117/56/62.5*250</f>
        <v>2148.9357142857143</v>
      </c>
      <c r="L117" s="14">
        <v>50</v>
      </c>
      <c r="M117" s="6" t="s">
        <v>2332</v>
      </c>
      <c r="N117" s="6" t="s">
        <v>2333</v>
      </c>
    </row>
    <row r="118" spans="1:14" ht="56.25">
      <c r="A118" s="8" t="s">
        <v>1900</v>
      </c>
      <c r="B118" s="8" t="s">
        <v>1730</v>
      </c>
      <c r="C118" s="8" t="s">
        <v>1731</v>
      </c>
      <c r="D118" s="8" t="s">
        <v>1855</v>
      </c>
      <c r="E118" s="5" t="s">
        <v>65</v>
      </c>
      <c r="F118" s="5" t="s">
        <v>1858</v>
      </c>
      <c r="G118" s="5" t="s">
        <v>1857</v>
      </c>
      <c r="H118" s="5" t="s">
        <v>12</v>
      </c>
      <c r="I118" s="20">
        <v>40053.1</v>
      </c>
      <c r="J118" s="39" t="s">
        <v>908</v>
      </c>
      <c r="K118" s="20">
        <f>I118/56/125*250</f>
        <v>1430.4678571428572</v>
      </c>
      <c r="L118" s="14">
        <v>50</v>
      </c>
      <c r="M118" s="6" t="s">
        <v>2332</v>
      </c>
      <c r="N118" s="6" t="s">
        <v>2333</v>
      </c>
    </row>
    <row r="119" spans="1:14" ht="56.25">
      <c r="A119" s="8">
        <v>1103382</v>
      </c>
      <c r="B119" s="8" t="s">
        <v>1730</v>
      </c>
      <c r="C119" s="8" t="s">
        <v>1731</v>
      </c>
      <c r="D119" s="8" t="s">
        <v>2854</v>
      </c>
      <c r="E119" s="5" t="s">
        <v>65</v>
      </c>
      <c r="F119" s="5" t="s">
        <v>1856</v>
      </c>
      <c r="G119" s="5" t="s">
        <v>2855</v>
      </c>
      <c r="H119" s="15" t="s">
        <v>1002</v>
      </c>
      <c r="I119" s="19">
        <v>30085.1</v>
      </c>
      <c r="J119" s="93" t="s">
        <v>2894</v>
      </c>
      <c r="K119" s="19">
        <f>+I119/56 /62.5 *250</f>
        <v>2148.9357142857143</v>
      </c>
      <c r="L119" s="14">
        <v>50</v>
      </c>
      <c r="M119" s="6" t="s">
        <v>2332</v>
      </c>
      <c r="N119" s="6" t="s">
        <v>2333</v>
      </c>
    </row>
    <row r="120" spans="1:14" ht="56.25">
      <c r="A120" s="8">
        <v>1103383</v>
      </c>
      <c r="B120" s="8" t="s">
        <v>1730</v>
      </c>
      <c r="C120" s="8" t="s">
        <v>1731</v>
      </c>
      <c r="D120" s="8" t="s">
        <v>2854</v>
      </c>
      <c r="E120" s="5" t="s">
        <v>65</v>
      </c>
      <c r="F120" s="5" t="s">
        <v>1858</v>
      </c>
      <c r="G120" s="5" t="s">
        <v>2855</v>
      </c>
      <c r="H120" s="15" t="s">
        <v>1002</v>
      </c>
      <c r="I120" s="19">
        <v>31600</v>
      </c>
      <c r="J120" s="93" t="s">
        <v>2894</v>
      </c>
      <c r="K120" s="19">
        <f>+I120/125 /56 *250</f>
        <v>1128.5714285714287</v>
      </c>
      <c r="L120" s="14">
        <v>50</v>
      </c>
      <c r="M120" s="6" t="s">
        <v>2332</v>
      </c>
      <c r="N120" s="6" t="s">
        <v>2333</v>
      </c>
    </row>
    <row r="121" spans="1:14" ht="22.5">
      <c r="A121" s="9" t="s">
        <v>1901</v>
      </c>
      <c r="B121" s="6" t="s">
        <v>328</v>
      </c>
      <c r="C121" s="6" t="s">
        <v>329</v>
      </c>
      <c r="D121" s="6" t="s">
        <v>330</v>
      </c>
      <c r="E121" s="11" t="s">
        <v>55</v>
      </c>
      <c r="F121" s="11" t="s">
        <v>331</v>
      </c>
      <c r="G121" s="11" t="s">
        <v>67</v>
      </c>
      <c r="H121" s="11" t="s">
        <v>12</v>
      </c>
      <c r="I121" s="20">
        <v>119</v>
      </c>
      <c r="J121" s="20" t="s">
        <v>332</v>
      </c>
      <c r="K121" s="14">
        <f>I121/20/25*25</f>
        <v>5.95</v>
      </c>
      <c r="L121" s="14">
        <v>50</v>
      </c>
      <c r="M121" s="6"/>
      <c r="N121" s="6"/>
    </row>
    <row r="122" spans="1:14" ht="45">
      <c r="A122" s="9" t="s">
        <v>333</v>
      </c>
      <c r="B122" s="6" t="s">
        <v>334</v>
      </c>
      <c r="C122" s="6" t="s">
        <v>335</v>
      </c>
      <c r="D122" s="6" t="s">
        <v>336</v>
      </c>
      <c r="E122" s="11" t="s">
        <v>55</v>
      </c>
      <c r="F122" s="11" t="s">
        <v>337</v>
      </c>
      <c r="G122" s="11" t="s">
        <v>3056</v>
      </c>
      <c r="H122" s="11" t="s">
        <v>3057</v>
      </c>
      <c r="I122" s="20">
        <v>57.996300000000005</v>
      </c>
      <c r="J122" s="11" t="s">
        <v>29</v>
      </c>
      <c r="K122" s="14">
        <f>I122/12/40*40</f>
        <v>4.8330250000000001</v>
      </c>
      <c r="L122" s="14">
        <v>50</v>
      </c>
      <c r="M122" s="6" t="s">
        <v>2166</v>
      </c>
      <c r="N122" s="6"/>
    </row>
    <row r="123" spans="1:14" ht="22.5">
      <c r="A123" s="9" t="s">
        <v>1902</v>
      </c>
      <c r="B123" s="6" t="s">
        <v>334</v>
      </c>
      <c r="C123" s="6" t="s">
        <v>335</v>
      </c>
      <c r="D123" s="6" t="s">
        <v>1562</v>
      </c>
      <c r="E123" s="11" t="s">
        <v>55</v>
      </c>
      <c r="F123" s="11" t="s">
        <v>1563</v>
      </c>
      <c r="G123" s="11" t="s">
        <v>1380</v>
      </c>
      <c r="H123" s="11" t="s">
        <v>39</v>
      </c>
      <c r="I123" s="20">
        <v>86.8</v>
      </c>
      <c r="J123" s="20" t="s">
        <v>29</v>
      </c>
      <c r="K123" s="14">
        <f>I123/20/40*40</f>
        <v>4.34</v>
      </c>
      <c r="L123" s="14">
        <v>50</v>
      </c>
      <c r="M123" s="6" t="s">
        <v>2166</v>
      </c>
      <c r="N123" s="6"/>
    </row>
    <row r="124" spans="1:14" ht="22.5">
      <c r="A124" s="9" t="s">
        <v>1903</v>
      </c>
      <c r="B124" s="6" t="s">
        <v>334</v>
      </c>
      <c r="C124" s="6" t="s">
        <v>335</v>
      </c>
      <c r="D124" s="6" t="s">
        <v>1850</v>
      </c>
      <c r="E124" s="11" t="s">
        <v>55</v>
      </c>
      <c r="F124" s="11" t="s">
        <v>317</v>
      </c>
      <c r="G124" s="11" t="s">
        <v>1851</v>
      </c>
      <c r="H124" s="11" t="s">
        <v>829</v>
      </c>
      <c r="I124" s="20">
        <v>130.30000000000001</v>
      </c>
      <c r="J124" s="20" t="s">
        <v>29</v>
      </c>
      <c r="K124" s="14">
        <f>I124/30/40*40</f>
        <v>4.3433333333333337</v>
      </c>
      <c r="L124" s="14">
        <v>50</v>
      </c>
      <c r="M124" s="6" t="s">
        <v>2166</v>
      </c>
      <c r="N124" s="6"/>
    </row>
    <row r="125" spans="1:14" ht="22.5">
      <c r="A125" s="9" t="s">
        <v>1904</v>
      </c>
      <c r="B125" s="6" t="s">
        <v>338</v>
      </c>
      <c r="C125" s="6" t="s">
        <v>339</v>
      </c>
      <c r="D125" s="6" t="s">
        <v>340</v>
      </c>
      <c r="E125" s="11" t="s">
        <v>55</v>
      </c>
      <c r="F125" s="11" t="s">
        <v>341</v>
      </c>
      <c r="G125" s="11" t="s">
        <v>24</v>
      </c>
      <c r="H125" s="11" t="s">
        <v>12</v>
      </c>
      <c r="I125" s="20">
        <v>206.2</v>
      </c>
      <c r="J125" s="20" t="s">
        <v>342</v>
      </c>
      <c r="K125" s="14">
        <f>I125/20/1*1</f>
        <v>10.309999999999999</v>
      </c>
      <c r="L125" s="14">
        <v>50</v>
      </c>
      <c r="M125" s="6"/>
      <c r="N125" s="6"/>
    </row>
    <row r="126" spans="1:14" ht="22.5">
      <c r="A126" s="9" t="s">
        <v>1905</v>
      </c>
      <c r="B126" s="6" t="s">
        <v>343</v>
      </c>
      <c r="C126" s="6" t="s">
        <v>344</v>
      </c>
      <c r="D126" s="6" t="s">
        <v>345</v>
      </c>
      <c r="E126" s="11" t="s">
        <v>55</v>
      </c>
      <c r="F126" s="11" t="s">
        <v>346</v>
      </c>
      <c r="G126" s="11" t="s">
        <v>11</v>
      </c>
      <c r="H126" s="11" t="s">
        <v>12</v>
      </c>
      <c r="I126" s="20">
        <v>385.3</v>
      </c>
      <c r="J126" s="20" t="s">
        <v>347</v>
      </c>
      <c r="K126" s="14">
        <f>I126/40/25*75</f>
        <v>28.897500000000001</v>
      </c>
      <c r="L126" s="14">
        <v>50</v>
      </c>
      <c r="M126" s="6"/>
      <c r="N126" s="6"/>
    </row>
    <row r="127" spans="1:14" ht="22.5">
      <c r="A127" s="9" t="s">
        <v>1906</v>
      </c>
      <c r="B127" s="6" t="s">
        <v>343</v>
      </c>
      <c r="C127" s="6" t="s">
        <v>344</v>
      </c>
      <c r="D127" s="6" t="s">
        <v>345</v>
      </c>
      <c r="E127" s="11" t="s">
        <v>55</v>
      </c>
      <c r="F127" s="11" t="s">
        <v>348</v>
      </c>
      <c r="G127" s="11" t="s">
        <v>11</v>
      </c>
      <c r="H127" s="11" t="s">
        <v>12</v>
      </c>
      <c r="I127" s="20">
        <v>618.70000000000005</v>
      </c>
      <c r="J127" s="20" t="s">
        <v>347</v>
      </c>
      <c r="K127" s="14">
        <f>I127/30/100*75</f>
        <v>15.467500000000001</v>
      </c>
      <c r="L127" s="14">
        <v>50</v>
      </c>
      <c r="M127" s="6"/>
      <c r="N127" s="6"/>
    </row>
    <row r="128" spans="1:14" ht="22.5">
      <c r="A128" s="9" t="s">
        <v>1907</v>
      </c>
      <c r="B128" s="6" t="s">
        <v>350</v>
      </c>
      <c r="C128" s="6" t="s">
        <v>351</v>
      </c>
      <c r="D128" s="6" t="s">
        <v>352</v>
      </c>
      <c r="E128" s="11" t="s">
        <v>55</v>
      </c>
      <c r="F128" s="11" t="s">
        <v>353</v>
      </c>
      <c r="G128" s="11" t="s">
        <v>24</v>
      </c>
      <c r="H128" s="11" t="s">
        <v>12</v>
      </c>
      <c r="I128" s="20">
        <v>172.4</v>
      </c>
      <c r="J128" s="20" t="s">
        <v>349</v>
      </c>
      <c r="K128" s="14">
        <f>I128/40</f>
        <v>4.3100000000000005</v>
      </c>
      <c r="L128" s="14">
        <v>50</v>
      </c>
      <c r="M128" s="6"/>
      <c r="N128" s="6"/>
    </row>
    <row r="129" spans="1:14" ht="22.5">
      <c r="A129" s="9" t="s">
        <v>1908</v>
      </c>
      <c r="B129" s="6" t="s">
        <v>354</v>
      </c>
      <c r="C129" s="6" t="s">
        <v>355</v>
      </c>
      <c r="D129" s="6" t="s">
        <v>356</v>
      </c>
      <c r="E129" s="11" t="s">
        <v>55</v>
      </c>
      <c r="F129" s="11" t="s">
        <v>2134</v>
      </c>
      <c r="G129" s="11" t="s">
        <v>11</v>
      </c>
      <c r="H129" s="11" t="s">
        <v>12</v>
      </c>
      <c r="I129" s="20">
        <v>230.3</v>
      </c>
      <c r="J129" s="20" t="s">
        <v>230</v>
      </c>
      <c r="K129" s="14">
        <f>I129/50/40*160</f>
        <v>18.423999999999999</v>
      </c>
      <c r="L129" s="14">
        <v>50</v>
      </c>
      <c r="M129" s="6"/>
      <c r="N129" s="6"/>
    </row>
    <row r="130" spans="1:14" ht="22.5">
      <c r="A130" s="9" t="s">
        <v>1909</v>
      </c>
      <c r="B130" s="6" t="s">
        <v>357</v>
      </c>
      <c r="C130" s="6" t="s">
        <v>358</v>
      </c>
      <c r="D130" s="6" t="s">
        <v>359</v>
      </c>
      <c r="E130" s="11" t="s">
        <v>65</v>
      </c>
      <c r="F130" s="11" t="s">
        <v>348</v>
      </c>
      <c r="G130" s="11" t="s">
        <v>24</v>
      </c>
      <c r="H130" s="11" t="s">
        <v>12</v>
      </c>
      <c r="I130" s="20">
        <v>137.6</v>
      </c>
      <c r="J130" s="20" t="s">
        <v>360</v>
      </c>
      <c r="K130" s="14">
        <f>I130/30/100*150</f>
        <v>6.88</v>
      </c>
      <c r="L130" s="14">
        <v>50</v>
      </c>
      <c r="M130" s="6"/>
      <c r="N130" s="6"/>
    </row>
    <row r="131" spans="1:14" ht="22.5">
      <c r="A131" s="9" t="s">
        <v>1910</v>
      </c>
      <c r="B131" s="6" t="s">
        <v>357</v>
      </c>
      <c r="C131" s="6" t="s">
        <v>358</v>
      </c>
      <c r="D131" s="6" t="s">
        <v>359</v>
      </c>
      <c r="E131" s="11" t="s">
        <v>65</v>
      </c>
      <c r="F131" s="11" t="s">
        <v>361</v>
      </c>
      <c r="G131" s="11" t="s">
        <v>24</v>
      </c>
      <c r="H131" s="11" t="s">
        <v>12</v>
      </c>
      <c r="I131" s="20">
        <v>66.400000000000006</v>
      </c>
      <c r="J131" s="20" t="s">
        <v>360</v>
      </c>
      <c r="K131" s="14">
        <f>I131/28/50*150</f>
        <v>7.1142857142857148</v>
      </c>
      <c r="L131" s="14">
        <v>50</v>
      </c>
      <c r="M131" s="6"/>
      <c r="N131" s="6"/>
    </row>
    <row r="132" spans="1:14" ht="22.5">
      <c r="A132" s="9" t="s">
        <v>1911</v>
      </c>
      <c r="B132" s="6" t="s">
        <v>357</v>
      </c>
      <c r="C132" s="6" t="s">
        <v>358</v>
      </c>
      <c r="D132" s="6" t="s">
        <v>359</v>
      </c>
      <c r="E132" s="11" t="s">
        <v>65</v>
      </c>
      <c r="F132" s="11" t="s">
        <v>362</v>
      </c>
      <c r="G132" s="11" t="s">
        <v>24</v>
      </c>
      <c r="H132" s="11" t="s">
        <v>12</v>
      </c>
      <c r="I132" s="20">
        <v>132.80000000000001</v>
      </c>
      <c r="J132" s="20" t="s">
        <v>360</v>
      </c>
      <c r="K132" s="14">
        <f>I132/56/50*150</f>
        <v>7.1142857142857148</v>
      </c>
      <c r="L132" s="14">
        <v>50</v>
      </c>
      <c r="M132" s="6"/>
      <c r="N132" s="6"/>
    </row>
    <row r="133" spans="1:14" ht="22.5">
      <c r="A133" s="9" t="s">
        <v>1912</v>
      </c>
      <c r="B133" s="6" t="s">
        <v>364</v>
      </c>
      <c r="C133" s="6" t="s">
        <v>365</v>
      </c>
      <c r="D133" s="6" t="s">
        <v>366</v>
      </c>
      <c r="E133" s="11" t="s">
        <v>55</v>
      </c>
      <c r="F133" s="11" t="s">
        <v>1814</v>
      </c>
      <c r="G133" s="11" t="s">
        <v>11</v>
      </c>
      <c r="H133" s="11" t="s">
        <v>12</v>
      </c>
      <c r="I133" s="20">
        <v>96.7</v>
      </c>
      <c r="J133" s="20" t="s">
        <v>347</v>
      </c>
      <c r="K133" s="14">
        <f>I133/14/100*75</f>
        <v>5.1803571428571429</v>
      </c>
      <c r="L133" s="14">
        <v>50</v>
      </c>
      <c r="M133" s="6"/>
      <c r="N133" s="6"/>
    </row>
    <row r="134" spans="1:14" ht="22.5">
      <c r="A134" s="9" t="s">
        <v>369</v>
      </c>
      <c r="B134" s="6" t="s">
        <v>370</v>
      </c>
      <c r="C134" s="6" t="s">
        <v>371</v>
      </c>
      <c r="D134" s="6" t="s">
        <v>372</v>
      </c>
      <c r="E134" s="11" t="s">
        <v>55</v>
      </c>
      <c r="F134" s="11" t="s">
        <v>373</v>
      </c>
      <c r="G134" s="11" t="s">
        <v>33</v>
      </c>
      <c r="H134" s="11" t="s">
        <v>12</v>
      </c>
      <c r="I134" s="19">
        <v>100</v>
      </c>
      <c r="J134" s="20" t="s">
        <v>106</v>
      </c>
      <c r="K134" s="14">
        <f>I134/30/2.5*10</f>
        <v>13.333333333333336</v>
      </c>
      <c r="L134" s="14">
        <v>50</v>
      </c>
      <c r="M134" s="6"/>
      <c r="N134" s="6"/>
    </row>
    <row r="135" spans="1:14" ht="22.5">
      <c r="A135" s="9" t="s">
        <v>374</v>
      </c>
      <c r="B135" s="6" t="s">
        <v>370</v>
      </c>
      <c r="C135" s="6" t="s">
        <v>371</v>
      </c>
      <c r="D135" s="6" t="s">
        <v>372</v>
      </c>
      <c r="E135" s="11" t="s">
        <v>55</v>
      </c>
      <c r="F135" s="11" t="s">
        <v>266</v>
      </c>
      <c r="G135" s="11" t="s">
        <v>33</v>
      </c>
      <c r="H135" s="11" t="s">
        <v>12</v>
      </c>
      <c r="I135" s="19">
        <v>142.30000000000001</v>
      </c>
      <c r="J135" s="20" t="s">
        <v>106</v>
      </c>
      <c r="K135" s="14">
        <f>I135/30/5*10</f>
        <v>9.4866666666666681</v>
      </c>
      <c r="L135" s="14">
        <v>50</v>
      </c>
      <c r="M135" s="6"/>
      <c r="N135" s="6"/>
    </row>
    <row r="136" spans="1:14" ht="22.5">
      <c r="A136" s="9" t="s">
        <v>375</v>
      </c>
      <c r="B136" s="6" t="s">
        <v>370</v>
      </c>
      <c r="C136" s="6" t="s">
        <v>371</v>
      </c>
      <c r="D136" s="6" t="s">
        <v>372</v>
      </c>
      <c r="E136" s="11" t="s">
        <v>55</v>
      </c>
      <c r="F136" s="11" t="s">
        <v>56</v>
      </c>
      <c r="G136" s="11" t="s">
        <v>33</v>
      </c>
      <c r="H136" s="11" t="s">
        <v>12</v>
      </c>
      <c r="I136" s="19">
        <v>247.8</v>
      </c>
      <c r="J136" s="20" t="s">
        <v>106</v>
      </c>
      <c r="K136" s="14">
        <f>I136/30/10*10</f>
        <v>8.26</v>
      </c>
      <c r="L136" s="14">
        <v>50</v>
      </c>
      <c r="M136" s="6"/>
      <c r="N136" s="6"/>
    </row>
    <row r="137" spans="1:14" ht="22.5">
      <c r="A137" s="9" t="s">
        <v>376</v>
      </c>
      <c r="B137" s="6" t="s">
        <v>370</v>
      </c>
      <c r="C137" s="6" t="s">
        <v>371</v>
      </c>
      <c r="D137" s="6" t="s">
        <v>377</v>
      </c>
      <c r="E137" s="11" t="s">
        <v>65</v>
      </c>
      <c r="F137" s="11" t="s">
        <v>266</v>
      </c>
      <c r="G137" s="11" t="s">
        <v>24</v>
      </c>
      <c r="H137" s="11" t="s">
        <v>12</v>
      </c>
      <c r="I137" s="19">
        <v>142.30000000000001</v>
      </c>
      <c r="J137" s="20" t="s">
        <v>106</v>
      </c>
      <c r="K137" s="14">
        <f>I137/30/5*10</f>
        <v>9.4866666666666681</v>
      </c>
      <c r="L137" s="14">
        <v>50</v>
      </c>
      <c r="M137" s="6"/>
      <c r="N137" s="6"/>
    </row>
    <row r="138" spans="1:14" ht="22.5">
      <c r="A138" s="9" t="s">
        <v>378</v>
      </c>
      <c r="B138" s="6" t="s">
        <v>370</v>
      </c>
      <c r="C138" s="6" t="s">
        <v>371</v>
      </c>
      <c r="D138" s="6" t="s">
        <v>377</v>
      </c>
      <c r="E138" s="11" t="s">
        <v>65</v>
      </c>
      <c r="F138" s="11" t="s">
        <v>56</v>
      </c>
      <c r="G138" s="11" t="s">
        <v>24</v>
      </c>
      <c r="H138" s="11" t="s">
        <v>12</v>
      </c>
      <c r="I138" s="19">
        <v>247.8</v>
      </c>
      <c r="J138" s="20" t="s">
        <v>106</v>
      </c>
      <c r="K138" s="14">
        <f>I138/30/10*10</f>
        <v>8.26</v>
      </c>
      <c r="L138" s="14">
        <v>50</v>
      </c>
      <c r="M138" s="6"/>
      <c r="N138" s="6"/>
    </row>
    <row r="139" spans="1:14" ht="56.25">
      <c r="A139" s="9" t="s">
        <v>380</v>
      </c>
      <c r="B139" s="6" t="s">
        <v>370</v>
      </c>
      <c r="C139" s="6" t="s">
        <v>371</v>
      </c>
      <c r="D139" s="6" t="s">
        <v>381</v>
      </c>
      <c r="E139" s="11" t="s">
        <v>65</v>
      </c>
      <c r="F139" s="11" t="s">
        <v>373</v>
      </c>
      <c r="G139" s="13" t="s">
        <v>2408</v>
      </c>
      <c r="H139" s="11" t="s">
        <v>2674</v>
      </c>
      <c r="I139" s="19">
        <v>100</v>
      </c>
      <c r="J139" s="20" t="s">
        <v>106</v>
      </c>
      <c r="K139" s="14">
        <f>I139/30/2.5*10</f>
        <v>13.333333333333336</v>
      </c>
      <c r="L139" s="14">
        <v>50</v>
      </c>
      <c r="M139" s="6"/>
      <c r="N139" s="6"/>
    </row>
    <row r="140" spans="1:14" ht="56.25">
      <c r="A140" s="9" t="s">
        <v>382</v>
      </c>
      <c r="B140" s="6" t="s">
        <v>370</v>
      </c>
      <c r="C140" s="6" t="s">
        <v>371</v>
      </c>
      <c r="D140" s="6" t="s">
        <v>381</v>
      </c>
      <c r="E140" s="11" t="s">
        <v>65</v>
      </c>
      <c r="F140" s="11" t="s">
        <v>266</v>
      </c>
      <c r="G140" s="13" t="s">
        <v>2408</v>
      </c>
      <c r="H140" s="11" t="s">
        <v>2674</v>
      </c>
      <c r="I140" s="19">
        <v>142.30000000000001</v>
      </c>
      <c r="J140" s="20" t="s">
        <v>106</v>
      </c>
      <c r="K140" s="14">
        <f>I140/30/5*10</f>
        <v>9.4866666666666681</v>
      </c>
      <c r="L140" s="14">
        <v>50</v>
      </c>
      <c r="M140" s="6"/>
      <c r="N140" s="6"/>
    </row>
    <row r="141" spans="1:14" ht="56.25">
      <c r="A141" s="9" t="s">
        <v>383</v>
      </c>
      <c r="B141" s="6" t="s">
        <v>370</v>
      </c>
      <c r="C141" s="6" t="s">
        <v>371</v>
      </c>
      <c r="D141" s="6" t="s">
        <v>381</v>
      </c>
      <c r="E141" s="11" t="s">
        <v>65</v>
      </c>
      <c r="F141" s="11" t="s">
        <v>56</v>
      </c>
      <c r="G141" s="13" t="s">
        <v>2408</v>
      </c>
      <c r="H141" s="11" t="s">
        <v>2674</v>
      </c>
      <c r="I141" s="19">
        <v>247.8</v>
      </c>
      <c r="J141" s="20" t="s">
        <v>106</v>
      </c>
      <c r="K141" s="14">
        <f>I141/30/10*10</f>
        <v>8.26</v>
      </c>
      <c r="L141" s="14">
        <v>50</v>
      </c>
      <c r="M141" s="6"/>
      <c r="N141" s="6"/>
    </row>
    <row r="142" spans="1:14" s="78" customFormat="1" ht="22.5">
      <c r="A142" s="45" t="s">
        <v>1369</v>
      </c>
      <c r="B142" s="46" t="s">
        <v>370</v>
      </c>
      <c r="C142" s="46" t="s">
        <v>371</v>
      </c>
      <c r="D142" s="46" t="s">
        <v>1370</v>
      </c>
      <c r="E142" s="13" t="s">
        <v>65</v>
      </c>
      <c r="F142" s="13" t="s">
        <v>266</v>
      </c>
      <c r="G142" s="13" t="s">
        <v>11</v>
      </c>
      <c r="H142" s="13" t="s">
        <v>12</v>
      </c>
      <c r="I142" s="19">
        <v>142.30000000000001</v>
      </c>
      <c r="J142" s="20" t="s">
        <v>106</v>
      </c>
      <c r="K142" s="14">
        <f>I142/30/5*10</f>
        <v>9.4866666666666681</v>
      </c>
      <c r="L142" s="14">
        <v>50</v>
      </c>
      <c r="M142" s="90"/>
      <c r="N142" s="91"/>
    </row>
    <row r="143" spans="1:14" s="78" customFormat="1" ht="22.5">
      <c r="A143" s="45" t="s">
        <v>1371</v>
      </c>
      <c r="B143" s="46" t="s">
        <v>370</v>
      </c>
      <c r="C143" s="46" t="s">
        <v>371</v>
      </c>
      <c r="D143" s="46" t="s">
        <v>1370</v>
      </c>
      <c r="E143" s="13" t="s">
        <v>65</v>
      </c>
      <c r="F143" s="13" t="s">
        <v>56</v>
      </c>
      <c r="G143" s="13" t="s">
        <v>11</v>
      </c>
      <c r="H143" s="13" t="s">
        <v>12</v>
      </c>
      <c r="I143" s="19">
        <v>247.8</v>
      </c>
      <c r="J143" s="20" t="s">
        <v>106</v>
      </c>
      <c r="K143" s="14">
        <f>I143/30/10*10</f>
        <v>8.26</v>
      </c>
      <c r="L143" s="14">
        <v>50</v>
      </c>
      <c r="M143" s="90"/>
      <c r="N143" s="91"/>
    </row>
    <row r="144" spans="1:14" ht="45">
      <c r="A144" s="45" t="s">
        <v>1913</v>
      </c>
      <c r="B144" s="46" t="s">
        <v>370</v>
      </c>
      <c r="C144" s="46" t="s">
        <v>371</v>
      </c>
      <c r="D144" s="46" t="s">
        <v>1564</v>
      </c>
      <c r="E144" s="13" t="s">
        <v>65</v>
      </c>
      <c r="F144" s="13" t="s">
        <v>1870</v>
      </c>
      <c r="G144" s="13" t="s">
        <v>1565</v>
      </c>
      <c r="H144" s="13" t="s">
        <v>2367</v>
      </c>
      <c r="I144" s="20">
        <v>196.2</v>
      </c>
      <c r="J144" s="20" t="s">
        <v>106</v>
      </c>
      <c r="K144" s="20">
        <f>I144/30/1.25*10</f>
        <v>52.32</v>
      </c>
      <c r="L144" s="14">
        <v>50</v>
      </c>
      <c r="M144" s="90"/>
      <c r="N144" s="91"/>
    </row>
    <row r="145" spans="1:14" ht="22.5">
      <c r="A145" s="45" t="s">
        <v>1914</v>
      </c>
      <c r="B145" s="46" t="s">
        <v>370</v>
      </c>
      <c r="C145" s="46" t="s">
        <v>371</v>
      </c>
      <c r="D145" s="46" t="s">
        <v>1566</v>
      </c>
      <c r="E145" s="13" t="s">
        <v>65</v>
      </c>
      <c r="F145" s="13" t="s">
        <v>1869</v>
      </c>
      <c r="G145" s="13" t="s">
        <v>1567</v>
      </c>
      <c r="H145" s="13" t="s">
        <v>43</v>
      </c>
      <c r="I145" s="19">
        <v>100</v>
      </c>
      <c r="J145" s="20" t="s">
        <v>106</v>
      </c>
      <c r="K145" s="14">
        <f>I145/30/2.5*10</f>
        <v>13.333333333333336</v>
      </c>
      <c r="L145" s="14">
        <v>50</v>
      </c>
      <c r="M145" s="90"/>
      <c r="N145" s="91"/>
    </row>
    <row r="146" spans="1:14" ht="22.5">
      <c r="A146" s="45" t="s">
        <v>1915</v>
      </c>
      <c r="B146" s="46" t="s">
        <v>370</v>
      </c>
      <c r="C146" s="46" t="s">
        <v>371</v>
      </c>
      <c r="D146" s="46" t="s">
        <v>1566</v>
      </c>
      <c r="E146" s="13" t="s">
        <v>65</v>
      </c>
      <c r="F146" s="13" t="s">
        <v>918</v>
      </c>
      <c r="G146" s="13" t="s">
        <v>1567</v>
      </c>
      <c r="H146" s="13" t="s">
        <v>43</v>
      </c>
      <c r="I146" s="19">
        <v>142.30000000000001</v>
      </c>
      <c r="J146" s="20" t="s">
        <v>106</v>
      </c>
      <c r="K146" s="14">
        <f>I146/30/5*10</f>
        <v>9.4866666666666681</v>
      </c>
      <c r="L146" s="14">
        <v>50</v>
      </c>
      <c r="M146" s="90"/>
      <c r="N146" s="91"/>
    </row>
    <row r="147" spans="1:14" ht="22.5">
      <c r="A147" s="45" t="s">
        <v>1774</v>
      </c>
      <c r="B147" s="46" t="s">
        <v>370</v>
      </c>
      <c r="C147" s="46" t="s">
        <v>371</v>
      </c>
      <c r="D147" s="46" t="s">
        <v>1566</v>
      </c>
      <c r="E147" s="13" t="s">
        <v>65</v>
      </c>
      <c r="F147" s="13" t="s">
        <v>1662</v>
      </c>
      <c r="G147" s="13" t="s">
        <v>1567</v>
      </c>
      <c r="H147" s="13" t="s">
        <v>43</v>
      </c>
      <c r="I147" s="19">
        <v>247.8</v>
      </c>
      <c r="J147" s="20" t="s">
        <v>106</v>
      </c>
      <c r="K147" s="14">
        <f>I147/30/10*10</f>
        <v>8.26</v>
      </c>
      <c r="L147" s="14">
        <v>50</v>
      </c>
      <c r="M147" s="90"/>
      <c r="N147" s="91"/>
    </row>
    <row r="148" spans="1:14">
      <c r="A148" s="45" t="s">
        <v>1753</v>
      </c>
      <c r="B148" s="46" t="s">
        <v>370</v>
      </c>
      <c r="C148" s="46" t="s">
        <v>371</v>
      </c>
      <c r="D148" s="46" t="s">
        <v>1754</v>
      </c>
      <c r="E148" s="13" t="s">
        <v>65</v>
      </c>
      <c r="F148" s="13" t="s">
        <v>266</v>
      </c>
      <c r="G148" s="13" t="s">
        <v>1755</v>
      </c>
      <c r="H148" s="13" t="s">
        <v>1732</v>
      </c>
      <c r="I148" s="19">
        <v>142.30000000000001</v>
      </c>
      <c r="J148" s="20" t="s">
        <v>106</v>
      </c>
      <c r="K148" s="14">
        <f>+I148/30/5*10</f>
        <v>9.4866666666666681</v>
      </c>
      <c r="L148" s="14">
        <v>50</v>
      </c>
      <c r="M148" s="90"/>
      <c r="N148" s="91"/>
    </row>
    <row r="149" spans="1:14">
      <c r="A149" s="45" t="s">
        <v>1756</v>
      </c>
      <c r="B149" s="46" t="s">
        <v>370</v>
      </c>
      <c r="C149" s="46" t="s">
        <v>371</v>
      </c>
      <c r="D149" s="46" t="s">
        <v>1754</v>
      </c>
      <c r="E149" s="13" t="s">
        <v>65</v>
      </c>
      <c r="F149" s="13" t="s">
        <v>56</v>
      </c>
      <c r="G149" s="13" t="s">
        <v>1755</v>
      </c>
      <c r="H149" s="13" t="s">
        <v>1732</v>
      </c>
      <c r="I149" s="19">
        <v>247.8</v>
      </c>
      <c r="J149" s="20" t="s">
        <v>106</v>
      </c>
      <c r="K149" s="14">
        <f>+I149/30/10*10</f>
        <v>8.26</v>
      </c>
      <c r="L149" s="14">
        <v>50</v>
      </c>
      <c r="M149" s="90"/>
      <c r="N149" s="91"/>
    </row>
    <row r="150" spans="1:14" ht="33.75">
      <c r="A150" s="45" t="s">
        <v>2364</v>
      </c>
      <c r="B150" s="46" t="s">
        <v>370</v>
      </c>
      <c r="C150" s="46" t="s">
        <v>371</v>
      </c>
      <c r="D150" s="46" t="s">
        <v>1564</v>
      </c>
      <c r="E150" s="13" t="s">
        <v>65</v>
      </c>
      <c r="F150" s="13" t="s">
        <v>2365</v>
      </c>
      <c r="G150" s="13" t="s">
        <v>2366</v>
      </c>
      <c r="H150" s="13" t="s">
        <v>2367</v>
      </c>
      <c r="I150" s="20">
        <v>310.39999999999998</v>
      </c>
      <c r="J150" s="20" t="s">
        <v>106</v>
      </c>
      <c r="K150" s="20">
        <f>I150/30/3.75*10</f>
        <v>27.591111111111108</v>
      </c>
      <c r="L150" s="14">
        <v>50</v>
      </c>
      <c r="M150" s="90"/>
      <c r="N150" s="91"/>
    </row>
    <row r="151" spans="1:14">
      <c r="A151" s="37" t="s">
        <v>2452</v>
      </c>
      <c r="B151" s="8" t="s">
        <v>370</v>
      </c>
      <c r="C151" s="8" t="s">
        <v>371</v>
      </c>
      <c r="D151" s="8" t="s">
        <v>379</v>
      </c>
      <c r="E151" s="5" t="s">
        <v>65</v>
      </c>
      <c r="F151" s="15" t="s">
        <v>373</v>
      </c>
      <c r="G151" s="5" t="s">
        <v>2453</v>
      </c>
      <c r="H151" s="5" t="s">
        <v>829</v>
      </c>
      <c r="I151" s="19">
        <v>100</v>
      </c>
      <c r="J151" s="21" t="s">
        <v>106</v>
      </c>
      <c r="K151" s="19">
        <f>I151/30/2.5*10</f>
        <v>13.333333333333336</v>
      </c>
      <c r="L151" s="14">
        <v>50</v>
      </c>
      <c r="M151" s="90"/>
      <c r="N151" s="91"/>
    </row>
    <row r="152" spans="1:14">
      <c r="A152" s="37" t="s">
        <v>2454</v>
      </c>
      <c r="B152" s="8" t="s">
        <v>370</v>
      </c>
      <c r="C152" s="8" t="s">
        <v>371</v>
      </c>
      <c r="D152" s="8" t="s">
        <v>379</v>
      </c>
      <c r="E152" s="5" t="s">
        <v>65</v>
      </c>
      <c r="F152" s="15" t="s">
        <v>266</v>
      </c>
      <c r="G152" s="5" t="s">
        <v>2453</v>
      </c>
      <c r="H152" s="5" t="s">
        <v>829</v>
      </c>
      <c r="I152" s="19">
        <v>142.30000000000001</v>
      </c>
      <c r="J152" s="21" t="s">
        <v>106</v>
      </c>
      <c r="K152" s="19">
        <f>I152/30/5*10</f>
        <v>9.4866666666666681</v>
      </c>
      <c r="L152" s="14">
        <v>50</v>
      </c>
      <c r="M152" s="90"/>
      <c r="N152" s="91"/>
    </row>
    <row r="153" spans="1:14">
      <c r="A153" s="37" t="s">
        <v>2455</v>
      </c>
      <c r="B153" s="8" t="s">
        <v>370</v>
      </c>
      <c r="C153" s="8" t="s">
        <v>371</v>
      </c>
      <c r="D153" s="8" t="s">
        <v>379</v>
      </c>
      <c r="E153" s="5" t="s">
        <v>65</v>
      </c>
      <c r="F153" s="15" t="s">
        <v>56</v>
      </c>
      <c r="G153" s="5" t="s">
        <v>2453</v>
      </c>
      <c r="H153" s="5" t="s">
        <v>829</v>
      </c>
      <c r="I153" s="19">
        <v>247.8</v>
      </c>
      <c r="J153" s="21" t="s">
        <v>106</v>
      </c>
      <c r="K153" s="19">
        <f>I153/30/10*10</f>
        <v>8.26</v>
      </c>
      <c r="L153" s="14">
        <v>50</v>
      </c>
      <c r="M153" s="90"/>
      <c r="N153" s="91"/>
    </row>
    <row r="154" spans="1:14" ht="22.5">
      <c r="A154" s="37" t="s">
        <v>2856</v>
      </c>
      <c r="B154" s="8" t="s">
        <v>370</v>
      </c>
      <c r="C154" s="8" t="s">
        <v>371</v>
      </c>
      <c r="D154" s="8" t="s">
        <v>2857</v>
      </c>
      <c r="E154" s="5" t="s">
        <v>55</v>
      </c>
      <c r="F154" s="5" t="s">
        <v>1870</v>
      </c>
      <c r="G154" s="5" t="s">
        <v>936</v>
      </c>
      <c r="H154" s="5" t="s">
        <v>82</v>
      </c>
      <c r="I154" s="19">
        <v>137.30000000000001</v>
      </c>
      <c r="J154" s="5" t="s">
        <v>106</v>
      </c>
      <c r="K154" s="19">
        <f>+I154/30/1.25*10</f>
        <v>36.613333333333337</v>
      </c>
      <c r="L154" s="14">
        <v>50</v>
      </c>
      <c r="M154" s="90"/>
      <c r="N154" s="91"/>
    </row>
    <row r="155" spans="1:14" ht="22.5">
      <c r="A155" s="37" t="s">
        <v>2858</v>
      </c>
      <c r="B155" s="8" t="s">
        <v>370</v>
      </c>
      <c r="C155" s="8" t="s">
        <v>371</v>
      </c>
      <c r="D155" s="8" t="s">
        <v>2857</v>
      </c>
      <c r="E155" s="5" t="s">
        <v>55</v>
      </c>
      <c r="F155" s="5" t="s">
        <v>373</v>
      </c>
      <c r="G155" s="5" t="s">
        <v>2900</v>
      </c>
      <c r="H155" s="5" t="s">
        <v>2859</v>
      </c>
      <c r="I155" s="19">
        <v>100</v>
      </c>
      <c r="J155" s="5" t="s">
        <v>106</v>
      </c>
      <c r="K155" s="19">
        <f>+I155/30/2.5*10</f>
        <v>13.333333333333336</v>
      </c>
      <c r="L155" s="14">
        <v>50</v>
      </c>
      <c r="M155" s="90"/>
      <c r="N155" s="91"/>
    </row>
    <row r="156" spans="1:14" ht="22.5">
      <c r="A156" s="37" t="s">
        <v>2860</v>
      </c>
      <c r="B156" s="8" t="s">
        <v>370</v>
      </c>
      <c r="C156" s="8" t="s">
        <v>371</v>
      </c>
      <c r="D156" s="8" t="s">
        <v>2857</v>
      </c>
      <c r="E156" s="5" t="s">
        <v>55</v>
      </c>
      <c r="F156" s="5" t="s">
        <v>266</v>
      </c>
      <c r="G156" s="5" t="s">
        <v>2900</v>
      </c>
      <c r="H156" s="5" t="s">
        <v>2859</v>
      </c>
      <c r="I156" s="19">
        <v>142.30000000000001</v>
      </c>
      <c r="J156" s="5" t="s">
        <v>106</v>
      </c>
      <c r="K156" s="19">
        <f>+I156/30/5*10</f>
        <v>9.4866666666666681</v>
      </c>
      <c r="L156" s="14">
        <v>50</v>
      </c>
      <c r="M156" s="90"/>
      <c r="N156" s="91"/>
    </row>
    <row r="157" spans="1:14" ht="22.5">
      <c r="A157" s="37" t="s">
        <v>2861</v>
      </c>
      <c r="B157" s="8" t="s">
        <v>370</v>
      </c>
      <c r="C157" s="8" t="s">
        <v>371</v>
      </c>
      <c r="D157" s="8" t="s">
        <v>2857</v>
      </c>
      <c r="E157" s="5" t="s">
        <v>55</v>
      </c>
      <c r="F157" s="5" t="s">
        <v>56</v>
      </c>
      <c r="G157" s="5" t="s">
        <v>2900</v>
      </c>
      <c r="H157" s="5" t="s">
        <v>2901</v>
      </c>
      <c r="I157" s="19">
        <v>247.8</v>
      </c>
      <c r="J157" s="5" t="s">
        <v>106</v>
      </c>
      <c r="K157" s="19">
        <f>+I157/30/10*10</f>
        <v>8.26</v>
      </c>
      <c r="L157" s="14">
        <v>50</v>
      </c>
      <c r="M157" s="90"/>
      <c r="N157" s="91"/>
    </row>
    <row r="158" spans="1:14" ht="22.5">
      <c r="A158" s="37" t="s">
        <v>2862</v>
      </c>
      <c r="B158" s="8" t="s">
        <v>370</v>
      </c>
      <c r="C158" s="8" t="s">
        <v>371</v>
      </c>
      <c r="D158" s="8" t="s">
        <v>2863</v>
      </c>
      <c r="E158" s="5" t="s">
        <v>65</v>
      </c>
      <c r="F158" s="5" t="s">
        <v>1870</v>
      </c>
      <c r="G158" s="5" t="s">
        <v>1857</v>
      </c>
      <c r="H158" s="5" t="s">
        <v>12</v>
      </c>
      <c r="I158" s="19">
        <v>137.30000000000001</v>
      </c>
      <c r="J158" s="5" t="s">
        <v>106</v>
      </c>
      <c r="K158" s="19">
        <f>(I158/30)/1.25*10</f>
        <v>36.613333333333337</v>
      </c>
      <c r="L158" s="14">
        <v>50</v>
      </c>
      <c r="M158" s="90"/>
      <c r="N158" s="91"/>
    </row>
    <row r="159" spans="1:14" ht="22.5">
      <c r="A159" s="37" t="s">
        <v>2864</v>
      </c>
      <c r="B159" s="8" t="s">
        <v>370</v>
      </c>
      <c r="C159" s="8" t="s">
        <v>371</v>
      </c>
      <c r="D159" s="8" t="s">
        <v>2863</v>
      </c>
      <c r="E159" s="5" t="s">
        <v>65</v>
      </c>
      <c r="F159" s="5" t="s">
        <v>373</v>
      </c>
      <c r="G159" s="5" t="s">
        <v>1857</v>
      </c>
      <c r="H159" s="5" t="s">
        <v>12</v>
      </c>
      <c r="I159" s="19">
        <v>100</v>
      </c>
      <c r="J159" s="5" t="s">
        <v>106</v>
      </c>
      <c r="K159" s="19">
        <f>(I159/30)/2.5*10</f>
        <v>13.333333333333336</v>
      </c>
      <c r="L159" s="14">
        <v>50</v>
      </c>
      <c r="M159" s="90"/>
      <c r="N159" s="91"/>
    </row>
    <row r="160" spans="1:14" ht="22.5">
      <c r="A160" s="37" t="s">
        <v>2865</v>
      </c>
      <c r="B160" s="8" t="s">
        <v>370</v>
      </c>
      <c r="C160" s="8" t="s">
        <v>371</v>
      </c>
      <c r="D160" s="8" t="s">
        <v>2863</v>
      </c>
      <c r="E160" s="5" t="s">
        <v>65</v>
      </c>
      <c r="F160" s="5" t="s">
        <v>2365</v>
      </c>
      <c r="G160" s="5" t="s">
        <v>1857</v>
      </c>
      <c r="H160" s="5" t="s">
        <v>12</v>
      </c>
      <c r="I160" s="19">
        <v>199.8</v>
      </c>
      <c r="J160" s="5" t="s">
        <v>106</v>
      </c>
      <c r="K160" s="19">
        <f>(I160/30)/3.75*10</f>
        <v>17.760000000000002</v>
      </c>
      <c r="L160" s="14">
        <v>50</v>
      </c>
      <c r="M160" s="90"/>
      <c r="N160" s="91"/>
    </row>
    <row r="161" spans="1:14" ht="22.5">
      <c r="A161" s="9" t="s">
        <v>384</v>
      </c>
      <c r="B161" s="6" t="s">
        <v>385</v>
      </c>
      <c r="C161" s="6" t="s">
        <v>386</v>
      </c>
      <c r="D161" s="6" t="s">
        <v>387</v>
      </c>
      <c r="E161" s="11" t="s">
        <v>55</v>
      </c>
      <c r="F161" s="11" t="s">
        <v>388</v>
      </c>
      <c r="G161" s="11" t="s">
        <v>20</v>
      </c>
      <c r="H161" s="11" t="s">
        <v>12</v>
      </c>
      <c r="I161" s="20">
        <v>135.4</v>
      </c>
      <c r="J161" s="20" t="s">
        <v>389</v>
      </c>
      <c r="K161" s="14">
        <f>I161/30/12.5*37.5</f>
        <v>13.540000000000001</v>
      </c>
      <c r="L161" s="14">
        <v>50</v>
      </c>
      <c r="M161" s="6" t="s">
        <v>2167</v>
      </c>
      <c r="N161" s="6" t="s">
        <v>2168</v>
      </c>
    </row>
    <row r="162" spans="1:14" ht="22.5">
      <c r="A162" s="40" t="s">
        <v>1491</v>
      </c>
      <c r="B162" s="40" t="s">
        <v>385</v>
      </c>
      <c r="C162" s="40" t="s">
        <v>386</v>
      </c>
      <c r="D162" s="40" t="s">
        <v>390</v>
      </c>
      <c r="E162" s="14" t="s">
        <v>55</v>
      </c>
      <c r="F162" s="11" t="s">
        <v>388</v>
      </c>
      <c r="G162" s="14" t="s">
        <v>1463</v>
      </c>
      <c r="H162" s="14" t="s">
        <v>12</v>
      </c>
      <c r="I162" s="20">
        <v>135.4</v>
      </c>
      <c r="J162" s="14" t="s">
        <v>1492</v>
      </c>
      <c r="K162" s="14">
        <f>I162/30/12.5*37.5</f>
        <v>13.540000000000001</v>
      </c>
      <c r="L162" s="14">
        <v>50</v>
      </c>
      <c r="M162" s="6" t="s">
        <v>2167</v>
      </c>
      <c r="N162" s="6" t="s">
        <v>2168</v>
      </c>
    </row>
    <row r="163" spans="1:14" ht="22.5">
      <c r="A163" s="40" t="s">
        <v>1493</v>
      </c>
      <c r="B163" s="40" t="s">
        <v>385</v>
      </c>
      <c r="C163" s="40" t="s">
        <v>386</v>
      </c>
      <c r="D163" s="40" t="s">
        <v>390</v>
      </c>
      <c r="E163" s="14" t="s">
        <v>55</v>
      </c>
      <c r="F163" s="14" t="s">
        <v>401</v>
      </c>
      <c r="G163" s="14" t="s">
        <v>1463</v>
      </c>
      <c r="H163" s="14" t="s">
        <v>12</v>
      </c>
      <c r="I163" s="20">
        <v>208.8</v>
      </c>
      <c r="J163" s="14" t="s">
        <v>1492</v>
      </c>
      <c r="K163" s="14">
        <f>I163/30/25*37.5</f>
        <v>10.44</v>
      </c>
      <c r="L163" s="14">
        <v>50</v>
      </c>
      <c r="M163" s="6" t="s">
        <v>2167</v>
      </c>
      <c r="N163" s="6" t="s">
        <v>2168</v>
      </c>
    </row>
    <row r="164" spans="1:14" ht="22.5">
      <c r="A164" s="9" t="s">
        <v>395</v>
      </c>
      <c r="B164" s="6" t="s">
        <v>385</v>
      </c>
      <c r="C164" s="6" t="s">
        <v>386</v>
      </c>
      <c r="D164" s="6" t="s">
        <v>396</v>
      </c>
      <c r="E164" s="11" t="s">
        <v>55</v>
      </c>
      <c r="F164" s="11" t="s">
        <v>391</v>
      </c>
      <c r="G164" s="11" t="s">
        <v>769</v>
      </c>
      <c r="H164" s="11" t="s">
        <v>43</v>
      </c>
      <c r="I164" s="20">
        <v>158.19999999999999</v>
      </c>
      <c r="J164" s="20" t="s">
        <v>389</v>
      </c>
      <c r="K164" s="14">
        <f>I164/28/6.25*37.5</f>
        <v>33.9</v>
      </c>
      <c r="L164" s="14">
        <v>50</v>
      </c>
      <c r="M164" s="6" t="s">
        <v>2167</v>
      </c>
      <c r="N164" s="6" t="s">
        <v>2168</v>
      </c>
    </row>
    <row r="165" spans="1:14" ht="22.5">
      <c r="A165" s="9" t="s">
        <v>397</v>
      </c>
      <c r="B165" s="6" t="s">
        <v>385</v>
      </c>
      <c r="C165" s="6" t="s">
        <v>386</v>
      </c>
      <c r="D165" s="6" t="s">
        <v>396</v>
      </c>
      <c r="E165" s="11" t="s">
        <v>55</v>
      </c>
      <c r="F165" s="11" t="s">
        <v>3015</v>
      </c>
      <c r="G165" s="11" t="s">
        <v>769</v>
      </c>
      <c r="H165" s="11" t="s">
        <v>43</v>
      </c>
      <c r="I165" s="20">
        <v>126.4</v>
      </c>
      <c r="J165" s="20" t="s">
        <v>389</v>
      </c>
      <c r="K165" s="14">
        <f>I165/28/12.5*37.5</f>
        <v>13.542857142857143</v>
      </c>
      <c r="L165" s="14">
        <v>50</v>
      </c>
      <c r="M165" s="6" t="s">
        <v>2167</v>
      </c>
      <c r="N165" s="6" t="s">
        <v>2168</v>
      </c>
    </row>
    <row r="166" spans="1:14" ht="22.5">
      <c r="A166" s="9" t="s">
        <v>398</v>
      </c>
      <c r="B166" s="6" t="s">
        <v>385</v>
      </c>
      <c r="C166" s="6" t="s">
        <v>386</v>
      </c>
      <c r="D166" s="6" t="s">
        <v>399</v>
      </c>
      <c r="E166" s="11" t="s">
        <v>55</v>
      </c>
      <c r="F166" s="11" t="s">
        <v>388</v>
      </c>
      <c r="G166" s="11" t="s">
        <v>287</v>
      </c>
      <c r="H166" s="11" t="s">
        <v>12</v>
      </c>
      <c r="I166" s="20">
        <v>135.4</v>
      </c>
      <c r="J166" s="20" t="s">
        <v>389</v>
      </c>
      <c r="K166" s="14">
        <f>I166/30/12.5*37.5</f>
        <v>13.540000000000001</v>
      </c>
      <c r="L166" s="14">
        <v>50</v>
      </c>
      <c r="M166" s="6" t="s">
        <v>2167</v>
      </c>
      <c r="N166" s="6" t="s">
        <v>2168</v>
      </c>
    </row>
    <row r="167" spans="1:14" ht="22.5">
      <c r="A167" s="9" t="s">
        <v>400</v>
      </c>
      <c r="B167" s="6" t="s">
        <v>385</v>
      </c>
      <c r="C167" s="6" t="s">
        <v>386</v>
      </c>
      <c r="D167" s="6" t="s">
        <v>399</v>
      </c>
      <c r="E167" s="11" t="s">
        <v>55</v>
      </c>
      <c r="F167" s="11" t="s">
        <v>401</v>
      </c>
      <c r="G167" s="11" t="s">
        <v>287</v>
      </c>
      <c r="H167" s="11" t="s">
        <v>12</v>
      </c>
      <c r="I167" s="20">
        <v>208.8</v>
      </c>
      <c r="J167" s="20" t="s">
        <v>389</v>
      </c>
      <c r="K167" s="14">
        <f>I167/30/25*37.5</f>
        <v>10.44</v>
      </c>
      <c r="L167" s="14">
        <v>50</v>
      </c>
      <c r="M167" s="6" t="s">
        <v>2167</v>
      </c>
      <c r="N167" s="6" t="s">
        <v>2168</v>
      </c>
    </row>
    <row r="168" spans="1:14" ht="33.75">
      <c r="A168" s="37" t="s">
        <v>2866</v>
      </c>
      <c r="B168" s="29" t="s">
        <v>385</v>
      </c>
      <c r="C168" s="8" t="s">
        <v>386</v>
      </c>
      <c r="D168" s="8" t="s">
        <v>2867</v>
      </c>
      <c r="E168" s="5" t="s">
        <v>55</v>
      </c>
      <c r="F168" s="5" t="s">
        <v>2868</v>
      </c>
      <c r="G168" s="5" t="s">
        <v>2869</v>
      </c>
      <c r="H168" s="5" t="s">
        <v>2533</v>
      </c>
      <c r="I168" s="19">
        <v>135.4</v>
      </c>
      <c r="J168" s="19" t="s">
        <v>1492</v>
      </c>
      <c r="K168" s="19">
        <f>+(I168/30)/12.5*37.5</f>
        <v>13.540000000000001</v>
      </c>
      <c r="L168" s="14">
        <v>50</v>
      </c>
      <c r="M168" s="6" t="s">
        <v>2167</v>
      </c>
      <c r="N168" s="6" t="s">
        <v>2168</v>
      </c>
    </row>
    <row r="169" spans="1:14" ht="33.75">
      <c r="A169" s="9" t="s">
        <v>402</v>
      </c>
      <c r="B169" s="6" t="s">
        <v>403</v>
      </c>
      <c r="C169" s="6" t="s">
        <v>404</v>
      </c>
      <c r="D169" s="6" t="s">
        <v>405</v>
      </c>
      <c r="E169" s="11" t="s">
        <v>65</v>
      </c>
      <c r="F169" s="11" t="s">
        <v>406</v>
      </c>
      <c r="G169" s="11" t="s">
        <v>24</v>
      </c>
      <c r="H169" s="11" t="s">
        <v>12</v>
      </c>
      <c r="I169" s="20">
        <v>184.9</v>
      </c>
      <c r="J169" s="20" t="s">
        <v>349</v>
      </c>
      <c r="K169" s="14">
        <f>I169/30</f>
        <v>6.1633333333333331</v>
      </c>
      <c r="L169" s="14">
        <v>50</v>
      </c>
      <c r="M169" s="6" t="s">
        <v>2169</v>
      </c>
      <c r="N169" s="6"/>
    </row>
    <row r="170" spans="1:14" ht="22.5">
      <c r="A170" s="9" t="s">
        <v>1916</v>
      </c>
      <c r="B170" s="6" t="s">
        <v>407</v>
      </c>
      <c r="C170" s="6" t="s">
        <v>408</v>
      </c>
      <c r="D170" s="6" t="s">
        <v>412</v>
      </c>
      <c r="E170" s="11" t="s">
        <v>55</v>
      </c>
      <c r="F170" s="11" t="s">
        <v>266</v>
      </c>
      <c r="G170" s="11" t="s">
        <v>1787</v>
      </c>
      <c r="H170" s="11" t="s">
        <v>12</v>
      </c>
      <c r="I170" s="20">
        <v>75</v>
      </c>
      <c r="J170" s="20" t="s">
        <v>410</v>
      </c>
      <c r="K170" s="14">
        <f>I170/30/5*5</f>
        <v>2.5</v>
      </c>
      <c r="L170" s="14">
        <v>50</v>
      </c>
      <c r="M170" s="6" t="s">
        <v>2170</v>
      </c>
      <c r="N170" s="6"/>
    </row>
    <row r="171" spans="1:14" ht="22.5">
      <c r="A171" s="9" t="s">
        <v>1917</v>
      </c>
      <c r="B171" s="6" t="s">
        <v>407</v>
      </c>
      <c r="C171" s="6" t="s">
        <v>408</v>
      </c>
      <c r="D171" s="6" t="s">
        <v>412</v>
      </c>
      <c r="E171" s="11" t="s">
        <v>55</v>
      </c>
      <c r="F171" s="11" t="s">
        <v>56</v>
      </c>
      <c r="G171" s="11" t="s">
        <v>1787</v>
      </c>
      <c r="H171" s="11" t="s">
        <v>12</v>
      </c>
      <c r="I171" s="20">
        <v>90.8</v>
      </c>
      <c r="J171" s="20" t="s">
        <v>1676</v>
      </c>
      <c r="K171" s="14">
        <f>I171/30/10*5</f>
        <v>1.5133333333333332</v>
      </c>
      <c r="L171" s="14">
        <v>50</v>
      </c>
      <c r="M171" s="6" t="s">
        <v>2170</v>
      </c>
      <c r="N171" s="6"/>
    </row>
    <row r="172" spans="1:14" ht="22.5">
      <c r="A172" s="9" t="s">
        <v>414</v>
      </c>
      <c r="B172" s="6" t="s">
        <v>407</v>
      </c>
      <c r="C172" s="6" t="s">
        <v>413</v>
      </c>
      <c r="D172" s="6" t="s">
        <v>409</v>
      </c>
      <c r="E172" s="11" t="s">
        <v>55</v>
      </c>
      <c r="F172" s="11" t="s">
        <v>266</v>
      </c>
      <c r="G172" s="11" t="s">
        <v>280</v>
      </c>
      <c r="H172" s="11" t="s">
        <v>12</v>
      </c>
      <c r="I172" s="20">
        <v>75</v>
      </c>
      <c r="J172" s="20" t="s">
        <v>410</v>
      </c>
      <c r="K172" s="14">
        <f>I172/30/5*5</f>
        <v>2.5</v>
      </c>
      <c r="L172" s="14">
        <v>50</v>
      </c>
      <c r="M172" s="6" t="s">
        <v>2170</v>
      </c>
      <c r="N172" s="6"/>
    </row>
    <row r="173" spans="1:14" ht="22.5">
      <c r="A173" s="9" t="s">
        <v>415</v>
      </c>
      <c r="B173" s="6" t="s">
        <v>407</v>
      </c>
      <c r="C173" s="6" t="s">
        <v>413</v>
      </c>
      <c r="D173" s="6" t="s">
        <v>409</v>
      </c>
      <c r="E173" s="11" t="s">
        <v>55</v>
      </c>
      <c r="F173" s="11" t="s">
        <v>56</v>
      </c>
      <c r="G173" s="11" t="s">
        <v>280</v>
      </c>
      <c r="H173" s="11" t="s">
        <v>12</v>
      </c>
      <c r="I173" s="20">
        <v>90.8</v>
      </c>
      <c r="J173" s="20" t="s">
        <v>410</v>
      </c>
      <c r="K173" s="14">
        <f>I173/30/10*5</f>
        <v>1.5133333333333332</v>
      </c>
      <c r="L173" s="14">
        <v>50</v>
      </c>
      <c r="M173" s="6" t="s">
        <v>2170</v>
      </c>
      <c r="N173" s="6"/>
    </row>
    <row r="174" spans="1:14" ht="56.25">
      <c r="A174" s="9" t="s">
        <v>417</v>
      </c>
      <c r="B174" s="6" t="s">
        <v>407</v>
      </c>
      <c r="C174" s="6" t="s">
        <v>413</v>
      </c>
      <c r="D174" s="6" t="s">
        <v>418</v>
      </c>
      <c r="E174" s="11" t="s">
        <v>55</v>
      </c>
      <c r="F174" s="11" t="s">
        <v>266</v>
      </c>
      <c r="G174" s="13" t="s">
        <v>2408</v>
      </c>
      <c r="H174" s="11" t="s">
        <v>2674</v>
      </c>
      <c r="I174" s="20">
        <v>75</v>
      </c>
      <c r="J174" s="20" t="s">
        <v>410</v>
      </c>
      <c r="K174" s="14">
        <f>I174/30/5*5</f>
        <v>2.5</v>
      </c>
      <c r="L174" s="14">
        <v>50</v>
      </c>
      <c r="M174" s="6" t="s">
        <v>2170</v>
      </c>
      <c r="N174" s="6"/>
    </row>
    <row r="175" spans="1:14" ht="56.25">
      <c r="A175" s="9" t="s">
        <v>419</v>
      </c>
      <c r="B175" s="6" t="s">
        <v>407</v>
      </c>
      <c r="C175" s="6" t="s">
        <v>413</v>
      </c>
      <c r="D175" s="6" t="s">
        <v>418</v>
      </c>
      <c r="E175" s="11" t="s">
        <v>55</v>
      </c>
      <c r="F175" s="11" t="s">
        <v>56</v>
      </c>
      <c r="G175" s="13" t="s">
        <v>2408</v>
      </c>
      <c r="H175" s="11" t="s">
        <v>2674</v>
      </c>
      <c r="I175" s="20">
        <v>90.8</v>
      </c>
      <c r="J175" s="20" t="s">
        <v>410</v>
      </c>
      <c r="K175" s="14">
        <f>I175/30/10*5</f>
        <v>1.5133333333333332</v>
      </c>
      <c r="L175" s="14">
        <v>50</v>
      </c>
      <c r="M175" s="6" t="s">
        <v>2170</v>
      </c>
      <c r="N175" s="6"/>
    </row>
    <row r="176" spans="1:14" ht="22.5">
      <c r="A176" s="9" t="s">
        <v>420</v>
      </c>
      <c r="B176" s="6" t="s">
        <v>407</v>
      </c>
      <c r="C176" s="6" t="s">
        <v>413</v>
      </c>
      <c r="D176" s="6" t="s">
        <v>421</v>
      </c>
      <c r="E176" s="11" t="s">
        <v>55</v>
      </c>
      <c r="F176" s="11" t="s">
        <v>266</v>
      </c>
      <c r="G176" s="5" t="s">
        <v>1519</v>
      </c>
      <c r="H176" s="5" t="s">
        <v>43</v>
      </c>
      <c r="I176" s="20">
        <v>75</v>
      </c>
      <c r="J176" s="20" t="s">
        <v>410</v>
      </c>
      <c r="K176" s="14">
        <f>I176/30/5*5</f>
        <v>2.5</v>
      </c>
      <c r="L176" s="14">
        <v>50</v>
      </c>
      <c r="M176" s="6" t="s">
        <v>2170</v>
      </c>
      <c r="N176" s="6"/>
    </row>
    <row r="177" spans="1:14" ht="22.5">
      <c r="A177" s="9" t="s">
        <v>422</v>
      </c>
      <c r="B177" s="6" t="s">
        <v>407</v>
      </c>
      <c r="C177" s="6" t="s">
        <v>413</v>
      </c>
      <c r="D177" s="6" t="s">
        <v>421</v>
      </c>
      <c r="E177" s="11" t="s">
        <v>55</v>
      </c>
      <c r="F177" s="11" t="s">
        <v>56</v>
      </c>
      <c r="G177" s="5" t="s">
        <v>1519</v>
      </c>
      <c r="H177" s="5" t="s">
        <v>43</v>
      </c>
      <c r="I177" s="20">
        <v>90.8</v>
      </c>
      <c r="J177" s="20" t="s">
        <v>410</v>
      </c>
      <c r="K177" s="14">
        <f>I177/30/10*5</f>
        <v>1.5133333333333332</v>
      </c>
      <c r="L177" s="14">
        <v>50</v>
      </c>
      <c r="M177" s="6" t="s">
        <v>2170</v>
      </c>
      <c r="N177" s="6"/>
    </row>
    <row r="178" spans="1:14" ht="22.5">
      <c r="A178" s="45" t="s">
        <v>1372</v>
      </c>
      <c r="B178" s="46" t="s">
        <v>407</v>
      </c>
      <c r="C178" s="46" t="s">
        <v>408</v>
      </c>
      <c r="D178" s="46" t="s">
        <v>1373</v>
      </c>
      <c r="E178" s="13" t="s">
        <v>55</v>
      </c>
      <c r="F178" s="13" t="s">
        <v>266</v>
      </c>
      <c r="G178" s="13" t="s">
        <v>24</v>
      </c>
      <c r="H178" s="13" t="s">
        <v>12</v>
      </c>
      <c r="I178" s="20">
        <v>75</v>
      </c>
      <c r="J178" s="34" t="s">
        <v>410</v>
      </c>
      <c r="K178" s="79">
        <f>I178/30/5*5</f>
        <v>2.5</v>
      </c>
      <c r="L178" s="14">
        <v>50</v>
      </c>
      <c r="M178" s="6" t="s">
        <v>2170</v>
      </c>
      <c r="N178" s="44"/>
    </row>
    <row r="179" spans="1:14" ht="22.5">
      <c r="A179" s="45" t="s">
        <v>1374</v>
      </c>
      <c r="B179" s="46" t="s">
        <v>407</v>
      </c>
      <c r="C179" s="46" t="s">
        <v>408</v>
      </c>
      <c r="D179" s="46" t="s">
        <v>1373</v>
      </c>
      <c r="E179" s="13" t="s">
        <v>55</v>
      </c>
      <c r="F179" s="13" t="s">
        <v>56</v>
      </c>
      <c r="G179" s="13" t="s">
        <v>24</v>
      </c>
      <c r="H179" s="13" t="s">
        <v>12</v>
      </c>
      <c r="I179" s="20">
        <v>90.8</v>
      </c>
      <c r="J179" s="34" t="s">
        <v>410</v>
      </c>
      <c r="K179" s="79">
        <f>I179/30/10*5</f>
        <v>1.5133333333333332</v>
      </c>
      <c r="L179" s="14">
        <v>50</v>
      </c>
      <c r="M179" s="6" t="s">
        <v>2170</v>
      </c>
      <c r="N179" s="44"/>
    </row>
    <row r="180" spans="1:14" ht="33.75">
      <c r="A180" s="94" t="s">
        <v>423</v>
      </c>
      <c r="B180" s="95" t="s">
        <v>424</v>
      </c>
      <c r="C180" s="95" t="s">
        <v>425</v>
      </c>
      <c r="D180" s="95" t="s">
        <v>426</v>
      </c>
      <c r="E180" s="47" t="s">
        <v>427</v>
      </c>
      <c r="F180" s="47" t="s">
        <v>319</v>
      </c>
      <c r="G180" s="47" t="s">
        <v>20</v>
      </c>
      <c r="H180" s="47" t="s">
        <v>12</v>
      </c>
      <c r="I180" s="96">
        <v>227.3</v>
      </c>
      <c r="J180" s="96" t="s">
        <v>37</v>
      </c>
      <c r="K180" s="97">
        <f>I180/30/20*30</f>
        <v>11.365</v>
      </c>
      <c r="L180" s="97">
        <v>50</v>
      </c>
      <c r="M180" s="95"/>
      <c r="N180" s="95"/>
    </row>
    <row r="181" spans="1:14" ht="22.5">
      <c r="A181" s="9" t="s">
        <v>428</v>
      </c>
      <c r="B181" s="6" t="s">
        <v>429</v>
      </c>
      <c r="C181" s="6" t="s">
        <v>430</v>
      </c>
      <c r="D181" s="6" t="s">
        <v>3016</v>
      </c>
      <c r="E181" s="11" t="s">
        <v>65</v>
      </c>
      <c r="F181" s="11" t="s">
        <v>317</v>
      </c>
      <c r="G181" s="11" t="s">
        <v>24</v>
      </c>
      <c r="H181" s="11" t="s">
        <v>12</v>
      </c>
      <c r="I181" s="20">
        <v>67.8</v>
      </c>
      <c r="J181" s="20" t="s">
        <v>431</v>
      </c>
      <c r="K181" s="14">
        <f>I181/30/40*240</f>
        <v>13.559999999999999</v>
      </c>
      <c r="L181" s="14">
        <v>50</v>
      </c>
      <c r="M181" s="6"/>
      <c r="N181" s="6"/>
    </row>
    <row r="182" spans="1:14" ht="22.5">
      <c r="A182" s="9" t="s">
        <v>432</v>
      </c>
      <c r="B182" s="6" t="s">
        <v>429</v>
      </c>
      <c r="C182" s="6" t="s">
        <v>430</v>
      </c>
      <c r="D182" s="6" t="s">
        <v>3016</v>
      </c>
      <c r="E182" s="11" t="s">
        <v>65</v>
      </c>
      <c r="F182" s="11" t="s">
        <v>433</v>
      </c>
      <c r="G182" s="11" t="s">
        <v>24</v>
      </c>
      <c r="H182" s="11" t="s">
        <v>12</v>
      </c>
      <c r="I182" s="20">
        <v>153.30000000000001</v>
      </c>
      <c r="J182" s="20" t="s">
        <v>431</v>
      </c>
      <c r="K182" s="14">
        <f>I182/50/80*240</f>
        <v>9.1980000000000004</v>
      </c>
      <c r="L182" s="14">
        <v>50</v>
      </c>
      <c r="M182" s="6"/>
      <c r="N182" s="6"/>
    </row>
    <row r="183" spans="1:14" ht="56.25">
      <c r="A183" s="9" t="s">
        <v>434</v>
      </c>
      <c r="B183" s="6" t="s">
        <v>429</v>
      </c>
      <c r="C183" s="6" t="s">
        <v>430</v>
      </c>
      <c r="D183" s="6" t="s">
        <v>435</v>
      </c>
      <c r="E183" s="11" t="s">
        <v>436</v>
      </c>
      <c r="F183" s="11" t="s">
        <v>317</v>
      </c>
      <c r="G183" s="13" t="s">
        <v>2408</v>
      </c>
      <c r="H183" s="11" t="s">
        <v>2674</v>
      </c>
      <c r="I183" s="20">
        <v>67.8</v>
      </c>
      <c r="J183" s="20" t="s">
        <v>431</v>
      </c>
      <c r="K183" s="14">
        <f>I183/30/40*240</f>
        <v>13.559999999999999</v>
      </c>
      <c r="L183" s="14">
        <v>50</v>
      </c>
      <c r="M183" s="6"/>
      <c r="N183" s="6"/>
    </row>
    <row r="184" spans="1:14" ht="56.25">
      <c r="A184" s="9" t="s">
        <v>437</v>
      </c>
      <c r="B184" s="6" t="s">
        <v>429</v>
      </c>
      <c r="C184" s="6" t="s">
        <v>430</v>
      </c>
      <c r="D184" s="6" t="s">
        <v>435</v>
      </c>
      <c r="E184" s="11" t="s">
        <v>436</v>
      </c>
      <c r="F184" s="11" t="s">
        <v>229</v>
      </c>
      <c r="G184" s="13" t="s">
        <v>2408</v>
      </c>
      <c r="H184" s="11" t="s">
        <v>2674</v>
      </c>
      <c r="I184" s="20">
        <v>92</v>
      </c>
      <c r="J184" s="20" t="s">
        <v>431</v>
      </c>
      <c r="K184" s="14">
        <f>I184/30/80*240</f>
        <v>9.2000000000000011</v>
      </c>
      <c r="L184" s="14">
        <v>50</v>
      </c>
      <c r="M184" s="6"/>
      <c r="N184" s="6"/>
    </row>
    <row r="185" spans="1:14" ht="33.75">
      <c r="A185" s="9" t="s">
        <v>438</v>
      </c>
      <c r="B185" s="6" t="s">
        <v>439</v>
      </c>
      <c r="C185" s="6" t="s">
        <v>440</v>
      </c>
      <c r="D185" s="6" t="s">
        <v>441</v>
      </c>
      <c r="E185" s="11" t="s">
        <v>442</v>
      </c>
      <c r="F185" s="11" t="s">
        <v>443</v>
      </c>
      <c r="G185" s="11" t="s">
        <v>24</v>
      </c>
      <c r="H185" s="11" t="s">
        <v>12</v>
      </c>
      <c r="I185" s="20">
        <v>202.5</v>
      </c>
      <c r="J185" s="20" t="s">
        <v>431</v>
      </c>
      <c r="K185" s="14">
        <f>I185/30/90*240</f>
        <v>18</v>
      </c>
      <c r="L185" s="14">
        <v>50</v>
      </c>
      <c r="M185" s="6"/>
      <c r="N185" s="6"/>
    </row>
    <row r="186" spans="1:14" ht="22.5">
      <c r="A186" s="9" t="s">
        <v>448</v>
      </c>
      <c r="B186" s="6" t="s">
        <v>444</v>
      </c>
      <c r="C186" s="6" t="s">
        <v>445</v>
      </c>
      <c r="D186" s="6" t="s">
        <v>446</v>
      </c>
      <c r="E186" s="11" t="s">
        <v>55</v>
      </c>
      <c r="F186" s="11" t="s">
        <v>346</v>
      </c>
      <c r="G186" s="11" t="s">
        <v>24</v>
      </c>
      <c r="H186" s="11" t="s">
        <v>12</v>
      </c>
      <c r="I186" s="20">
        <v>131.30000000000001</v>
      </c>
      <c r="J186" s="20" t="s">
        <v>447</v>
      </c>
      <c r="K186" s="14">
        <f>I186/40/25*50</f>
        <v>6.5650000000000004</v>
      </c>
      <c r="L186" s="14">
        <v>50</v>
      </c>
      <c r="M186" s="6"/>
      <c r="N186" s="6"/>
    </row>
    <row r="187" spans="1:14" ht="22.5">
      <c r="A187" s="9" t="s">
        <v>449</v>
      </c>
      <c r="B187" s="6" t="s">
        <v>444</v>
      </c>
      <c r="C187" s="6" t="s">
        <v>445</v>
      </c>
      <c r="D187" s="6" t="s">
        <v>446</v>
      </c>
      <c r="E187" s="11" t="s">
        <v>55</v>
      </c>
      <c r="F187" s="11" t="s">
        <v>450</v>
      </c>
      <c r="G187" s="11" t="s">
        <v>24</v>
      </c>
      <c r="H187" s="11" t="s">
        <v>12</v>
      </c>
      <c r="I187" s="20">
        <v>262.7</v>
      </c>
      <c r="J187" s="20" t="s">
        <v>447</v>
      </c>
      <c r="K187" s="14">
        <f>I187/40/50*50</f>
        <v>6.5674999999999999</v>
      </c>
      <c r="L187" s="14">
        <v>50</v>
      </c>
      <c r="M187" s="6"/>
      <c r="N187" s="6"/>
    </row>
    <row r="188" spans="1:14" ht="22.5">
      <c r="A188" s="9" t="s">
        <v>451</v>
      </c>
      <c r="B188" s="6" t="s">
        <v>444</v>
      </c>
      <c r="C188" s="6" t="s">
        <v>445</v>
      </c>
      <c r="D188" s="6" t="s">
        <v>452</v>
      </c>
      <c r="E188" s="11" t="s">
        <v>55</v>
      </c>
      <c r="F188" s="11" t="s">
        <v>1798</v>
      </c>
      <c r="G188" s="11" t="s">
        <v>11</v>
      </c>
      <c r="H188" s="11" t="s">
        <v>12</v>
      </c>
      <c r="I188" s="20">
        <v>131.30000000000001</v>
      </c>
      <c r="J188" s="20" t="s">
        <v>447</v>
      </c>
      <c r="K188" s="14">
        <f>I188/40/25*50</f>
        <v>6.5650000000000004</v>
      </c>
      <c r="L188" s="14">
        <v>50</v>
      </c>
      <c r="M188" s="6"/>
      <c r="N188" s="6"/>
    </row>
    <row r="189" spans="1:14" ht="22.5">
      <c r="A189" s="9" t="s">
        <v>453</v>
      </c>
      <c r="B189" s="6" t="s">
        <v>444</v>
      </c>
      <c r="C189" s="6" t="s">
        <v>445</v>
      </c>
      <c r="D189" s="6" t="s">
        <v>452</v>
      </c>
      <c r="E189" s="11" t="s">
        <v>55</v>
      </c>
      <c r="F189" s="11" t="s">
        <v>1799</v>
      </c>
      <c r="G189" s="11" t="s">
        <v>11</v>
      </c>
      <c r="H189" s="11" t="s">
        <v>12</v>
      </c>
      <c r="I189" s="20">
        <v>262.7</v>
      </c>
      <c r="J189" s="20" t="s">
        <v>447</v>
      </c>
      <c r="K189" s="14">
        <f>I189/40/50*50</f>
        <v>6.5674999999999999</v>
      </c>
      <c r="L189" s="14">
        <v>50</v>
      </c>
      <c r="M189" s="6"/>
      <c r="N189" s="6"/>
    </row>
    <row r="190" spans="1:14" ht="22.5">
      <c r="A190" s="9" t="s">
        <v>1918</v>
      </c>
      <c r="B190" s="6" t="s">
        <v>454</v>
      </c>
      <c r="C190" s="6" t="s">
        <v>455</v>
      </c>
      <c r="D190" s="6" t="s">
        <v>456</v>
      </c>
      <c r="E190" s="11" t="s">
        <v>55</v>
      </c>
      <c r="F190" s="11" t="s">
        <v>56</v>
      </c>
      <c r="G190" s="11" t="s">
        <v>1376</v>
      </c>
      <c r="H190" s="11" t="s">
        <v>12</v>
      </c>
      <c r="I190" s="20">
        <v>147.1</v>
      </c>
      <c r="J190" s="20" t="s">
        <v>106</v>
      </c>
      <c r="K190" s="14">
        <f>I190/30/10*10</f>
        <v>4.9033333333333333</v>
      </c>
      <c r="L190" s="14">
        <v>50</v>
      </c>
      <c r="M190" s="8"/>
      <c r="N190" s="8"/>
    </row>
    <row r="191" spans="1:14" ht="22.5">
      <c r="A191" s="9" t="s">
        <v>1919</v>
      </c>
      <c r="B191" s="6" t="s">
        <v>454</v>
      </c>
      <c r="C191" s="6" t="s">
        <v>455</v>
      </c>
      <c r="D191" s="6" t="s">
        <v>456</v>
      </c>
      <c r="E191" s="11" t="s">
        <v>55</v>
      </c>
      <c r="F191" s="11" t="s">
        <v>319</v>
      </c>
      <c r="G191" s="11" t="s">
        <v>1376</v>
      </c>
      <c r="H191" s="11" t="s">
        <v>12</v>
      </c>
      <c r="I191" s="20">
        <v>289</v>
      </c>
      <c r="J191" s="20" t="s">
        <v>106</v>
      </c>
      <c r="K191" s="14">
        <f>I191/30/20*10</f>
        <v>4.8166666666666664</v>
      </c>
      <c r="L191" s="14">
        <v>50</v>
      </c>
      <c r="M191" s="8"/>
      <c r="N191" s="8"/>
    </row>
    <row r="192" spans="1:14" ht="22.5">
      <c r="A192" s="9" t="s">
        <v>457</v>
      </c>
      <c r="B192" s="6" t="s">
        <v>454</v>
      </c>
      <c r="C192" s="6" t="s">
        <v>455</v>
      </c>
      <c r="D192" s="6" t="s">
        <v>458</v>
      </c>
      <c r="E192" s="11" t="s">
        <v>55</v>
      </c>
      <c r="F192" s="11" t="s">
        <v>56</v>
      </c>
      <c r="G192" s="11" t="s">
        <v>20</v>
      </c>
      <c r="H192" s="11" t="s">
        <v>12</v>
      </c>
      <c r="I192" s="20">
        <v>147.1</v>
      </c>
      <c r="J192" s="20" t="s">
        <v>106</v>
      </c>
      <c r="K192" s="14">
        <f>I192/30/10*10</f>
        <v>4.9033333333333333</v>
      </c>
      <c r="L192" s="14">
        <v>50</v>
      </c>
      <c r="M192" s="6"/>
      <c r="N192" s="6"/>
    </row>
    <row r="193" spans="1:14" ht="22.5">
      <c r="A193" s="9" t="s">
        <v>459</v>
      </c>
      <c r="B193" s="6" t="s">
        <v>454</v>
      </c>
      <c r="C193" s="6" t="s">
        <v>455</v>
      </c>
      <c r="D193" s="6" t="s">
        <v>458</v>
      </c>
      <c r="E193" s="11" t="s">
        <v>55</v>
      </c>
      <c r="F193" s="11" t="s">
        <v>319</v>
      </c>
      <c r="G193" s="11" t="s">
        <v>20</v>
      </c>
      <c r="H193" s="11" t="s">
        <v>12</v>
      </c>
      <c r="I193" s="20">
        <v>289</v>
      </c>
      <c r="J193" s="20" t="s">
        <v>106</v>
      </c>
      <c r="K193" s="14">
        <f>I193/30/20*10</f>
        <v>4.8166666666666664</v>
      </c>
      <c r="L193" s="14">
        <v>50</v>
      </c>
      <c r="M193" s="6"/>
      <c r="N193" s="6"/>
    </row>
    <row r="194" spans="1:14" ht="22.5">
      <c r="A194" s="9" t="s">
        <v>460</v>
      </c>
      <c r="B194" s="6" t="s">
        <v>454</v>
      </c>
      <c r="C194" s="6" t="s">
        <v>455</v>
      </c>
      <c r="D194" s="6" t="s">
        <v>1815</v>
      </c>
      <c r="E194" s="11" t="s">
        <v>55</v>
      </c>
      <c r="F194" s="11" t="s">
        <v>411</v>
      </c>
      <c r="G194" s="11" t="s">
        <v>1538</v>
      </c>
      <c r="H194" s="11" t="s">
        <v>1002</v>
      </c>
      <c r="I194" s="20">
        <v>98</v>
      </c>
      <c r="J194" s="20" t="s">
        <v>106</v>
      </c>
      <c r="K194" s="14">
        <f>I194/20/10*10</f>
        <v>4.9000000000000004</v>
      </c>
      <c r="L194" s="14">
        <v>50</v>
      </c>
      <c r="M194" s="6"/>
      <c r="N194" s="6"/>
    </row>
    <row r="195" spans="1:14" ht="22.5">
      <c r="A195" s="9" t="s">
        <v>461</v>
      </c>
      <c r="B195" s="6" t="s">
        <v>454</v>
      </c>
      <c r="C195" s="6" t="s">
        <v>455</v>
      </c>
      <c r="D195" s="6" t="s">
        <v>1815</v>
      </c>
      <c r="E195" s="11" t="s">
        <v>55</v>
      </c>
      <c r="F195" s="11" t="s">
        <v>312</v>
      </c>
      <c r="G195" s="11" t="s">
        <v>1538</v>
      </c>
      <c r="H195" s="11" t="s">
        <v>1002</v>
      </c>
      <c r="I195" s="20">
        <v>192.7</v>
      </c>
      <c r="J195" s="20" t="s">
        <v>106</v>
      </c>
      <c r="K195" s="14">
        <f>I195/20/20*10</f>
        <v>4.8174999999999999</v>
      </c>
      <c r="L195" s="14">
        <v>50</v>
      </c>
      <c r="M195" s="6"/>
      <c r="N195" s="6"/>
    </row>
    <row r="196" spans="1:14" ht="33.75">
      <c r="A196" s="9" t="s">
        <v>1920</v>
      </c>
      <c r="B196" s="6" t="s">
        <v>454</v>
      </c>
      <c r="C196" s="6" t="s">
        <v>455</v>
      </c>
      <c r="D196" s="6" t="s">
        <v>1375</v>
      </c>
      <c r="E196" s="11" t="s">
        <v>55</v>
      </c>
      <c r="F196" s="11" t="s">
        <v>2910</v>
      </c>
      <c r="G196" s="11" t="s">
        <v>1781</v>
      </c>
      <c r="H196" s="11" t="s">
        <v>43</v>
      </c>
      <c r="I196" s="20">
        <v>98</v>
      </c>
      <c r="J196" s="20" t="s">
        <v>106</v>
      </c>
      <c r="K196" s="14">
        <f>I196/20/10*10</f>
        <v>4.9000000000000004</v>
      </c>
      <c r="L196" s="14">
        <v>50</v>
      </c>
      <c r="M196" s="8"/>
      <c r="N196" s="8"/>
    </row>
    <row r="197" spans="1:14" ht="33.75">
      <c r="A197" s="9" t="s">
        <v>1921</v>
      </c>
      <c r="B197" s="6" t="s">
        <v>454</v>
      </c>
      <c r="C197" s="6" t="s">
        <v>455</v>
      </c>
      <c r="D197" s="6" t="s">
        <v>1375</v>
      </c>
      <c r="E197" s="11" t="s">
        <v>55</v>
      </c>
      <c r="F197" s="11" t="s">
        <v>2932</v>
      </c>
      <c r="G197" s="11" t="s">
        <v>1781</v>
      </c>
      <c r="H197" s="11" t="s">
        <v>43</v>
      </c>
      <c r="I197" s="20">
        <v>192.7</v>
      </c>
      <c r="J197" s="20" t="s">
        <v>106</v>
      </c>
      <c r="K197" s="14">
        <f>I197/20/20*10</f>
        <v>4.8174999999999999</v>
      </c>
      <c r="L197" s="14">
        <v>50</v>
      </c>
      <c r="M197" s="8"/>
      <c r="N197" s="8"/>
    </row>
    <row r="198" spans="1:14" ht="33.75">
      <c r="A198" s="35" t="s">
        <v>2509</v>
      </c>
      <c r="B198" s="29" t="s">
        <v>454</v>
      </c>
      <c r="C198" s="8" t="s">
        <v>455</v>
      </c>
      <c r="D198" s="36" t="s">
        <v>2510</v>
      </c>
      <c r="E198" s="5" t="s">
        <v>55</v>
      </c>
      <c r="F198" s="5" t="s">
        <v>56</v>
      </c>
      <c r="G198" s="5" t="s">
        <v>2511</v>
      </c>
      <c r="H198" s="5" t="s">
        <v>2512</v>
      </c>
      <c r="I198" s="19">
        <v>147.1</v>
      </c>
      <c r="J198" s="19" t="s">
        <v>106</v>
      </c>
      <c r="K198" s="19">
        <f>I198/30/10*10</f>
        <v>4.9033333333333333</v>
      </c>
      <c r="L198" s="14">
        <v>50</v>
      </c>
      <c r="M198" s="6"/>
      <c r="N198" s="6"/>
    </row>
    <row r="199" spans="1:14" ht="33.75">
      <c r="A199" s="35" t="s">
        <v>2513</v>
      </c>
      <c r="B199" s="29" t="s">
        <v>454</v>
      </c>
      <c r="C199" s="8" t="s">
        <v>455</v>
      </c>
      <c r="D199" s="36" t="s">
        <v>2510</v>
      </c>
      <c r="E199" s="5" t="s">
        <v>55</v>
      </c>
      <c r="F199" s="5" t="s">
        <v>319</v>
      </c>
      <c r="G199" s="5" t="s">
        <v>2511</v>
      </c>
      <c r="H199" s="5" t="s">
        <v>2512</v>
      </c>
      <c r="I199" s="19">
        <v>289</v>
      </c>
      <c r="J199" s="19" t="s">
        <v>106</v>
      </c>
      <c r="K199" s="19">
        <f>I199/30/20*10</f>
        <v>4.8166666666666664</v>
      </c>
      <c r="L199" s="14">
        <v>50</v>
      </c>
      <c r="M199" s="6"/>
      <c r="N199" s="6"/>
    </row>
    <row r="200" spans="1:14" ht="56.25">
      <c r="A200" s="9" t="s">
        <v>464</v>
      </c>
      <c r="B200" s="6" t="s">
        <v>462</v>
      </c>
      <c r="C200" s="6" t="s">
        <v>463</v>
      </c>
      <c r="D200" s="6" t="s">
        <v>465</v>
      </c>
      <c r="E200" s="11" t="s">
        <v>55</v>
      </c>
      <c r="F200" s="11" t="s">
        <v>411</v>
      </c>
      <c r="G200" s="11" t="s">
        <v>2933</v>
      </c>
      <c r="H200" s="11" t="s">
        <v>2674</v>
      </c>
      <c r="I200" s="20">
        <v>96.8</v>
      </c>
      <c r="J200" s="20" t="s">
        <v>106</v>
      </c>
      <c r="K200" s="14">
        <f>I200/20/10*10</f>
        <v>4.84</v>
      </c>
      <c r="L200" s="14">
        <v>50</v>
      </c>
      <c r="M200" s="6"/>
      <c r="N200" s="6"/>
    </row>
    <row r="201" spans="1:14" ht="56.25">
      <c r="A201" s="9" t="s">
        <v>466</v>
      </c>
      <c r="B201" s="6" t="s">
        <v>462</v>
      </c>
      <c r="C201" s="6" t="s">
        <v>463</v>
      </c>
      <c r="D201" s="6" t="s">
        <v>465</v>
      </c>
      <c r="E201" s="11" t="s">
        <v>55</v>
      </c>
      <c r="F201" s="11" t="s">
        <v>312</v>
      </c>
      <c r="G201" s="11" t="s">
        <v>2933</v>
      </c>
      <c r="H201" s="11" t="s">
        <v>2674</v>
      </c>
      <c r="I201" s="20">
        <v>195.9</v>
      </c>
      <c r="J201" s="20" t="s">
        <v>106</v>
      </c>
      <c r="K201" s="14">
        <f>I201/20/20*10</f>
        <v>4.8975</v>
      </c>
      <c r="L201" s="14">
        <v>50</v>
      </c>
      <c r="M201" s="6"/>
      <c r="N201" s="6"/>
    </row>
    <row r="202" spans="1:14" ht="56.25">
      <c r="A202" s="9" t="s">
        <v>467</v>
      </c>
      <c r="B202" s="6" t="s">
        <v>462</v>
      </c>
      <c r="C202" s="6" t="s">
        <v>463</v>
      </c>
      <c r="D202" s="6" t="s">
        <v>465</v>
      </c>
      <c r="E202" s="11" t="s">
        <v>55</v>
      </c>
      <c r="F202" s="11" t="s">
        <v>56</v>
      </c>
      <c r="G202" s="11" t="s">
        <v>2933</v>
      </c>
      <c r="H202" s="11" t="s">
        <v>2674</v>
      </c>
      <c r="I202" s="20">
        <v>145.19999999999999</v>
      </c>
      <c r="J202" s="20" t="s">
        <v>106</v>
      </c>
      <c r="K202" s="14">
        <f>I202/30/10*10</f>
        <v>4.84</v>
      </c>
      <c r="L202" s="14">
        <v>50</v>
      </c>
      <c r="M202" s="6"/>
      <c r="N202" s="6"/>
    </row>
    <row r="203" spans="1:14" ht="56.25">
      <c r="A203" s="9" t="s">
        <v>468</v>
      </c>
      <c r="B203" s="6" t="s">
        <v>462</v>
      </c>
      <c r="C203" s="6" t="s">
        <v>463</v>
      </c>
      <c r="D203" s="6" t="s">
        <v>465</v>
      </c>
      <c r="E203" s="11" t="s">
        <v>55</v>
      </c>
      <c r="F203" s="11" t="s">
        <v>319</v>
      </c>
      <c r="G203" s="11" t="s">
        <v>2933</v>
      </c>
      <c r="H203" s="11" t="s">
        <v>2674</v>
      </c>
      <c r="I203" s="20">
        <v>293.89999999999998</v>
      </c>
      <c r="J203" s="20" t="s">
        <v>106</v>
      </c>
      <c r="K203" s="14">
        <f>I203/30/20*10</f>
        <v>4.8983333333333325</v>
      </c>
      <c r="L203" s="14">
        <v>50</v>
      </c>
      <c r="M203" s="6"/>
      <c r="N203" s="6"/>
    </row>
    <row r="204" spans="1:14">
      <c r="A204" s="9" t="s">
        <v>1377</v>
      </c>
      <c r="B204" s="6" t="s">
        <v>462</v>
      </c>
      <c r="C204" s="6" t="s">
        <v>463</v>
      </c>
      <c r="D204" s="6" t="s">
        <v>1378</v>
      </c>
      <c r="E204" s="11" t="s">
        <v>55</v>
      </c>
      <c r="F204" s="11" t="s">
        <v>1379</v>
      </c>
      <c r="G204" s="11" t="s">
        <v>2976</v>
      </c>
      <c r="H204" s="11" t="s">
        <v>39</v>
      </c>
      <c r="I204" s="20">
        <v>87.2</v>
      </c>
      <c r="J204" s="20" t="s">
        <v>106</v>
      </c>
      <c r="K204" s="14">
        <f>I204/30/5*10</f>
        <v>5.8133333333333335</v>
      </c>
      <c r="L204" s="14">
        <v>50</v>
      </c>
      <c r="M204" s="90"/>
      <c r="N204" s="6"/>
    </row>
    <row r="205" spans="1:14">
      <c r="A205" s="9" t="s">
        <v>1381</v>
      </c>
      <c r="B205" s="6" t="s">
        <v>462</v>
      </c>
      <c r="C205" s="6" t="s">
        <v>463</v>
      </c>
      <c r="D205" s="6" t="s">
        <v>1378</v>
      </c>
      <c r="E205" s="11" t="s">
        <v>55</v>
      </c>
      <c r="F205" s="11" t="s">
        <v>316</v>
      </c>
      <c r="G205" s="11" t="s">
        <v>2976</v>
      </c>
      <c r="H205" s="11" t="s">
        <v>39</v>
      </c>
      <c r="I205" s="20">
        <v>293.89999999999998</v>
      </c>
      <c r="J205" s="20" t="s">
        <v>106</v>
      </c>
      <c r="K205" s="14">
        <f>I205/30/20*10</f>
        <v>4.8983333333333325</v>
      </c>
      <c r="L205" s="14">
        <v>50</v>
      </c>
      <c r="M205" s="90"/>
      <c r="N205" s="6"/>
    </row>
    <row r="206" spans="1:14" ht="22.5">
      <c r="A206" s="9" t="s">
        <v>1382</v>
      </c>
      <c r="B206" s="6" t="s">
        <v>462</v>
      </c>
      <c r="C206" s="6" t="s">
        <v>463</v>
      </c>
      <c r="D206" s="6" t="s">
        <v>1383</v>
      </c>
      <c r="E206" s="11" t="s">
        <v>55</v>
      </c>
      <c r="F206" s="11" t="s">
        <v>286</v>
      </c>
      <c r="G206" s="11" t="s">
        <v>1384</v>
      </c>
      <c r="H206" s="11" t="s">
        <v>101</v>
      </c>
      <c r="I206" s="20">
        <v>58.1</v>
      </c>
      <c r="J206" s="20" t="s">
        <v>106</v>
      </c>
      <c r="K206" s="14">
        <f>I206/20/5*10</f>
        <v>5.8100000000000005</v>
      </c>
      <c r="L206" s="14">
        <v>50</v>
      </c>
      <c r="M206" s="90"/>
      <c r="N206" s="6"/>
    </row>
    <row r="207" spans="1:14" ht="22.5">
      <c r="A207" s="9" t="s">
        <v>1385</v>
      </c>
      <c r="B207" s="6" t="s">
        <v>462</v>
      </c>
      <c r="C207" s="6" t="s">
        <v>463</v>
      </c>
      <c r="D207" s="6" t="s">
        <v>1383</v>
      </c>
      <c r="E207" s="11" t="s">
        <v>55</v>
      </c>
      <c r="F207" s="11" t="s">
        <v>411</v>
      </c>
      <c r="G207" s="11" t="s">
        <v>1384</v>
      </c>
      <c r="H207" s="11" t="s">
        <v>101</v>
      </c>
      <c r="I207" s="20">
        <v>71.7</v>
      </c>
      <c r="J207" s="20" t="s">
        <v>106</v>
      </c>
      <c r="K207" s="14">
        <f>I207/20/10*10</f>
        <v>3.585</v>
      </c>
      <c r="L207" s="14">
        <v>50</v>
      </c>
      <c r="M207" s="90"/>
      <c r="N207" s="6"/>
    </row>
    <row r="208" spans="1:14" ht="22.5">
      <c r="A208" s="9" t="s">
        <v>1386</v>
      </c>
      <c r="B208" s="6" t="s">
        <v>462</v>
      </c>
      <c r="C208" s="6" t="s">
        <v>463</v>
      </c>
      <c r="D208" s="6" t="s">
        <v>1383</v>
      </c>
      <c r="E208" s="11" t="s">
        <v>55</v>
      </c>
      <c r="F208" s="11" t="s">
        <v>312</v>
      </c>
      <c r="G208" s="11" t="s">
        <v>1384</v>
      </c>
      <c r="H208" s="11" t="s">
        <v>101</v>
      </c>
      <c r="I208" s="20">
        <v>195.9</v>
      </c>
      <c r="J208" s="20" t="s">
        <v>106</v>
      </c>
      <c r="K208" s="14">
        <f>I208/20/20*10</f>
        <v>4.8975</v>
      </c>
      <c r="L208" s="14">
        <v>50</v>
      </c>
      <c r="M208" s="90"/>
      <c r="N208" s="6"/>
    </row>
    <row r="209" spans="1:14">
      <c r="A209" s="9" t="s">
        <v>1757</v>
      </c>
      <c r="B209" s="6" t="s">
        <v>462</v>
      </c>
      <c r="C209" s="6" t="s">
        <v>463</v>
      </c>
      <c r="D209" s="6" t="s">
        <v>1758</v>
      </c>
      <c r="E209" s="11" t="s">
        <v>55</v>
      </c>
      <c r="F209" s="11" t="s">
        <v>56</v>
      </c>
      <c r="G209" s="11" t="s">
        <v>1755</v>
      </c>
      <c r="H209" s="11" t="s">
        <v>1732</v>
      </c>
      <c r="I209" s="20">
        <v>107.6</v>
      </c>
      <c r="J209" s="20" t="s">
        <v>106</v>
      </c>
      <c r="K209" s="14">
        <f>+I209/30/10*10</f>
        <v>3.5866666666666664</v>
      </c>
      <c r="L209" s="14">
        <v>50</v>
      </c>
      <c r="M209" s="90"/>
      <c r="N209" s="6"/>
    </row>
    <row r="210" spans="1:14">
      <c r="A210" s="9" t="s">
        <v>1759</v>
      </c>
      <c r="B210" s="6" t="s">
        <v>462</v>
      </c>
      <c r="C210" s="6" t="s">
        <v>463</v>
      </c>
      <c r="D210" s="6" t="s">
        <v>1758</v>
      </c>
      <c r="E210" s="11" t="s">
        <v>55</v>
      </c>
      <c r="F210" s="11" t="s">
        <v>319</v>
      </c>
      <c r="G210" s="11" t="s">
        <v>1755</v>
      </c>
      <c r="H210" s="11" t="s">
        <v>1732</v>
      </c>
      <c r="I210" s="20">
        <v>293.89999999999998</v>
      </c>
      <c r="J210" s="20" t="s">
        <v>106</v>
      </c>
      <c r="K210" s="14">
        <f>+I210/30/20*10</f>
        <v>4.8983333333333325</v>
      </c>
      <c r="L210" s="14">
        <v>50</v>
      </c>
      <c r="M210" s="90"/>
      <c r="N210" s="6"/>
    </row>
    <row r="211" spans="1:14">
      <c r="A211" s="37" t="s">
        <v>2456</v>
      </c>
      <c r="B211" s="8" t="s">
        <v>462</v>
      </c>
      <c r="C211" s="8" t="s">
        <v>463</v>
      </c>
      <c r="D211" s="8" t="s">
        <v>1378</v>
      </c>
      <c r="E211" s="5" t="s">
        <v>55</v>
      </c>
      <c r="F211" s="15" t="s">
        <v>56</v>
      </c>
      <c r="G211" s="11" t="s">
        <v>2976</v>
      </c>
      <c r="H211" s="5" t="s">
        <v>39</v>
      </c>
      <c r="I211" s="19">
        <v>107.6</v>
      </c>
      <c r="J211" s="21" t="s">
        <v>106</v>
      </c>
      <c r="K211" s="19">
        <f>I211/30/10*10</f>
        <v>3.5866666666666664</v>
      </c>
      <c r="L211" s="14">
        <v>50</v>
      </c>
      <c r="M211" s="90"/>
      <c r="N211" s="6"/>
    </row>
    <row r="212" spans="1:14" ht="22.5">
      <c r="A212" s="9" t="s">
        <v>475</v>
      </c>
      <c r="B212" s="6" t="s">
        <v>469</v>
      </c>
      <c r="C212" s="6" t="s">
        <v>470</v>
      </c>
      <c r="D212" s="6" t="s">
        <v>474</v>
      </c>
      <c r="E212" s="11" t="s">
        <v>55</v>
      </c>
      <c r="F212" s="11" t="s">
        <v>266</v>
      </c>
      <c r="G212" s="11" t="s">
        <v>23</v>
      </c>
      <c r="H212" s="11" t="s">
        <v>12</v>
      </c>
      <c r="I212" s="20">
        <v>201</v>
      </c>
      <c r="J212" s="20" t="s">
        <v>472</v>
      </c>
      <c r="K212" s="14">
        <f>I212/30/5*2.5</f>
        <v>3.35</v>
      </c>
      <c r="L212" s="14">
        <v>50</v>
      </c>
      <c r="M212" s="6"/>
      <c r="N212" s="6"/>
    </row>
    <row r="213" spans="1:14">
      <c r="A213" s="9" t="s">
        <v>476</v>
      </c>
      <c r="B213" s="6" t="s">
        <v>469</v>
      </c>
      <c r="C213" s="6" t="s">
        <v>470</v>
      </c>
      <c r="D213" s="6" t="s">
        <v>477</v>
      </c>
      <c r="E213" s="11" t="s">
        <v>55</v>
      </c>
      <c r="F213" s="11" t="s">
        <v>2135</v>
      </c>
      <c r="G213" s="11" t="s">
        <v>3017</v>
      </c>
      <c r="H213" s="11" t="s">
        <v>242</v>
      </c>
      <c r="I213" s="20">
        <v>107.7</v>
      </c>
      <c r="J213" s="20" t="s">
        <v>472</v>
      </c>
      <c r="K213" s="14">
        <f>I213/28/2.5*2.5</f>
        <v>3.8464285714285715</v>
      </c>
      <c r="L213" s="14">
        <v>50</v>
      </c>
      <c r="M213" s="6"/>
      <c r="N213" s="6"/>
    </row>
    <row r="214" spans="1:14">
      <c r="A214" s="9" t="s">
        <v>478</v>
      </c>
      <c r="B214" s="6" t="s">
        <v>469</v>
      </c>
      <c r="C214" s="6" t="s">
        <v>470</v>
      </c>
      <c r="D214" s="6" t="s">
        <v>477</v>
      </c>
      <c r="E214" s="11" t="s">
        <v>55</v>
      </c>
      <c r="F214" s="11" t="s">
        <v>2136</v>
      </c>
      <c r="G214" s="11" t="s">
        <v>3017</v>
      </c>
      <c r="H214" s="11" t="s">
        <v>242</v>
      </c>
      <c r="I214" s="20">
        <v>187.6</v>
      </c>
      <c r="J214" s="20" t="s">
        <v>472</v>
      </c>
      <c r="K214" s="14">
        <f>I214/28/5*2.5</f>
        <v>3.35</v>
      </c>
      <c r="L214" s="14">
        <v>50</v>
      </c>
      <c r="M214" s="6"/>
      <c r="N214" s="6"/>
    </row>
    <row r="215" spans="1:14">
      <c r="A215" s="9" t="s">
        <v>479</v>
      </c>
      <c r="B215" s="6" t="s">
        <v>469</v>
      </c>
      <c r="C215" s="6" t="s">
        <v>470</v>
      </c>
      <c r="D215" s="6" t="s">
        <v>477</v>
      </c>
      <c r="E215" s="11" t="s">
        <v>55</v>
      </c>
      <c r="F215" s="11" t="s">
        <v>486</v>
      </c>
      <c r="G215" s="11" t="s">
        <v>3017</v>
      </c>
      <c r="H215" s="11" t="s">
        <v>242</v>
      </c>
      <c r="I215" s="20">
        <v>269.10000000000002</v>
      </c>
      <c r="J215" s="20" t="s">
        <v>472</v>
      </c>
      <c r="K215" s="14">
        <f>I215/28/10*2.5</f>
        <v>2.4026785714285714</v>
      </c>
      <c r="L215" s="14">
        <v>50</v>
      </c>
      <c r="M215" s="6"/>
      <c r="N215" s="6"/>
    </row>
    <row r="216" spans="1:14" ht="33.75">
      <c r="A216" s="9" t="s">
        <v>480</v>
      </c>
      <c r="B216" s="6" t="s">
        <v>469</v>
      </c>
      <c r="C216" s="6" t="s">
        <v>470</v>
      </c>
      <c r="D216" s="6" t="s">
        <v>481</v>
      </c>
      <c r="E216" s="11" t="s">
        <v>55</v>
      </c>
      <c r="F216" s="11" t="s">
        <v>482</v>
      </c>
      <c r="G216" s="34" t="s">
        <v>2982</v>
      </c>
      <c r="H216" s="34" t="s">
        <v>2983</v>
      </c>
      <c r="I216" s="20">
        <v>85.7</v>
      </c>
      <c r="J216" s="20" t="s">
        <v>472</v>
      </c>
      <c r="K216" s="14">
        <f>I216/28/1.25*2.5</f>
        <v>6.1214285714285719</v>
      </c>
      <c r="L216" s="14">
        <v>50</v>
      </c>
      <c r="M216" s="6"/>
      <c r="N216" s="6"/>
    </row>
    <row r="217" spans="1:14" ht="33.75">
      <c r="A217" s="9" t="s">
        <v>483</v>
      </c>
      <c r="B217" s="6" t="s">
        <v>469</v>
      </c>
      <c r="C217" s="6" t="s">
        <v>470</v>
      </c>
      <c r="D217" s="6" t="s">
        <v>481</v>
      </c>
      <c r="E217" s="11" t="s">
        <v>55</v>
      </c>
      <c r="F217" s="11" t="s">
        <v>471</v>
      </c>
      <c r="G217" s="34" t="s">
        <v>2982</v>
      </c>
      <c r="H217" s="34" t="s">
        <v>2983</v>
      </c>
      <c r="I217" s="20">
        <v>107.7</v>
      </c>
      <c r="J217" s="20" t="s">
        <v>472</v>
      </c>
      <c r="K217" s="14">
        <f>I217/28/2.5*2.5</f>
        <v>3.8464285714285715</v>
      </c>
      <c r="L217" s="14">
        <v>50</v>
      </c>
      <c r="M217" s="6"/>
      <c r="N217" s="6"/>
    </row>
    <row r="218" spans="1:14" ht="33.75">
      <c r="A218" s="9" t="s">
        <v>484</v>
      </c>
      <c r="B218" s="6" t="s">
        <v>469</v>
      </c>
      <c r="C218" s="6" t="s">
        <v>470</v>
      </c>
      <c r="D218" s="6" t="s">
        <v>481</v>
      </c>
      <c r="E218" s="11" t="s">
        <v>55</v>
      </c>
      <c r="F218" s="11" t="s">
        <v>473</v>
      </c>
      <c r="G218" s="34" t="s">
        <v>3051</v>
      </c>
      <c r="H218" s="34" t="s">
        <v>3052</v>
      </c>
      <c r="I218" s="20">
        <v>187.6</v>
      </c>
      <c r="J218" s="20" t="s">
        <v>472</v>
      </c>
      <c r="K218" s="14">
        <f>I218/28/5*2.5</f>
        <v>3.35</v>
      </c>
      <c r="L218" s="14">
        <v>50</v>
      </c>
      <c r="M218" s="6"/>
      <c r="N218" s="6"/>
    </row>
    <row r="219" spans="1:14" ht="33.75">
      <c r="A219" s="9" t="s">
        <v>485</v>
      </c>
      <c r="B219" s="6" t="s">
        <v>469</v>
      </c>
      <c r="C219" s="6" t="s">
        <v>470</v>
      </c>
      <c r="D219" s="6" t="s">
        <v>481</v>
      </c>
      <c r="E219" s="11" t="s">
        <v>55</v>
      </c>
      <c r="F219" s="11" t="s">
        <v>486</v>
      </c>
      <c r="G219" s="34" t="s">
        <v>3053</v>
      </c>
      <c r="H219" s="34" t="s">
        <v>3052</v>
      </c>
      <c r="I219" s="20">
        <v>269.10000000000002</v>
      </c>
      <c r="J219" s="20" t="s">
        <v>472</v>
      </c>
      <c r="K219" s="14">
        <f>I219/28/10*2.5</f>
        <v>2.4026785714285714</v>
      </c>
      <c r="L219" s="14">
        <v>50</v>
      </c>
      <c r="M219" s="6"/>
      <c r="N219" s="6"/>
    </row>
    <row r="220" spans="1:14" ht="22.5">
      <c r="A220" s="40" t="s">
        <v>1494</v>
      </c>
      <c r="B220" s="40" t="s">
        <v>469</v>
      </c>
      <c r="C220" s="40" t="s">
        <v>470</v>
      </c>
      <c r="D220" s="40" t="s">
        <v>487</v>
      </c>
      <c r="E220" s="14" t="s">
        <v>55</v>
      </c>
      <c r="F220" s="14" t="s">
        <v>373</v>
      </c>
      <c r="G220" s="14" t="s">
        <v>1495</v>
      </c>
      <c r="H220" s="14" t="s">
        <v>43</v>
      </c>
      <c r="I220" s="20">
        <v>115.4</v>
      </c>
      <c r="J220" s="20" t="s">
        <v>472</v>
      </c>
      <c r="K220" s="14">
        <f>I220/30/2.5*2.5</f>
        <v>3.8466666666666667</v>
      </c>
      <c r="L220" s="14">
        <v>50</v>
      </c>
      <c r="M220" s="6"/>
      <c r="N220" s="6"/>
    </row>
    <row r="221" spans="1:14" ht="22.5">
      <c r="A221" s="6" t="s">
        <v>1497</v>
      </c>
      <c r="B221" s="40" t="s">
        <v>469</v>
      </c>
      <c r="C221" s="40" t="s">
        <v>470</v>
      </c>
      <c r="D221" s="40" t="s">
        <v>487</v>
      </c>
      <c r="E221" s="14" t="s">
        <v>55</v>
      </c>
      <c r="F221" s="14" t="s">
        <v>266</v>
      </c>
      <c r="G221" s="14" t="s">
        <v>1495</v>
      </c>
      <c r="H221" s="14" t="s">
        <v>43</v>
      </c>
      <c r="I221" s="20">
        <v>201</v>
      </c>
      <c r="J221" s="20" t="s">
        <v>472</v>
      </c>
      <c r="K221" s="14">
        <f>I221/30/5*2.5</f>
        <v>3.35</v>
      </c>
      <c r="L221" s="14">
        <v>50</v>
      </c>
      <c r="M221" s="6"/>
      <c r="N221" s="6"/>
    </row>
    <row r="222" spans="1:14" ht="22.5">
      <c r="A222" s="6" t="s">
        <v>1498</v>
      </c>
      <c r="B222" s="40" t="s">
        <v>469</v>
      </c>
      <c r="C222" s="40" t="s">
        <v>470</v>
      </c>
      <c r="D222" s="40" t="s">
        <v>487</v>
      </c>
      <c r="E222" s="14" t="s">
        <v>55</v>
      </c>
      <c r="F222" s="14" t="s">
        <v>56</v>
      </c>
      <c r="G222" s="14" t="s">
        <v>1495</v>
      </c>
      <c r="H222" s="14" t="s">
        <v>43</v>
      </c>
      <c r="I222" s="20">
        <v>288.3</v>
      </c>
      <c r="J222" s="14" t="s">
        <v>1496</v>
      </c>
      <c r="K222" s="14">
        <f>I222/30/10*2.5</f>
        <v>2.4025000000000003</v>
      </c>
      <c r="L222" s="14">
        <v>50</v>
      </c>
      <c r="M222" s="6"/>
      <c r="N222" s="6"/>
    </row>
    <row r="223" spans="1:14" ht="22.5">
      <c r="A223" s="6" t="s">
        <v>1483</v>
      </c>
      <c r="B223" s="40" t="s">
        <v>469</v>
      </c>
      <c r="C223" s="40" t="s">
        <v>470</v>
      </c>
      <c r="D223" s="40" t="s">
        <v>1462</v>
      </c>
      <c r="E223" s="14" t="s">
        <v>55</v>
      </c>
      <c r="F223" s="14" t="s">
        <v>471</v>
      </c>
      <c r="G223" s="14" t="s">
        <v>1463</v>
      </c>
      <c r="H223" s="14" t="s">
        <v>12</v>
      </c>
      <c r="I223" s="20">
        <v>107.7</v>
      </c>
      <c r="J223" s="14" t="s">
        <v>1421</v>
      </c>
      <c r="K223" s="14">
        <f>I223/28/2.5*2.5</f>
        <v>3.8464285714285715</v>
      </c>
      <c r="L223" s="14">
        <v>50</v>
      </c>
      <c r="M223" s="6"/>
      <c r="N223" s="6"/>
    </row>
    <row r="224" spans="1:14" ht="22.5">
      <c r="A224" s="6" t="s">
        <v>1484</v>
      </c>
      <c r="B224" s="40" t="s">
        <v>469</v>
      </c>
      <c r="C224" s="40" t="s">
        <v>470</v>
      </c>
      <c r="D224" s="40" t="s">
        <v>1462</v>
      </c>
      <c r="E224" s="14" t="s">
        <v>55</v>
      </c>
      <c r="F224" s="14" t="s">
        <v>473</v>
      </c>
      <c r="G224" s="14" t="s">
        <v>1463</v>
      </c>
      <c r="H224" s="14" t="s">
        <v>12</v>
      </c>
      <c r="I224" s="20">
        <v>187.6</v>
      </c>
      <c r="J224" s="14" t="s">
        <v>1421</v>
      </c>
      <c r="K224" s="14">
        <f>I224/28/5*2.5</f>
        <v>3.35</v>
      </c>
      <c r="L224" s="14">
        <v>50</v>
      </c>
      <c r="M224" s="6"/>
      <c r="N224" s="6"/>
    </row>
    <row r="225" spans="1:14" ht="22.5">
      <c r="A225" s="6" t="s">
        <v>1485</v>
      </c>
      <c r="B225" s="40" t="s">
        <v>469</v>
      </c>
      <c r="C225" s="40" t="s">
        <v>470</v>
      </c>
      <c r="D225" s="40" t="s">
        <v>1462</v>
      </c>
      <c r="E225" s="14" t="s">
        <v>55</v>
      </c>
      <c r="F225" s="14" t="s">
        <v>486</v>
      </c>
      <c r="G225" s="14" t="s">
        <v>1463</v>
      </c>
      <c r="H225" s="14" t="s">
        <v>12</v>
      </c>
      <c r="I225" s="20">
        <v>269.10000000000002</v>
      </c>
      <c r="J225" s="14" t="s">
        <v>1421</v>
      </c>
      <c r="K225" s="14">
        <f>I225/28/10*2.5</f>
        <v>2.4026785714285714</v>
      </c>
      <c r="L225" s="14">
        <v>50</v>
      </c>
      <c r="M225" s="6"/>
      <c r="N225" s="6"/>
    </row>
    <row r="226" spans="1:14" ht="33.75">
      <c r="A226" s="6" t="s">
        <v>1922</v>
      </c>
      <c r="B226" s="40" t="s">
        <v>469</v>
      </c>
      <c r="C226" s="40" t="s">
        <v>470</v>
      </c>
      <c r="D226" s="40" t="s">
        <v>1474</v>
      </c>
      <c r="E226" s="14" t="s">
        <v>55</v>
      </c>
      <c r="F226" s="14" t="s">
        <v>471</v>
      </c>
      <c r="G226" s="14" t="s">
        <v>2514</v>
      </c>
      <c r="H226" s="14" t="s">
        <v>2515</v>
      </c>
      <c r="I226" s="20">
        <v>107.7</v>
      </c>
      <c r="J226" s="14" t="s">
        <v>472</v>
      </c>
      <c r="K226" s="14">
        <f>I226/28/2.5*2.5</f>
        <v>3.8464285714285715</v>
      </c>
      <c r="L226" s="14">
        <v>50</v>
      </c>
      <c r="M226" s="6"/>
      <c r="N226" s="6"/>
    </row>
    <row r="227" spans="1:14" ht="33.75">
      <c r="A227" s="6" t="s">
        <v>1923</v>
      </c>
      <c r="B227" s="6" t="s">
        <v>469</v>
      </c>
      <c r="C227" s="40" t="s">
        <v>470</v>
      </c>
      <c r="D227" s="40" t="s">
        <v>1474</v>
      </c>
      <c r="E227" s="14" t="s">
        <v>55</v>
      </c>
      <c r="F227" s="14" t="s">
        <v>473</v>
      </c>
      <c r="G227" s="14" t="s">
        <v>2514</v>
      </c>
      <c r="H227" s="14" t="s">
        <v>2516</v>
      </c>
      <c r="I227" s="20">
        <v>187.6</v>
      </c>
      <c r="J227" s="14" t="s">
        <v>472</v>
      </c>
      <c r="K227" s="14">
        <f>I227/28/5*2.5</f>
        <v>3.35</v>
      </c>
      <c r="L227" s="14">
        <v>50</v>
      </c>
      <c r="M227" s="6"/>
      <c r="N227" s="6"/>
    </row>
    <row r="228" spans="1:14" ht="33.75">
      <c r="A228" s="9" t="s">
        <v>1387</v>
      </c>
      <c r="B228" s="6" t="s">
        <v>488</v>
      </c>
      <c r="C228" s="6" t="s">
        <v>489</v>
      </c>
      <c r="D228" s="6" t="s">
        <v>1388</v>
      </c>
      <c r="E228" s="11" t="s">
        <v>55</v>
      </c>
      <c r="F228" s="11" t="s">
        <v>1389</v>
      </c>
      <c r="G228" s="11" t="s">
        <v>24</v>
      </c>
      <c r="H228" s="11" t="s">
        <v>12</v>
      </c>
      <c r="I228" s="20">
        <v>262.39999999999998</v>
      </c>
      <c r="J228" s="20" t="s">
        <v>349</v>
      </c>
      <c r="K228" s="14">
        <f>I228/30</f>
        <v>8.7466666666666661</v>
      </c>
      <c r="L228" s="14">
        <v>50</v>
      </c>
      <c r="M228" s="6" t="s">
        <v>2171</v>
      </c>
      <c r="N228" s="6"/>
    </row>
    <row r="229" spans="1:14" ht="33.75">
      <c r="A229" s="9" t="s">
        <v>1390</v>
      </c>
      <c r="B229" s="6" t="s">
        <v>488</v>
      </c>
      <c r="C229" s="6" t="s">
        <v>489</v>
      </c>
      <c r="D229" s="6" t="s">
        <v>1391</v>
      </c>
      <c r="E229" s="11" t="s">
        <v>55</v>
      </c>
      <c r="F229" s="11" t="s">
        <v>1392</v>
      </c>
      <c r="G229" s="11" t="s">
        <v>24</v>
      </c>
      <c r="H229" s="11" t="s">
        <v>12</v>
      </c>
      <c r="I229" s="20">
        <v>219.9</v>
      </c>
      <c r="J229" s="20" t="s">
        <v>349</v>
      </c>
      <c r="K229" s="14">
        <f>I229/30</f>
        <v>7.33</v>
      </c>
      <c r="L229" s="14">
        <v>50</v>
      </c>
      <c r="M229" s="6" t="s">
        <v>2171</v>
      </c>
      <c r="N229" s="40"/>
    </row>
    <row r="230" spans="1:14" ht="45">
      <c r="A230" s="9" t="s">
        <v>492</v>
      </c>
      <c r="B230" s="6" t="s">
        <v>488</v>
      </c>
      <c r="C230" s="6" t="s">
        <v>489</v>
      </c>
      <c r="D230" s="6" t="s">
        <v>2977</v>
      </c>
      <c r="E230" s="11" t="s">
        <v>55</v>
      </c>
      <c r="F230" s="11" t="s">
        <v>491</v>
      </c>
      <c r="G230" s="11" t="s">
        <v>2978</v>
      </c>
      <c r="H230" s="11" t="s">
        <v>2979</v>
      </c>
      <c r="I230" s="20">
        <v>367.1</v>
      </c>
      <c r="J230" s="20" t="s">
        <v>349</v>
      </c>
      <c r="K230" s="14">
        <f>I230/30</f>
        <v>12.236666666666668</v>
      </c>
      <c r="L230" s="14">
        <v>50</v>
      </c>
      <c r="M230" s="6" t="s">
        <v>2171</v>
      </c>
      <c r="N230" s="6"/>
    </row>
    <row r="231" spans="1:14" ht="45">
      <c r="A231" s="9" t="s">
        <v>493</v>
      </c>
      <c r="B231" s="6" t="s">
        <v>488</v>
      </c>
      <c r="C231" s="6" t="s">
        <v>489</v>
      </c>
      <c r="D231" s="6" t="s">
        <v>2977</v>
      </c>
      <c r="E231" s="11" t="s">
        <v>55</v>
      </c>
      <c r="F231" s="11" t="s">
        <v>494</v>
      </c>
      <c r="G231" s="11" t="s">
        <v>2978</v>
      </c>
      <c r="H231" s="11" t="s">
        <v>2979</v>
      </c>
      <c r="I231" s="20">
        <v>327.2</v>
      </c>
      <c r="J231" s="20" t="s">
        <v>349</v>
      </c>
      <c r="K231" s="14">
        <f>I231/30</f>
        <v>10.906666666666666</v>
      </c>
      <c r="L231" s="14">
        <v>50</v>
      </c>
      <c r="M231" s="6" t="s">
        <v>2171</v>
      </c>
      <c r="N231" s="6"/>
    </row>
    <row r="232" spans="1:14" ht="33.75">
      <c r="A232" s="9" t="s">
        <v>1393</v>
      </c>
      <c r="B232" s="6" t="s">
        <v>488</v>
      </c>
      <c r="C232" s="6" t="s">
        <v>489</v>
      </c>
      <c r="D232" s="6" t="s">
        <v>1394</v>
      </c>
      <c r="E232" s="11" t="s">
        <v>55</v>
      </c>
      <c r="F232" s="11" t="s">
        <v>2943</v>
      </c>
      <c r="G232" s="11" t="s">
        <v>1781</v>
      </c>
      <c r="H232" s="11" t="s">
        <v>43</v>
      </c>
      <c r="I232" s="20">
        <v>174.9</v>
      </c>
      <c r="J232" s="20" t="s">
        <v>349</v>
      </c>
      <c r="K232" s="14">
        <f>I232/20</f>
        <v>8.745000000000001</v>
      </c>
      <c r="L232" s="14">
        <v>50</v>
      </c>
      <c r="M232" s="6" t="s">
        <v>2171</v>
      </c>
      <c r="N232" s="6"/>
    </row>
    <row r="233" spans="1:14" ht="33.75">
      <c r="A233" s="9" t="s">
        <v>1924</v>
      </c>
      <c r="B233" s="6" t="s">
        <v>488</v>
      </c>
      <c r="C233" s="6" t="s">
        <v>489</v>
      </c>
      <c r="D233" s="6" t="s">
        <v>1395</v>
      </c>
      <c r="E233" s="11" t="s">
        <v>55</v>
      </c>
      <c r="F233" s="11" t="s">
        <v>2944</v>
      </c>
      <c r="G233" s="11" t="s">
        <v>1781</v>
      </c>
      <c r="H233" s="11" t="s">
        <v>43</v>
      </c>
      <c r="I233" s="20">
        <v>146.6</v>
      </c>
      <c r="J233" s="20" t="s">
        <v>349</v>
      </c>
      <c r="K233" s="14">
        <f>I233/20</f>
        <v>7.33</v>
      </c>
      <c r="L233" s="14">
        <v>50</v>
      </c>
      <c r="M233" s="6" t="s">
        <v>2171</v>
      </c>
      <c r="N233" s="6"/>
    </row>
    <row r="234" spans="1:14" ht="33.75">
      <c r="A234" s="9" t="s">
        <v>495</v>
      </c>
      <c r="B234" s="6" t="s">
        <v>496</v>
      </c>
      <c r="C234" s="6" t="s">
        <v>497</v>
      </c>
      <c r="D234" s="6" t="s">
        <v>498</v>
      </c>
      <c r="E234" s="11" t="s">
        <v>55</v>
      </c>
      <c r="F234" s="11" t="s">
        <v>499</v>
      </c>
      <c r="G234" s="11" t="s">
        <v>100</v>
      </c>
      <c r="H234" s="11" t="s">
        <v>101</v>
      </c>
      <c r="I234" s="20">
        <v>123.1</v>
      </c>
      <c r="J234" s="20" t="s">
        <v>349</v>
      </c>
      <c r="K234" s="14">
        <f>I234/20</f>
        <v>6.1549999999999994</v>
      </c>
      <c r="L234" s="14">
        <v>50</v>
      </c>
      <c r="M234" s="6" t="s">
        <v>2172</v>
      </c>
      <c r="N234" s="6"/>
    </row>
    <row r="235" spans="1:14" ht="33.75">
      <c r="A235" s="9" t="s">
        <v>500</v>
      </c>
      <c r="B235" s="6" t="s">
        <v>496</v>
      </c>
      <c r="C235" s="6" t="s">
        <v>497</v>
      </c>
      <c r="D235" s="6" t="s">
        <v>498</v>
      </c>
      <c r="E235" s="11" t="s">
        <v>55</v>
      </c>
      <c r="F235" s="11" t="s">
        <v>490</v>
      </c>
      <c r="G235" s="11" t="s">
        <v>100</v>
      </c>
      <c r="H235" s="11" t="s">
        <v>101</v>
      </c>
      <c r="I235" s="20">
        <v>222.7</v>
      </c>
      <c r="J235" s="20" t="s">
        <v>349</v>
      </c>
      <c r="K235" s="14">
        <f>I235/20</f>
        <v>11.135</v>
      </c>
      <c r="L235" s="14">
        <v>50</v>
      </c>
      <c r="M235" s="6" t="s">
        <v>2172</v>
      </c>
      <c r="N235" s="6"/>
    </row>
    <row r="236" spans="1:14" ht="56.25">
      <c r="A236" s="9" t="s">
        <v>501</v>
      </c>
      <c r="B236" s="6" t="s">
        <v>496</v>
      </c>
      <c r="C236" s="6" t="s">
        <v>497</v>
      </c>
      <c r="D236" s="6" t="s">
        <v>502</v>
      </c>
      <c r="E236" s="11" t="s">
        <v>55</v>
      </c>
      <c r="F236" s="11" t="s">
        <v>491</v>
      </c>
      <c r="G236" s="11" t="s">
        <v>1530</v>
      </c>
      <c r="H236" s="11" t="s">
        <v>2674</v>
      </c>
      <c r="I236" s="20">
        <v>334.1</v>
      </c>
      <c r="J236" s="20" t="s">
        <v>349</v>
      </c>
      <c r="K236" s="14">
        <f>I236/30</f>
        <v>11.136666666666667</v>
      </c>
      <c r="L236" s="14">
        <v>50</v>
      </c>
      <c r="M236" s="6" t="s">
        <v>2172</v>
      </c>
      <c r="N236" s="6"/>
    </row>
    <row r="237" spans="1:14" ht="33.75">
      <c r="A237" s="9" t="s">
        <v>503</v>
      </c>
      <c r="B237" s="6" t="s">
        <v>496</v>
      </c>
      <c r="C237" s="6" t="s">
        <v>497</v>
      </c>
      <c r="D237" s="6" t="s">
        <v>504</v>
      </c>
      <c r="E237" s="11" t="s">
        <v>55</v>
      </c>
      <c r="F237" s="11" t="s">
        <v>505</v>
      </c>
      <c r="G237" s="11" t="s">
        <v>96</v>
      </c>
      <c r="H237" s="11" t="s">
        <v>39</v>
      </c>
      <c r="I237" s="20">
        <v>184.7</v>
      </c>
      <c r="J237" s="20" t="s">
        <v>349</v>
      </c>
      <c r="K237" s="14">
        <f>I237/30</f>
        <v>6.1566666666666663</v>
      </c>
      <c r="L237" s="14">
        <v>50</v>
      </c>
      <c r="M237" s="6" t="s">
        <v>2172</v>
      </c>
      <c r="N237" s="6"/>
    </row>
    <row r="238" spans="1:14" ht="33.75">
      <c r="A238" s="9" t="s">
        <v>506</v>
      </c>
      <c r="B238" s="6" t="s">
        <v>496</v>
      </c>
      <c r="C238" s="6" t="s">
        <v>497</v>
      </c>
      <c r="D238" s="6" t="s">
        <v>504</v>
      </c>
      <c r="E238" s="11" t="s">
        <v>55</v>
      </c>
      <c r="F238" s="11" t="s">
        <v>507</v>
      </c>
      <c r="G238" s="11" t="s">
        <v>96</v>
      </c>
      <c r="H238" s="11" t="s">
        <v>39</v>
      </c>
      <c r="I238" s="20">
        <v>413</v>
      </c>
      <c r="J238" s="20" t="s">
        <v>349</v>
      </c>
      <c r="K238" s="14">
        <f>I238/30</f>
        <v>13.766666666666667</v>
      </c>
      <c r="L238" s="14">
        <v>50</v>
      </c>
      <c r="M238" s="6" t="s">
        <v>2172</v>
      </c>
      <c r="N238" s="6"/>
    </row>
    <row r="239" spans="1:14" ht="33.75">
      <c r="A239" s="37" t="s">
        <v>2457</v>
      </c>
      <c r="B239" s="8" t="s">
        <v>496</v>
      </c>
      <c r="C239" s="7" t="s">
        <v>497</v>
      </c>
      <c r="D239" s="7" t="s">
        <v>504</v>
      </c>
      <c r="E239" s="12" t="s">
        <v>55</v>
      </c>
      <c r="F239" s="12" t="s">
        <v>491</v>
      </c>
      <c r="G239" s="12" t="s">
        <v>2458</v>
      </c>
      <c r="H239" s="12" t="s">
        <v>39</v>
      </c>
      <c r="I239" s="19">
        <v>334.1</v>
      </c>
      <c r="J239" s="19" t="s">
        <v>349</v>
      </c>
      <c r="K239" s="19">
        <f>I239/30</f>
        <v>11.136666666666667</v>
      </c>
      <c r="L239" s="14">
        <v>50</v>
      </c>
      <c r="M239" s="6" t="s">
        <v>2172</v>
      </c>
      <c r="N239" s="6"/>
    </row>
    <row r="240" spans="1:14" ht="33.75">
      <c r="A240" s="9" t="s">
        <v>508</v>
      </c>
      <c r="B240" s="6" t="s">
        <v>509</v>
      </c>
      <c r="C240" s="6" t="s">
        <v>510</v>
      </c>
      <c r="D240" s="6" t="s">
        <v>511</v>
      </c>
      <c r="E240" s="11" t="s">
        <v>55</v>
      </c>
      <c r="F240" s="11" t="s">
        <v>512</v>
      </c>
      <c r="G240" s="11" t="s">
        <v>1495</v>
      </c>
      <c r="H240" s="11" t="s">
        <v>43</v>
      </c>
      <c r="I240" s="20">
        <v>158.6</v>
      </c>
      <c r="J240" s="20" t="s">
        <v>349</v>
      </c>
      <c r="K240" s="14">
        <f t="shared" ref="K240:K249" si="0">I240/28</f>
        <v>5.6642857142857137</v>
      </c>
      <c r="L240" s="14">
        <v>50</v>
      </c>
      <c r="M240" s="6" t="s">
        <v>2172</v>
      </c>
      <c r="N240" s="6"/>
    </row>
    <row r="241" spans="1:14" ht="33.75">
      <c r="A241" s="9" t="s">
        <v>513</v>
      </c>
      <c r="B241" s="6" t="s">
        <v>509</v>
      </c>
      <c r="C241" s="6" t="s">
        <v>510</v>
      </c>
      <c r="D241" s="6" t="s">
        <v>514</v>
      </c>
      <c r="E241" s="11" t="s">
        <v>55</v>
      </c>
      <c r="F241" s="11" t="s">
        <v>522</v>
      </c>
      <c r="G241" s="11" t="s">
        <v>3017</v>
      </c>
      <c r="H241" s="11" t="s">
        <v>242</v>
      </c>
      <c r="I241" s="20">
        <v>158.6</v>
      </c>
      <c r="J241" s="20" t="s">
        <v>349</v>
      </c>
      <c r="K241" s="14">
        <f t="shared" si="0"/>
        <v>5.6642857142857137</v>
      </c>
      <c r="L241" s="14">
        <v>50</v>
      </c>
      <c r="M241" s="6" t="s">
        <v>2172</v>
      </c>
      <c r="N241" s="6"/>
    </row>
    <row r="242" spans="1:14" ht="33.75">
      <c r="A242" s="9" t="s">
        <v>515</v>
      </c>
      <c r="B242" s="6" t="s">
        <v>509</v>
      </c>
      <c r="C242" s="6" t="s">
        <v>510</v>
      </c>
      <c r="D242" s="6" t="s">
        <v>516</v>
      </c>
      <c r="E242" s="11" t="s">
        <v>55</v>
      </c>
      <c r="F242" s="11" t="s">
        <v>517</v>
      </c>
      <c r="G242" s="11" t="s">
        <v>3017</v>
      </c>
      <c r="H242" s="11" t="s">
        <v>242</v>
      </c>
      <c r="I242" s="20">
        <v>130.5</v>
      </c>
      <c r="J242" s="20" t="s">
        <v>349</v>
      </c>
      <c r="K242" s="14">
        <f t="shared" si="0"/>
        <v>4.6607142857142856</v>
      </c>
      <c r="L242" s="14">
        <v>50</v>
      </c>
      <c r="M242" s="6" t="s">
        <v>2172</v>
      </c>
      <c r="N242" s="6"/>
    </row>
    <row r="243" spans="1:14" ht="33.75">
      <c r="A243" s="9" t="s">
        <v>518</v>
      </c>
      <c r="B243" s="6" t="s">
        <v>509</v>
      </c>
      <c r="C243" s="6" t="s">
        <v>510</v>
      </c>
      <c r="D243" s="6" t="s">
        <v>519</v>
      </c>
      <c r="E243" s="11" t="s">
        <v>55</v>
      </c>
      <c r="F243" s="11" t="s">
        <v>517</v>
      </c>
      <c r="G243" s="34" t="s">
        <v>2984</v>
      </c>
      <c r="H243" s="34" t="s">
        <v>1573</v>
      </c>
      <c r="I243" s="20">
        <v>130.5</v>
      </c>
      <c r="J243" s="20" t="s">
        <v>349</v>
      </c>
      <c r="K243" s="14">
        <f t="shared" si="0"/>
        <v>4.6607142857142856</v>
      </c>
      <c r="L243" s="14">
        <v>50</v>
      </c>
      <c r="M243" s="6" t="s">
        <v>2172</v>
      </c>
      <c r="N243" s="6"/>
    </row>
    <row r="244" spans="1:14" ht="33.75">
      <c r="A244" s="9" t="s">
        <v>520</v>
      </c>
      <c r="B244" s="6" t="s">
        <v>509</v>
      </c>
      <c r="C244" s="6" t="s">
        <v>510</v>
      </c>
      <c r="D244" s="6" t="s">
        <v>521</v>
      </c>
      <c r="E244" s="11" t="s">
        <v>55</v>
      </c>
      <c r="F244" s="11" t="s">
        <v>522</v>
      </c>
      <c r="G244" s="34" t="s">
        <v>2985</v>
      </c>
      <c r="H244" s="34" t="s">
        <v>1573</v>
      </c>
      <c r="I244" s="20">
        <v>158.6</v>
      </c>
      <c r="J244" s="20" t="s">
        <v>349</v>
      </c>
      <c r="K244" s="14">
        <f t="shared" si="0"/>
        <v>5.6642857142857137</v>
      </c>
      <c r="L244" s="14">
        <v>50</v>
      </c>
      <c r="M244" s="6" t="s">
        <v>2172</v>
      </c>
      <c r="N244" s="6"/>
    </row>
    <row r="245" spans="1:14" ht="33.75">
      <c r="A245" s="9" t="s">
        <v>1396</v>
      </c>
      <c r="B245" s="6" t="s">
        <v>509</v>
      </c>
      <c r="C245" s="6" t="s">
        <v>510</v>
      </c>
      <c r="D245" s="6" t="s">
        <v>1397</v>
      </c>
      <c r="E245" s="11" t="s">
        <v>55</v>
      </c>
      <c r="F245" s="11" t="s">
        <v>517</v>
      </c>
      <c r="G245" s="11" t="s">
        <v>24</v>
      </c>
      <c r="H245" s="11" t="s">
        <v>12</v>
      </c>
      <c r="I245" s="20">
        <v>130.5</v>
      </c>
      <c r="J245" s="20" t="s">
        <v>349</v>
      </c>
      <c r="K245" s="14">
        <f t="shared" si="0"/>
        <v>4.6607142857142856</v>
      </c>
      <c r="L245" s="14">
        <v>50</v>
      </c>
      <c r="M245" s="6" t="s">
        <v>2172</v>
      </c>
      <c r="N245" s="6"/>
    </row>
    <row r="246" spans="1:14" ht="33.75">
      <c r="A246" s="9" t="s">
        <v>1398</v>
      </c>
      <c r="B246" s="6" t="s">
        <v>509</v>
      </c>
      <c r="C246" s="6" t="s">
        <v>510</v>
      </c>
      <c r="D246" s="6" t="s">
        <v>1397</v>
      </c>
      <c r="E246" s="11" t="s">
        <v>55</v>
      </c>
      <c r="F246" s="11" t="s">
        <v>522</v>
      </c>
      <c r="G246" s="11" t="s">
        <v>24</v>
      </c>
      <c r="H246" s="11" t="s">
        <v>12</v>
      </c>
      <c r="I246" s="20">
        <v>158.6</v>
      </c>
      <c r="J246" s="20" t="s">
        <v>349</v>
      </c>
      <c r="K246" s="14">
        <f t="shared" si="0"/>
        <v>5.6642857142857137</v>
      </c>
      <c r="L246" s="14">
        <v>50</v>
      </c>
      <c r="M246" s="6" t="s">
        <v>2172</v>
      </c>
      <c r="N246" s="6"/>
    </row>
    <row r="247" spans="1:14" ht="33.75">
      <c r="A247" s="9" t="s">
        <v>1925</v>
      </c>
      <c r="B247" s="6" t="s">
        <v>509</v>
      </c>
      <c r="C247" s="6" t="s">
        <v>510</v>
      </c>
      <c r="D247" s="6" t="s">
        <v>1399</v>
      </c>
      <c r="E247" s="11" t="s">
        <v>416</v>
      </c>
      <c r="F247" s="11" t="s">
        <v>517</v>
      </c>
      <c r="G247" s="11" t="s">
        <v>1495</v>
      </c>
      <c r="H247" s="11" t="s">
        <v>43</v>
      </c>
      <c r="I247" s="20">
        <v>130.5</v>
      </c>
      <c r="J247" s="20" t="s">
        <v>349</v>
      </c>
      <c r="K247" s="14">
        <f t="shared" si="0"/>
        <v>4.6607142857142856</v>
      </c>
      <c r="L247" s="14">
        <v>50</v>
      </c>
      <c r="M247" s="6" t="s">
        <v>2172</v>
      </c>
      <c r="N247" s="6"/>
    </row>
    <row r="248" spans="1:14" ht="33.75">
      <c r="A248" s="6" t="s">
        <v>1926</v>
      </c>
      <c r="B248" s="40" t="s">
        <v>509</v>
      </c>
      <c r="C248" s="40" t="s">
        <v>510</v>
      </c>
      <c r="D248" s="40" t="s">
        <v>1475</v>
      </c>
      <c r="E248" s="14" t="s">
        <v>55</v>
      </c>
      <c r="F248" s="14" t="s">
        <v>517</v>
      </c>
      <c r="G248" s="5" t="s">
        <v>2514</v>
      </c>
      <c r="H248" s="5" t="s">
        <v>2516</v>
      </c>
      <c r="I248" s="20">
        <v>130.5</v>
      </c>
      <c r="J248" s="14" t="s">
        <v>349</v>
      </c>
      <c r="K248" s="14">
        <f t="shared" si="0"/>
        <v>4.6607142857142856</v>
      </c>
      <c r="L248" s="14">
        <v>50</v>
      </c>
      <c r="M248" s="6" t="s">
        <v>2172</v>
      </c>
      <c r="N248" s="6"/>
    </row>
    <row r="249" spans="1:14" ht="33.75">
      <c r="A249" s="6" t="s">
        <v>1927</v>
      </c>
      <c r="B249" s="40" t="s">
        <v>509</v>
      </c>
      <c r="C249" s="40" t="s">
        <v>510</v>
      </c>
      <c r="D249" s="40" t="s">
        <v>1475</v>
      </c>
      <c r="E249" s="14" t="s">
        <v>55</v>
      </c>
      <c r="F249" s="14" t="s">
        <v>522</v>
      </c>
      <c r="G249" s="5" t="s">
        <v>2514</v>
      </c>
      <c r="H249" s="5" t="s">
        <v>2516</v>
      </c>
      <c r="I249" s="20">
        <v>158.6</v>
      </c>
      <c r="J249" s="14" t="s">
        <v>349</v>
      </c>
      <c r="K249" s="14">
        <f t="shared" si="0"/>
        <v>5.6642857142857137</v>
      </c>
      <c r="L249" s="14">
        <v>50</v>
      </c>
      <c r="M249" s="6" t="s">
        <v>2172</v>
      </c>
      <c r="N249" s="6"/>
    </row>
    <row r="250" spans="1:14" ht="67.5">
      <c r="A250" s="37" t="s">
        <v>2620</v>
      </c>
      <c r="B250" s="8" t="s">
        <v>2621</v>
      </c>
      <c r="C250" s="7" t="s">
        <v>2622</v>
      </c>
      <c r="D250" s="7" t="s">
        <v>2623</v>
      </c>
      <c r="E250" s="12" t="s">
        <v>65</v>
      </c>
      <c r="F250" s="12" t="s">
        <v>2624</v>
      </c>
      <c r="G250" s="5" t="s">
        <v>2934</v>
      </c>
      <c r="H250" s="12" t="s">
        <v>2625</v>
      </c>
      <c r="I250" s="19">
        <v>6010.7</v>
      </c>
      <c r="J250" s="5" t="s">
        <v>254</v>
      </c>
      <c r="K250" s="5" t="s">
        <v>254</v>
      </c>
      <c r="L250" s="19">
        <v>50</v>
      </c>
      <c r="M250" s="8" t="s">
        <v>2626</v>
      </c>
      <c r="N250" s="8" t="s">
        <v>2627</v>
      </c>
    </row>
    <row r="251" spans="1:14" ht="67.5">
      <c r="A251" s="37" t="s">
        <v>2628</v>
      </c>
      <c r="B251" s="8" t="s">
        <v>2621</v>
      </c>
      <c r="C251" s="7" t="s">
        <v>2622</v>
      </c>
      <c r="D251" s="7" t="s">
        <v>2623</v>
      </c>
      <c r="E251" s="12" t="s">
        <v>65</v>
      </c>
      <c r="F251" s="12" t="s">
        <v>2629</v>
      </c>
      <c r="G251" s="5" t="s">
        <v>2934</v>
      </c>
      <c r="H251" s="12" t="s">
        <v>2625</v>
      </c>
      <c r="I251" s="19">
        <v>11961.7</v>
      </c>
      <c r="J251" s="5" t="s">
        <v>254</v>
      </c>
      <c r="K251" s="5" t="s">
        <v>254</v>
      </c>
      <c r="L251" s="19">
        <v>50</v>
      </c>
      <c r="M251" s="8" t="s">
        <v>2626</v>
      </c>
      <c r="N251" s="8" t="s">
        <v>2627</v>
      </c>
    </row>
    <row r="252" spans="1:14" ht="67.5">
      <c r="A252" s="37" t="s">
        <v>2630</v>
      </c>
      <c r="B252" s="8" t="s">
        <v>2621</v>
      </c>
      <c r="C252" s="7" t="s">
        <v>2622</v>
      </c>
      <c r="D252" s="7" t="s">
        <v>2623</v>
      </c>
      <c r="E252" s="12" t="s">
        <v>65</v>
      </c>
      <c r="F252" s="12" t="s">
        <v>2631</v>
      </c>
      <c r="G252" s="5" t="s">
        <v>2934</v>
      </c>
      <c r="H252" s="12" t="s">
        <v>2625</v>
      </c>
      <c r="I252" s="19">
        <v>11961.7</v>
      </c>
      <c r="J252" s="5" t="s">
        <v>254</v>
      </c>
      <c r="K252" s="5" t="s">
        <v>254</v>
      </c>
      <c r="L252" s="19">
        <v>50</v>
      </c>
      <c r="M252" s="8" t="s">
        <v>2626</v>
      </c>
      <c r="N252" s="8" t="s">
        <v>2627</v>
      </c>
    </row>
    <row r="253" spans="1:14" ht="33.75">
      <c r="A253" s="9" t="s">
        <v>1400</v>
      </c>
      <c r="B253" s="6" t="s">
        <v>523</v>
      </c>
      <c r="C253" s="6" t="s">
        <v>524</v>
      </c>
      <c r="D253" s="6" t="s">
        <v>525</v>
      </c>
      <c r="E253" s="11" t="s">
        <v>65</v>
      </c>
      <c r="F253" s="11" t="s">
        <v>319</v>
      </c>
      <c r="G253" s="11" t="s">
        <v>24</v>
      </c>
      <c r="H253" s="11" t="s">
        <v>12</v>
      </c>
      <c r="I253" s="20">
        <v>228.6</v>
      </c>
      <c r="J253" s="20" t="s">
        <v>37</v>
      </c>
      <c r="K253" s="14">
        <f>I253/30/20*30</f>
        <v>11.43</v>
      </c>
      <c r="L253" s="14">
        <v>50</v>
      </c>
      <c r="M253" s="6" t="s">
        <v>2173</v>
      </c>
      <c r="N253" s="6" t="s">
        <v>2666</v>
      </c>
    </row>
    <row r="254" spans="1:14" ht="33.75">
      <c r="A254" s="9" t="s">
        <v>1401</v>
      </c>
      <c r="B254" s="6" t="s">
        <v>523</v>
      </c>
      <c r="C254" s="6" t="s">
        <v>524</v>
      </c>
      <c r="D254" s="6" t="s">
        <v>525</v>
      </c>
      <c r="E254" s="11" t="s">
        <v>65</v>
      </c>
      <c r="F254" s="11" t="s">
        <v>56</v>
      </c>
      <c r="G254" s="11" t="s">
        <v>24</v>
      </c>
      <c r="H254" s="11" t="s">
        <v>12</v>
      </c>
      <c r="I254" s="20">
        <v>130.9</v>
      </c>
      <c r="J254" s="20" t="s">
        <v>37</v>
      </c>
      <c r="K254" s="14">
        <f>I254/30/10*30</f>
        <v>13.09</v>
      </c>
      <c r="L254" s="14">
        <v>50</v>
      </c>
      <c r="M254" s="6" t="s">
        <v>2173</v>
      </c>
      <c r="N254" s="6" t="s">
        <v>2666</v>
      </c>
    </row>
    <row r="255" spans="1:14" ht="33.75">
      <c r="A255" s="9" t="s">
        <v>528</v>
      </c>
      <c r="B255" s="6" t="s">
        <v>523</v>
      </c>
      <c r="C255" s="6" t="s">
        <v>524</v>
      </c>
      <c r="D255" s="6" t="s">
        <v>529</v>
      </c>
      <c r="E255" s="11" t="s">
        <v>65</v>
      </c>
      <c r="F255" s="11" t="s">
        <v>486</v>
      </c>
      <c r="G255" s="11" t="s">
        <v>1540</v>
      </c>
      <c r="H255" s="11" t="s">
        <v>43</v>
      </c>
      <c r="I255" s="20">
        <v>122.2</v>
      </c>
      <c r="J255" s="20" t="s">
        <v>37</v>
      </c>
      <c r="K255" s="14">
        <f>I255/28/10*30</f>
        <v>13.092857142857145</v>
      </c>
      <c r="L255" s="14">
        <v>50</v>
      </c>
      <c r="M255" s="6" t="s">
        <v>2173</v>
      </c>
      <c r="N255" s="6" t="s">
        <v>2666</v>
      </c>
    </row>
    <row r="256" spans="1:14" ht="33.75">
      <c r="A256" s="9" t="s">
        <v>530</v>
      </c>
      <c r="B256" s="6" t="s">
        <v>523</v>
      </c>
      <c r="C256" s="6" t="s">
        <v>524</v>
      </c>
      <c r="D256" s="6" t="s">
        <v>529</v>
      </c>
      <c r="E256" s="11" t="s">
        <v>65</v>
      </c>
      <c r="F256" s="11" t="s">
        <v>46</v>
      </c>
      <c r="G256" s="11" t="s">
        <v>1495</v>
      </c>
      <c r="H256" s="11" t="s">
        <v>43</v>
      </c>
      <c r="I256" s="20">
        <v>213.4</v>
      </c>
      <c r="J256" s="20" t="s">
        <v>37</v>
      </c>
      <c r="K256" s="14">
        <f>I256/28/20*30</f>
        <v>11.432142857142859</v>
      </c>
      <c r="L256" s="14">
        <v>50</v>
      </c>
      <c r="M256" s="6" t="s">
        <v>2173</v>
      </c>
      <c r="N256" s="6" t="s">
        <v>2666</v>
      </c>
    </row>
    <row r="257" spans="1:14" ht="33.75">
      <c r="A257" s="9" t="s">
        <v>531</v>
      </c>
      <c r="B257" s="6" t="s">
        <v>523</v>
      </c>
      <c r="C257" s="6" t="s">
        <v>524</v>
      </c>
      <c r="D257" s="6" t="s">
        <v>529</v>
      </c>
      <c r="E257" s="11" t="s">
        <v>65</v>
      </c>
      <c r="F257" s="11" t="s">
        <v>30</v>
      </c>
      <c r="G257" s="11" t="s">
        <v>1495</v>
      </c>
      <c r="H257" s="11" t="s">
        <v>43</v>
      </c>
      <c r="I257" s="20">
        <v>350</v>
      </c>
      <c r="J257" s="20" t="s">
        <v>37</v>
      </c>
      <c r="K257" s="14">
        <f>I257/28/40*30</f>
        <v>9.375</v>
      </c>
      <c r="L257" s="14">
        <v>50</v>
      </c>
      <c r="M257" s="6" t="s">
        <v>2173</v>
      </c>
      <c r="N257" s="6" t="s">
        <v>2666</v>
      </c>
    </row>
    <row r="258" spans="1:14" ht="56.25">
      <c r="A258" s="9" t="s">
        <v>532</v>
      </c>
      <c r="B258" s="6" t="s">
        <v>523</v>
      </c>
      <c r="C258" s="6" t="s">
        <v>524</v>
      </c>
      <c r="D258" s="6" t="s">
        <v>533</v>
      </c>
      <c r="E258" s="11" t="s">
        <v>65</v>
      </c>
      <c r="F258" s="11" t="s">
        <v>56</v>
      </c>
      <c r="G258" s="13" t="s">
        <v>2935</v>
      </c>
      <c r="H258" s="11" t="s">
        <v>2674</v>
      </c>
      <c r="I258" s="20">
        <v>130.9</v>
      </c>
      <c r="J258" s="20" t="s">
        <v>37</v>
      </c>
      <c r="K258" s="14">
        <f>I258/30/10*30</f>
        <v>13.09</v>
      </c>
      <c r="L258" s="14">
        <v>50</v>
      </c>
      <c r="M258" s="6" t="s">
        <v>2173</v>
      </c>
      <c r="N258" s="6" t="s">
        <v>2666</v>
      </c>
    </row>
    <row r="259" spans="1:14" ht="56.25">
      <c r="A259" s="9" t="s">
        <v>534</v>
      </c>
      <c r="B259" s="6" t="s">
        <v>523</v>
      </c>
      <c r="C259" s="6" t="s">
        <v>524</v>
      </c>
      <c r="D259" s="6" t="s">
        <v>533</v>
      </c>
      <c r="E259" s="11" t="s">
        <v>65</v>
      </c>
      <c r="F259" s="11" t="s">
        <v>319</v>
      </c>
      <c r="G259" s="13" t="s">
        <v>2935</v>
      </c>
      <c r="H259" s="11" t="s">
        <v>2674</v>
      </c>
      <c r="I259" s="20">
        <v>228.6</v>
      </c>
      <c r="J259" s="20" t="s">
        <v>37</v>
      </c>
      <c r="K259" s="14">
        <f>I259/30/20*30</f>
        <v>11.43</v>
      </c>
      <c r="L259" s="14">
        <v>50</v>
      </c>
      <c r="M259" s="6" t="s">
        <v>2173</v>
      </c>
      <c r="N259" s="6" t="s">
        <v>2666</v>
      </c>
    </row>
    <row r="260" spans="1:14" ht="56.25">
      <c r="A260" s="9" t="s">
        <v>535</v>
      </c>
      <c r="B260" s="6" t="s">
        <v>523</v>
      </c>
      <c r="C260" s="6" t="s">
        <v>524</v>
      </c>
      <c r="D260" s="6" t="s">
        <v>533</v>
      </c>
      <c r="E260" s="11" t="s">
        <v>65</v>
      </c>
      <c r="F260" s="11" t="s">
        <v>317</v>
      </c>
      <c r="G260" s="13" t="s">
        <v>2935</v>
      </c>
      <c r="H260" s="11" t="s">
        <v>2674</v>
      </c>
      <c r="I260" s="20">
        <v>375</v>
      </c>
      <c r="J260" s="20" t="s">
        <v>37</v>
      </c>
      <c r="K260" s="14">
        <f>I260/30/40*30</f>
        <v>9.375</v>
      </c>
      <c r="L260" s="14">
        <v>50</v>
      </c>
      <c r="M260" s="6" t="s">
        <v>2173</v>
      </c>
      <c r="N260" s="6" t="s">
        <v>2666</v>
      </c>
    </row>
    <row r="261" spans="1:14" ht="33.75">
      <c r="A261" s="9" t="s">
        <v>536</v>
      </c>
      <c r="B261" s="6" t="s">
        <v>537</v>
      </c>
      <c r="C261" s="6" t="s">
        <v>538</v>
      </c>
      <c r="D261" s="6" t="s">
        <v>539</v>
      </c>
      <c r="E261" s="11" t="s">
        <v>55</v>
      </c>
      <c r="F261" s="11" t="s">
        <v>319</v>
      </c>
      <c r="G261" s="11" t="s">
        <v>23</v>
      </c>
      <c r="H261" s="11" t="s">
        <v>12</v>
      </c>
      <c r="I261" s="20">
        <v>282.2</v>
      </c>
      <c r="J261" s="20" t="s">
        <v>37</v>
      </c>
      <c r="K261" s="14">
        <f>I261/30/20*30</f>
        <v>14.11</v>
      </c>
      <c r="L261" s="14">
        <v>50</v>
      </c>
      <c r="M261" s="6" t="s">
        <v>2173</v>
      </c>
      <c r="N261" s="6" t="s">
        <v>2666</v>
      </c>
    </row>
    <row r="262" spans="1:14" ht="33.75">
      <c r="A262" s="9" t="s">
        <v>540</v>
      </c>
      <c r="B262" s="6" t="s">
        <v>537</v>
      </c>
      <c r="C262" s="6" t="s">
        <v>538</v>
      </c>
      <c r="D262" s="6" t="s">
        <v>539</v>
      </c>
      <c r="E262" s="11" t="s">
        <v>55</v>
      </c>
      <c r="F262" s="11" t="s">
        <v>317</v>
      </c>
      <c r="G262" s="11" t="s">
        <v>23</v>
      </c>
      <c r="H262" s="11" t="s">
        <v>12</v>
      </c>
      <c r="I262" s="20">
        <v>393.7</v>
      </c>
      <c r="J262" s="20" t="s">
        <v>37</v>
      </c>
      <c r="K262" s="14">
        <f>I262/30/40*30</f>
        <v>9.8424999999999994</v>
      </c>
      <c r="L262" s="14">
        <v>50</v>
      </c>
      <c r="M262" s="6" t="s">
        <v>2173</v>
      </c>
      <c r="N262" s="6" t="s">
        <v>2666</v>
      </c>
    </row>
    <row r="263" spans="1:14" ht="33.75">
      <c r="A263" s="9" t="s">
        <v>546</v>
      </c>
      <c r="B263" s="6" t="s">
        <v>543</v>
      </c>
      <c r="C263" s="6" t="s">
        <v>544</v>
      </c>
      <c r="D263" s="6" t="s">
        <v>547</v>
      </c>
      <c r="E263" s="11" t="s">
        <v>65</v>
      </c>
      <c r="F263" s="11" t="s">
        <v>56</v>
      </c>
      <c r="G263" s="11" t="s">
        <v>20</v>
      </c>
      <c r="H263" s="11" t="s">
        <v>12</v>
      </c>
      <c r="I263" s="20">
        <v>232.5</v>
      </c>
      <c r="J263" s="20" t="s">
        <v>21</v>
      </c>
      <c r="K263" s="14">
        <f>I263/30/10*20</f>
        <v>15.5</v>
      </c>
      <c r="L263" s="14">
        <v>50</v>
      </c>
      <c r="M263" s="6" t="s">
        <v>2173</v>
      </c>
      <c r="N263" s="6" t="s">
        <v>2666</v>
      </c>
    </row>
    <row r="264" spans="1:14" ht="33.75">
      <c r="A264" s="9" t="s">
        <v>548</v>
      </c>
      <c r="B264" s="6" t="s">
        <v>543</v>
      </c>
      <c r="C264" s="6" t="s">
        <v>544</v>
      </c>
      <c r="D264" s="6" t="s">
        <v>547</v>
      </c>
      <c r="E264" s="11" t="s">
        <v>65</v>
      </c>
      <c r="F264" s="11" t="s">
        <v>319</v>
      </c>
      <c r="G264" s="11" t="s">
        <v>20</v>
      </c>
      <c r="H264" s="11" t="s">
        <v>12</v>
      </c>
      <c r="I264" s="20">
        <v>315.2</v>
      </c>
      <c r="J264" s="20" t="s">
        <v>21</v>
      </c>
      <c r="K264" s="14">
        <f>I264/30/20*20</f>
        <v>10.506666666666666</v>
      </c>
      <c r="L264" s="14">
        <v>50</v>
      </c>
      <c r="M264" s="6" t="s">
        <v>2173</v>
      </c>
      <c r="N264" s="6" t="s">
        <v>2666</v>
      </c>
    </row>
    <row r="265" spans="1:14" ht="33.75">
      <c r="A265" s="9" t="s">
        <v>549</v>
      </c>
      <c r="B265" s="6" t="s">
        <v>543</v>
      </c>
      <c r="C265" s="6" t="s">
        <v>544</v>
      </c>
      <c r="D265" s="6" t="s">
        <v>547</v>
      </c>
      <c r="E265" s="11" t="s">
        <v>65</v>
      </c>
      <c r="F265" s="11" t="s">
        <v>317</v>
      </c>
      <c r="G265" s="11" t="s">
        <v>20</v>
      </c>
      <c r="H265" s="11" t="s">
        <v>12</v>
      </c>
      <c r="I265" s="20">
        <v>403.1</v>
      </c>
      <c r="J265" s="20" t="s">
        <v>21</v>
      </c>
      <c r="K265" s="14">
        <f>I265/30/40*20</f>
        <v>6.7183333333333337</v>
      </c>
      <c r="L265" s="14">
        <v>50</v>
      </c>
      <c r="M265" s="6" t="s">
        <v>2173</v>
      </c>
      <c r="N265" s="6" t="s">
        <v>2666</v>
      </c>
    </row>
    <row r="266" spans="1:14" ht="33.75">
      <c r="A266" s="9" t="s">
        <v>550</v>
      </c>
      <c r="B266" s="6" t="s">
        <v>543</v>
      </c>
      <c r="C266" s="6" t="s">
        <v>544</v>
      </c>
      <c r="D266" s="6" t="s">
        <v>551</v>
      </c>
      <c r="E266" s="11" t="s">
        <v>65</v>
      </c>
      <c r="F266" s="11" t="s">
        <v>56</v>
      </c>
      <c r="G266" s="11" t="s">
        <v>1495</v>
      </c>
      <c r="H266" s="11" t="s">
        <v>43</v>
      </c>
      <c r="I266" s="20">
        <v>232.5</v>
      </c>
      <c r="J266" s="20" t="s">
        <v>21</v>
      </c>
      <c r="K266" s="14">
        <f>I266/30/10*20</f>
        <v>15.5</v>
      </c>
      <c r="L266" s="14">
        <v>50</v>
      </c>
      <c r="M266" s="6" t="s">
        <v>2173</v>
      </c>
      <c r="N266" s="6" t="s">
        <v>2666</v>
      </c>
    </row>
    <row r="267" spans="1:14" ht="33.75">
      <c r="A267" s="9" t="s">
        <v>552</v>
      </c>
      <c r="B267" s="6" t="s">
        <v>543</v>
      </c>
      <c r="C267" s="6" t="s">
        <v>544</v>
      </c>
      <c r="D267" s="6" t="s">
        <v>551</v>
      </c>
      <c r="E267" s="11" t="s">
        <v>65</v>
      </c>
      <c r="F267" s="11" t="s">
        <v>319</v>
      </c>
      <c r="G267" s="11" t="s">
        <v>1495</v>
      </c>
      <c r="H267" s="11" t="s">
        <v>43</v>
      </c>
      <c r="I267" s="20">
        <v>315.2</v>
      </c>
      <c r="J267" s="20" t="s">
        <v>21</v>
      </c>
      <c r="K267" s="14">
        <f>I267/30/20*20</f>
        <v>10.506666666666666</v>
      </c>
      <c r="L267" s="14">
        <v>50</v>
      </c>
      <c r="M267" s="6" t="s">
        <v>2173</v>
      </c>
      <c r="N267" s="6" t="s">
        <v>2666</v>
      </c>
    </row>
    <row r="268" spans="1:14" ht="33.75">
      <c r="A268" s="9" t="s">
        <v>553</v>
      </c>
      <c r="B268" s="6" t="s">
        <v>543</v>
      </c>
      <c r="C268" s="6" t="s">
        <v>544</v>
      </c>
      <c r="D268" s="6" t="s">
        <v>551</v>
      </c>
      <c r="E268" s="11" t="s">
        <v>65</v>
      </c>
      <c r="F268" s="11" t="s">
        <v>317</v>
      </c>
      <c r="G268" s="11" t="s">
        <v>1495</v>
      </c>
      <c r="H268" s="11" t="s">
        <v>43</v>
      </c>
      <c r="I268" s="20">
        <v>403.1</v>
      </c>
      <c r="J268" s="20" t="s">
        <v>21</v>
      </c>
      <c r="K268" s="14">
        <f>I268/30/40*20</f>
        <v>6.7183333333333337</v>
      </c>
      <c r="L268" s="14">
        <v>50</v>
      </c>
      <c r="M268" s="6" t="s">
        <v>2173</v>
      </c>
      <c r="N268" s="6" t="s">
        <v>2666</v>
      </c>
    </row>
    <row r="269" spans="1:14" ht="33.75">
      <c r="A269" s="9" t="s">
        <v>554</v>
      </c>
      <c r="B269" s="6" t="s">
        <v>543</v>
      </c>
      <c r="C269" s="6" t="s">
        <v>544</v>
      </c>
      <c r="D269" s="6" t="s">
        <v>555</v>
      </c>
      <c r="E269" s="11" t="s">
        <v>65</v>
      </c>
      <c r="F269" s="11" t="s">
        <v>56</v>
      </c>
      <c r="G269" s="11" t="s">
        <v>556</v>
      </c>
      <c r="H269" s="11" t="s">
        <v>12</v>
      </c>
      <c r="I269" s="20">
        <v>232.5</v>
      </c>
      <c r="J269" s="20" t="s">
        <v>21</v>
      </c>
      <c r="K269" s="14">
        <f>I269/30/10*20</f>
        <v>15.5</v>
      </c>
      <c r="L269" s="14">
        <v>50</v>
      </c>
      <c r="M269" s="6" t="s">
        <v>2173</v>
      </c>
      <c r="N269" s="6" t="s">
        <v>2666</v>
      </c>
    </row>
    <row r="270" spans="1:14" ht="33.75">
      <c r="A270" s="9" t="s">
        <v>557</v>
      </c>
      <c r="B270" s="6" t="s">
        <v>543</v>
      </c>
      <c r="C270" s="6" t="s">
        <v>544</v>
      </c>
      <c r="D270" s="6" t="s">
        <v>555</v>
      </c>
      <c r="E270" s="11" t="s">
        <v>65</v>
      </c>
      <c r="F270" s="11" t="s">
        <v>319</v>
      </c>
      <c r="G270" s="11" t="s">
        <v>556</v>
      </c>
      <c r="H270" s="11" t="s">
        <v>12</v>
      </c>
      <c r="I270" s="20">
        <v>315.2</v>
      </c>
      <c r="J270" s="20" t="s">
        <v>21</v>
      </c>
      <c r="K270" s="14">
        <f>I270/30/20*20</f>
        <v>10.506666666666666</v>
      </c>
      <c r="L270" s="14">
        <v>50</v>
      </c>
      <c r="M270" s="6" t="s">
        <v>2173</v>
      </c>
      <c r="N270" s="6" t="s">
        <v>2666</v>
      </c>
    </row>
    <row r="271" spans="1:14" ht="33.75">
      <c r="A271" s="9" t="s">
        <v>558</v>
      </c>
      <c r="B271" s="6" t="s">
        <v>543</v>
      </c>
      <c r="C271" s="6" t="s">
        <v>544</v>
      </c>
      <c r="D271" s="6" t="s">
        <v>559</v>
      </c>
      <c r="E271" s="11" t="s">
        <v>65</v>
      </c>
      <c r="F271" s="11" t="s">
        <v>56</v>
      </c>
      <c r="G271" s="11" t="s">
        <v>11</v>
      </c>
      <c r="H271" s="11" t="s">
        <v>12</v>
      </c>
      <c r="I271" s="20">
        <v>232.5</v>
      </c>
      <c r="J271" s="20" t="s">
        <v>21</v>
      </c>
      <c r="K271" s="14">
        <f>I271/30/10*20</f>
        <v>15.5</v>
      </c>
      <c r="L271" s="14">
        <v>50</v>
      </c>
      <c r="M271" s="6" t="s">
        <v>2173</v>
      </c>
      <c r="N271" s="6" t="s">
        <v>2666</v>
      </c>
    </row>
    <row r="272" spans="1:14" ht="33.75">
      <c r="A272" s="9" t="s">
        <v>560</v>
      </c>
      <c r="B272" s="6" t="s">
        <v>543</v>
      </c>
      <c r="C272" s="6" t="s">
        <v>544</v>
      </c>
      <c r="D272" s="6" t="s">
        <v>559</v>
      </c>
      <c r="E272" s="11" t="s">
        <v>65</v>
      </c>
      <c r="F272" s="11" t="s">
        <v>319</v>
      </c>
      <c r="G272" s="11" t="s">
        <v>11</v>
      </c>
      <c r="H272" s="11" t="s">
        <v>12</v>
      </c>
      <c r="I272" s="20">
        <v>315.2</v>
      </c>
      <c r="J272" s="20" t="s">
        <v>21</v>
      </c>
      <c r="K272" s="14">
        <f>I272/30/20*20</f>
        <v>10.506666666666666</v>
      </c>
      <c r="L272" s="14">
        <v>50</v>
      </c>
      <c r="M272" s="6" t="s">
        <v>2173</v>
      </c>
      <c r="N272" s="6" t="s">
        <v>2666</v>
      </c>
    </row>
    <row r="273" spans="1:14" s="80" customFormat="1" ht="56.25">
      <c r="A273" s="45" t="s">
        <v>1402</v>
      </c>
      <c r="B273" s="46" t="s">
        <v>543</v>
      </c>
      <c r="C273" s="46" t="s">
        <v>544</v>
      </c>
      <c r="D273" s="46" t="s">
        <v>1403</v>
      </c>
      <c r="E273" s="13" t="s">
        <v>65</v>
      </c>
      <c r="F273" s="13" t="s">
        <v>56</v>
      </c>
      <c r="G273" s="13" t="s">
        <v>2936</v>
      </c>
      <c r="H273" s="11" t="s">
        <v>2674</v>
      </c>
      <c r="I273" s="20">
        <v>232.5</v>
      </c>
      <c r="J273" s="13" t="s">
        <v>21</v>
      </c>
      <c r="K273" s="24">
        <f>I273/30/10*20</f>
        <v>15.5</v>
      </c>
      <c r="L273" s="14">
        <v>50</v>
      </c>
      <c r="M273" s="6" t="s">
        <v>2173</v>
      </c>
      <c r="N273" s="6" t="s">
        <v>2666</v>
      </c>
    </row>
    <row r="274" spans="1:14" s="80" customFormat="1" ht="56.25">
      <c r="A274" s="45" t="s">
        <v>1404</v>
      </c>
      <c r="B274" s="46" t="s">
        <v>543</v>
      </c>
      <c r="C274" s="46" t="s">
        <v>544</v>
      </c>
      <c r="D274" s="46" t="s">
        <v>1403</v>
      </c>
      <c r="E274" s="13" t="s">
        <v>65</v>
      </c>
      <c r="F274" s="13" t="s">
        <v>319</v>
      </c>
      <c r="G274" s="13" t="s">
        <v>2936</v>
      </c>
      <c r="H274" s="11" t="s">
        <v>2674</v>
      </c>
      <c r="I274" s="20">
        <v>315.2</v>
      </c>
      <c r="J274" s="13" t="s">
        <v>21</v>
      </c>
      <c r="K274" s="24">
        <f>I274/30/20*20</f>
        <v>10.506666666666666</v>
      </c>
      <c r="L274" s="14">
        <v>50</v>
      </c>
      <c r="M274" s="6" t="s">
        <v>2173</v>
      </c>
      <c r="N274" s="6" t="s">
        <v>2666</v>
      </c>
    </row>
    <row r="275" spans="1:14" s="80" customFormat="1" ht="56.25">
      <c r="A275" s="45" t="s">
        <v>1405</v>
      </c>
      <c r="B275" s="46" t="s">
        <v>543</v>
      </c>
      <c r="C275" s="46" t="s">
        <v>544</v>
      </c>
      <c r="D275" s="46" t="s">
        <v>1403</v>
      </c>
      <c r="E275" s="13" t="s">
        <v>65</v>
      </c>
      <c r="F275" s="13" t="s">
        <v>317</v>
      </c>
      <c r="G275" s="13" t="s">
        <v>2936</v>
      </c>
      <c r="H275" s="11" t="s">
        <v>2674</v>
      </c>
      <c r="I275" s="20">
        <v>403.1</v>
      </c>
      <c r="J275" s="13" t="s">
        <v>21</v>
      </c>
      <c r="K275" s="24">
        <f>I275/30/40*20</f>
        <v>6.7183333333333337</v>
      </c>
      <c r="L275" s="14">
        <v>50</v>
      </c>
      <c r="M275" s="6" t="s">
        <v>2173</v>
      </c>
      <c r="N275" s="6" t="s">
        <v>2666</v>
      </c>
    </row>
    <row r="276" spans="1:14" ht="33.75">
      <c r="A276" s="6" t="s">
        <v>1928</v>
      </c>
      <c r="B276" s="40" t="s">
        <v>543</v>
      </c>
      <c r="C276" s="40" t="s">
        <v>544</v>
      </c>
      <c r="D276" s="40" t="s">
        <v>1816</v>
      </c>
      <c r="E276" s="14" t="s">
        <v>65</v>
      </c>
      <c r="F276" s="14" t="s">
        <v>56</v>
      </c>
      <c r="G276" s="14" t="s">
        <v>24</v>
      </c>
      <c r="H276" s="14" t="s">
        <v>12</v>
      </c>
      <c r="I276" s="20">
        <v>232.5</v>
      </c>
      <c r="J276" s="14" t="s">
        <v>21</v>
      </c>
      <c r="K276" s="14">
        <f>I276/30/10*20</f>
        <v>15.5</v>
      </c>
      <c r="L276" s="14">
        <v>50</v>
      </c>
      <c r="M276" s="6" t="s">
        <v>2174</v>
      </c>
      <c r="N276" s="6" t="s">
        <v>2666</v>
      </c>
    </row>
    <row r="277" spans="1:14" ht="33.75">
      <c r="A277" s="6" t="s">
        <v>1929</v>
      </c>
      <c r="B277" s="40" t="s">
        <v>543</v>
      </c>
      <c r="C277" s="40" t="s">
        <v>544</v>
      </c>
      <c r="D277" s="40" t="s">
        <v>1816</v>
      </c>
      <c r="E277" s="14" t="s">
        <v>65</v>
      </c>
      <c r="F277" s="14" t="s">
        <v>319</v>
      </c>
      <c r="G277" s="14" t="s">
        <v>24</v>
      </c>
      <c r="H277" s="14" t="s">
        <v>12</v>
      </c>
      <c r="I277" s="20">
        <v>315.2</v>
      </c>
      <c r="J277" s="14" t="s">
        <v>21</v>
      </c>
      <c r="K277" s="14">
        <f>I277/30/20*20</f>
        <v>10.506666666666666</v>
      </c>
      <c r="L277" s="14">
        <v>50</v>
      </c>
      <c r="M277" s="6" t="s">
        <v>2174</v>
      </c>
      <c r="N277" s="6" t="s">
        <v>2666</v>
      </c>
    </row>
    <row r="278" spans="1:14" ht="33.75">
      <c r="A278" s="6" t="s">
        <v>1930</v>
      </c>
      <c r="B278" s="40" t="s">
        <v>543</v>
      </c>
      <c r="C278" s="40" t="s">
        <v>544</v>
      </c>
      <c r="D278" s="40" t="s">
        <v>1816</v>
      </c>
      <c r="E278" s="14" t="s">
        <v>65</v>
      </c>
      <c r="F278" s="14" t="s">
        <v>317</v>
      </c>
      <c r="G278" s="14" t="s">
        <v>24</v>
      </c>
      <c r="H278" s="14" t="s">
        <v>12</v>
      </c>
      <c r="I278" s="20">
        <v>403.1</v>
      </c>
      <c r="J278" s="14" t="s">
        <v>21</v>
      </c>
      <c r="K278" s="14">
        <f>I278/30/40*20</f>
        <v>6.7183333333333337</v>
      </c>
      <c r="L278" s="14">
        <v>50</v>
      </c>
      <c r="M278" s="6" t="s">
        <v>2174</v>
      </c>
      <c r="N278" s="6" t="s">
        <v>2666</v>
      </c>
    </row>
    <row r="279" spans="1:14" ht="33.75">
      <c r="A279" s="9" t="s">
        <v>561</v>
      </c>
      <c r="B279" s="6" t="s">
        <v>562</v>
      </c>
      <c r="C279" s="6" t="s">
        <v>563</v>
      </c>
      <c r="D279" s="6" t="s">
        <v>564</v>
      </c>
      <c r="E279" s="11" t="s">
        <v>65</v>
      </c>
      <c r="F279" s="11" t="s">
        <v>473</v>
      </c>
      <c r="G279" s="11" t="s">
        <v>1495</v>
      </c>
      <c r="H279" s="11" t="s">
        <v>43</v>
      </c>
      <c r="I279" s="19">
        <v>175.2</v>
      </c>
      <c r="J279" s="11" t="s">
        <v>106</v>
      </c>
      <c r="K279" s="20">
        <f>I279/28/5*10</f>
        <v>12.514285714285712</v>
      </c>
      <c r="L279" s="14">
        <v>50</v>
      </c>
      <c r="M279" s="6" t="s">
        <v>2173</v>
      </c>
      <c r="N279" s="6" t="s">
        <v>2666</v>
      </c>
    </row>
    <row r="280" spans="1:14" ht="33.75">
      <c r="A280" s="9" t="s">
        <v>565</v>
      </c>
      <c r="B280" s="6" t="s">
        <v>562</v>
      </c>
      <c r="C280" s="6" t="s">
        <v>563</v>
      </c>
      <c r="D280" s="6" t="s">
        <v>564</v>
      </c>
      <c r="E280" s="11" t="s">
        <v>65</v>
      </c>
      <c r="F280" s="11" t="s">
        <v>486</v>
      </c>
      <c r="G280" s="11" t="s">
        <v>1495</v>
      </c>
      <c r="H280" s="11" t="s">
        <v>43</v>
      </c>
      <c r="I280" s="21">
        <v>356.2</v>
      </c>
      <c r="J280" s="11" t="s">
        <v>106</v>
      </c>
      <c r="K280" s="14">
        <f>I280/28/10*10</f>
        <v>12.721428571428572</v>
      </c>
      <c r="L280" s="14">
        <v>50</v>
      </c>
      <c r="M280" s="6" t="s">
        <v>2173</v>
      </c>
      <c r="N280" s="6" t="s">
        <v>2666</v>
      </c>
    </row>
    <row r="281" spans="1:14" ht="33.75">
      <c r="A281" s="9" t="s">
        <v>566</v>
      </c>
      <c r="B281" s="6" t="s">
        <v>562</v>
      </c>
      <c r="C281" s="6" t="s">
        <v>563</v>
      </c>
      <c r="D281" s="6" t="s">
        <v>564</v>
      </c>
      <c r="E281" s="11" t="s">
        <v>65</v>
      </c>
      <c r="F281" s="11" t="s">
        <v>46</v>
      </c>
      <c r="G281" s="11" t="s">
        <v>1541</v>
      </c>
      <c r="H281" s="11" t="s">
        <v>43</v>
      </c>
      <c r="I281" s="21">
        <v>391.3</v>
      </c>
      <c r="J281" s="11" t="s">
        <v>106</v>
      </c>
      <c r="K281" s="14">
        <f>I281/28/20*10</f>
        <v>6.9874999999999998</v>
      </c>
      <c r="L281" s="14">
        <v>50</v>
      </c>
      <c r="M281" s="6" t="s">
        <v>2173</v>
      </c>
      <c r="N281" s="6" t="s">
        <v>2666</v>
      </c>
    </row>
    <row r="282" spans="1:14" ht="33.75">
      <c r="A282" s="9" t="s">
        <v>567</v>
      </c>
      <c r="B282" s="6" t="s">
        <v>562</v>
      </c>
      <c r="C282" s="6" t="s">
        <v>563</v>
      </c>
      <c r="D282" s="6" t="s">
        <v>564</v>
      </c>
      <c r="E282" s="11" t="s">
        <v>65</v>
      </c>
      <c r="F282" s="11" t="s">
        <v>30</v>
      </c>
      <c r="G282" s="11" t="s">
        <v>1495</v>
      </c>
      <c r="H282" s="11" t="s">
        <v>43</v>
      </c>
      <c r="I282" s="21">
        <v>461.5</v>
      </c>
      <c r="J282" s="11" t="s">
        <v>106</v>
      </c>
      <c r="K282" s="14">
        <f>I282/28/40*10</f>
        <v>4.1205357142857144</v>
      </c>
      <c r="L282" s="14">
        <v>50</v>
      </c>
      <c r="M282" s="6" t="s">
        <v>2173</v>
      </c>
      <c r="N282" s="6" t="s">
        <v>2666</v>
      </c>
    </row>
    <row r="283" spans="1:14" ht="33.75">
      <c r="A283" s="9" t="s">
        <v>568</v>
      </c>
      <c r="B283" s="6" t="s">
        <v>562</v>
      </c>
      <c r="C283" s="6" t="s">
        <v>563</v>
      </c>
      <c r="D283" s="6" t="s">
        <v>569</v>
      </c>
      <c r="E283" s="11" t="s">
        <v>65</v>
      </c>
      <c r="F283" s="11" t="s">
        <v>56</v>
      </c>
      <c r="G283" s="11" t="s">
        <v>23</v>
      </c>
      <c r="H283" s="11" t="s">
        <v>12</v>
      </c>
      <c r="I283" s="21">
        <v>381.6</v>
      </c>
      <c r="J283" s="11" t="s">
        <v>106</v>
      </c>
      <c r="K283" s="14">
        <f>I283/30/10*10</f>
        <v>12.72</v>
      </c>
      <c r="L283" s="14">
        <v>50</v>
      </c>
      <c r="M283" s="6" t="s">
        <v>2173</v>
      </c>
      <c r="N283" s="6" t="s">
        <v>2666</v>
      </c>
    </row>
    <row r="284" spans="1:14" ht="33.75">
      <c r="A284" s="9" t="s">
        <v>570</v>
      </c>
      <c r="B284" s="6" t="s">
        <v>562</v>
      </c>
      <c r="C284" s="6" t="s">
        <v>563</v>
      </c>
      <c r="D284" s="6" t="s">
        <v>569</v>
      </c>
      <c r="E284" s="11" t="s">
        <v>65</v>
      </c>
      <c r="F284" s="11" t="s">
        <v>319</v>
      </c>
      <c r="G284" s="11" t="s">
        <v>23</v>
      </c>
      <c r="H284" s="11" t="s">
        <v>12</v>
      </c>
      <c r="I284" s="21">
        <v>419.3</v>
      </c>
      <c r="J284" s="11" t="s">
        <v>106</v>
      </c>
      <c r="K284" s="14">
        <f>I284/30/20*10</f>
        <v>6.9883333333333333</v>
      </c>
      <c r="L284" s="14">
        <v>50</v>
      </c>
      <c r="M284" s="6" t="s">
        <v>2173</v>
      </c>
      <c r="N284" s="6" t="s">
        <v>2666</v>
      </c>
    </row>
    <row r="285" spans="1:14" ht="33.75">
      <c r="A285" s="6" t="s">
        <v>1931</v>
      </c>
      <c r="B285" s="40" t="s">
        <v>562</v>
      </c>
      <c r="C285" s="40" t="s">
        <v>563</v>
      </c>
      <c r="D285" s="40" t="s">
        <v>1505</v>
      </c>
      <c r="E285" s="14" t="s">
        <v>65</v>
      </c>
      <c r="F285" s="14" t="s">
        <v>473</v>
      </c>
      <c r="G285" s="14" t="s">
        <v>1506</v>
      </c>
      <c r="H285" s="14" t="s">
        <v>43</v>
      </c>
      <c r="I285" s="19">
        <v>175.2</v>
      </c>
      <c r="J285" s="11" t="s">
        <v>106</v>
      </c>
      <c r="K285" s="20">
        <f>I285/28/5*10</f>
        <v>12.514285714285712</v>
      </c>
      <c r="L285" s="14">
        <v>50</v>
      </c>
      <c r="M285" s="6" t="s">
        <v>2173</v>
      </c>
      <c r="N285" s="6" t="s">
        <v>2666</v>
      </c>
    </row>
    <row r="286" spans="1:14" ht="33.75">
      <c r="A286" s="6" t="s">
        <v>1568</v>
      </c>
      <c r="B286" s="40" t="s">
        <v>562</v>
      </c>
      <c r="C286" s="40" t="s">
        <v>563</v>
      </c>
      <c r="D286" s="40" t="s">
        <v>1569</v>
      </c>
      <c r="E286" s="14" t="s">
        <v>65</v>
      </c>
      <c r="F286" s="14" t="s">
        <v>266</v>
      </c>
      <c r="G286" s="14" t="s">
        <v>1570</v>
      </c>
      <c r="H286" s="14" t="s">
        <v>12</v>
      </c>
      <c r="I286" s="19">
        <v>187.7</v>
      </c>
      <c r="J286" s="14" t="s">
        <v>106</v>
      </c>
      <c r="K286" s="14">
        <f>I286/30/5*10</f>
        <v>12.513333333333332</v>
      </c>
      <c r="L286" s="14">
        <v>50</v>
      </c>
      <c r="M286" s="6" t="s">
        <v>2173</v>
      </c>
      <c r="N286" s="6" t="s">
        <v>2666</v>
      </c>
    </row>
    <row r="287" spans="1:14" ht="33.75">
      <c r="A287" s="6" t="s">
        <v>1571</v>
      </c>
      <c r="B287" s="40" t="s">
        <v>562</v>
      </c>
      <c r="C287" s="40" t="s">
        <v>563</v>
      </c>
      <c r="D287" s="40" t="s">
        <v>1569</v>
      </c>
      <c r="E287" s="14" t="s">
        <v>65</v>
      </c>
      <c r="F287" s="14" t="s">
        <v>56</v>
      </c>
      <c r="G287" s="14" t="s">
        <v>1570</v>
      </c>
      <c r="H287" s="14" t="s">
        <v>12</v>
      </c>
      <c r="I287" s="21">
        <v>381.6</v>
      </c>
      <c r="J287" s="39" t="s">
        <v>106</v>
      </c>
      <c r="K287" s="14">
        <f>I287/30/10*10</f>
        <v>12.72</v>
      </c>
      <c r="L287" s="14">
        <v>50</v>
      </c>
      <c r="M287" s="6" t="s">
        <v>2173</v>
      </c>
      <c r="N287" s="6" t="s">
        <v>2666</v>
      </c>
    </row>
    <row r="288" spans="1:14" ht="33.75">
      <c r="A288" s="6" t="s">
        <v>1572</v>
      </c>
      <c r="B288" s="40" t="s">
        <v>562</v>
      </c>
      <c r="C288" s="40" t="s">
        <v>563</v>
      </c>
      <c r="D288" s="40" t="s">
        <v>1569</v>
      </c>
      <c r="E288" s="14" t="s">
        <v>65</v>
      </c>
      <c r="F288" s="14" t="s">
        <v>319</v>
      </c>
      <c r="G288" s="14" t="s">
        <v>1570</v>
      </c>
      <c r="H288" s="14" t="s">
        <v>12</v>
      </c>
      <c r="I288" s="21">
        <v>419.3</v>
      </c>
      <c r="J288" s="48" t="s">
        <v>106</v>
      </c>
      <c r="K288" s="14">
        <f>I288/30/20*10</f>
        <v>6.9883333333333333</v>
      </c>
      <c r="L288" s="14">
        <v>50</v>
      </c>
      <c r="M288" s="6" t="s">
        <v>2173</v>
      </c>
      <c r="N288" s="6" t="s">
        <v>2666</v>
      </c>
    </row>
    <row r="289" spans="1:14" ht="33.75">
      <c r="A289" s="6" t="s">
        <v>1932</v>
      </c>
      <c r="B289" s="40" t="s">
        <v>562</v>
      </c>
      <c r="C289" s="40" t="s">
        <v>563</v>
      </c>
      <c r="D289" s="40" t="s">
        <v>1760</v>
      </c>
      <c r="E289" s="14" t="s">
        <v>65</v>
      </c>
      <c r="F289" s="14" t="s">
        <v>56</v>
      </c>
      <c r="G289" s="14" t="s">
        <v>3058</v>
      </c>
      <c r="H289" s="14" t="s">
        <v>3059</v>
      </c>
      <c r="I289" s="21">
        <v>381.6</v>
      </c>
      <c r="J289" s="14" t="s">
        <v>106</v>
      </c>
      <c r="K289" s="14">
        <f>I289/30/10*10</f>
        <v>12.72</v>
      </c>
      <c r="L289" s="14">
        <v>50</v>
      </c>
      <c r="M289" s="6" t="s">
        <v>2173</v>
      </c>
      <c r="N289" s="6" t="s">
        <v>2666</v>
      </c>
    </row>
    <row r="290" spans="1:14" ht="33.75">
      <c r="A290" s="6" t="s">
        <v>1761</v>
      </c>
      <c r="B290" s="40" t="s">
        <v>562</v>
      </c>
      <c r="C290" s="40" t="s">
        <v>563</v>
      </c>
      <c r="D290" s="40" t="s">
        <v>1760</v>
      </c>
      <c r="E290" s="14" t="s">
        <v>65</v>
      </c>
      <c r="F290" s="14" t="s">
        <v>319</v>
      </c>
      <c r="G290" s="14" t="s">
        <v>3058</v>
      </c>
      <c r="H290" s="14" t="s">
        <v>3060</v>
      </c>
      <c r="I290" s="21">
        <v>419.3</v>
      </c>
      <c r="J290" s="14" t="s">
        <v>106</v>
      </c>
      <c r="K290" s="14">
        <f>I290/30/20*10</f>
        <v>6.9883333333333333</v>
      </c>
      <c r="L290" s="14">
        <v>50</v>
      </c>
      <c r="M290" s="6" t="s">
        <v>2173</v>
      </c>
      <c r="N290" s="6" t="s">
        <v>2666</v>
      </c>
    </row>
    <row r="291" spans="1:14" ht="33.75">
      <c r="A291" s="8" t="s">
        <v>1933</v>
      </c>
      <c r="B291" s="8" t="s">
        <v>562</v>
      </c>
      <c r="C291" s="8" t="s">
        <v>563</v>
      </c>
      <c r="D291" s="8" t="s">
        <v>1859</v>
      </c>
      <c r="E291" s="5" t="s">
        <v>65</v>
      </c>
      <c r="F291" s="5" t="s">
        <v>56</v>
      </c>
      <c r="G291" s="5" t="s">
        <v>1755</v>
      </c>
      <c r="H291" s="5" t="s">
        <v>1732</v>
      </c>
      <c r="I291" s="21">
        <v>381.6</v>
      </c>
      <c r="J291" s="39" t="s">
        <v>106</v>
      </c>
      <c r="K291" s="19">
        <f>I291/30/10*10</f>
        <v>12.72</v>
      </c>
      <c r="L291" s="14">
        <v>50</v>
      </c>
      <c r="M291" s="6" t="s">
        <v>2174</v>
      </c>
      <c r="N291" s="6" t="s">
        <v>2666</v>
      </c>
    </row>
    <row r="292" spans="1:14" ht="33.75">
      <c r="A292" s="8" t="s">
        <v>1934</v>
      </c>
      <c r="B292" s="8" t="s">
        <v>562</v>
      </c>
      <c r="C292" s="8" t="s">
        <v>563</v>
      </c>
      <c r="D292" s="8" t="s">
        <v>1859</v>
      </c>
      <c r="E292" s="5" t="s">
        <v>65</v>
      </c>
      <c r="F292" s="5" t="s">
        <v>319</v>
      </c>
      <c r="G292" s="5" t="s">
        <v>1755</v>
      </c>
      <c r="H292" s="5" t="s">
        <v>1732</v>
      </c>
      <c r="I292" s="21">
        <v>419.3</v>
      </c>
      <c r="J292" s="39" t="s">
        <v>106</v>
      </c>
      <c r="K292" s="19">
        <f>I292/30/20*10</f>
        <v>6.9883333333333333</v>
      </c>
      <c r="L292" s="14">
        <v>50</v>
      </c>
      <c r="M292" s="6" t="s">
        <v>2174</v>
      </c>
      <c r="N292" s="6" t="s">
        <v>2666</v>
      </c>
    </row>
    <row r="293" spans="1:14" ht="33.75">
      <c r="A293" s="8" t="s">
        <v>2368</v>
      </c>
      <c r="B293" s="8" t="s">
        <v>562</v>
      </c>
      <c r="C293" s="8" t="s">
        <v>563</v>
      </c>
      <c r="D293" s="8" t="s">
        <v>2369</v>
      </c>
      <c r="E293" s="5" t="s">
        <v>65</v>
      </c>
      <c r="F293" s="5" t="s">
        <v>56</v>
      </c>
      <c r="G293" s="5" t="s">
        <v>2370</v>
      </c>
      <c r="H293" s="5" t="s">
        <v>2371</v>
      </c>
      <c r="I293" s="21">
        <v>381.6</v>
      </c>
      <c r="J293" s="39" t="s">
        <v>106</v>
      </c>
      <c r="K293" s="19">
        <f>I293/30/10*10</f>
        <v>12.72</v>
      </c>
      <c r="L293" s="14">
        <v>50</v>
      </c>
      <c r="M293" s="6" t="s">
        <v>2174</v>
      </c>
      <c r="N293" s="6" t="s">
        <v>2666</v>
      </c>
    </row>
    <row r="294" spans="1:14" ht="33.75">
      <c r="A294" s="8" t="s">
        <v>2372</v>
      </c>
      <c r="B294" s="8" t="s">
        <v>562</v>
      </c>
      <c r="C294" s="8" t="s">
        <v>563</v>
      </c>
      <c r="D294" s="8" t="s">
        <v>2369</v>
      </c>
      <c r="E294" s="5" t="s">
        <v>65</v>
      </c>
      <c r="F294" s="5" t="s">
        <v>319</v>
      </c>
      <c r="G294" s="5" t="s">
        <v>2370</v>
      </c>
      <c r="H294" s="5" t="s">
        <v>2371</v>
      </c>
      <c r="I294" s="21">
        <v>419.3</v>
      </c>
      <c r="J294" s="39" t="s">
        <v>106</v>
      </c>
      <c r="K294" s="19">
        <f>I294/30/20*10</f>
        <v>6.9883333333333333</v>
      </c>
      <c r="L294" s="14">
        <v>50</v>
      </c>
      <c r="M294" s="6" t="s">
        <v>2174</v>
      </c>
      <c r="N294" s="6" t="s">
        <v>2666</v>
      </c>
    </row>
    <row r="295" spans="1:14" ht="33.75">
      <c r="A295" s="37" t="s">
        <v>2517</v>
      </c>
      <c r="B295" s="8" t="s">
        <v>562</v>
      </c>
      <c r="C295" s="8" t="s">
        <v>563</v>
      </c>
      <c r="D295" s="7" t="s">
        <v>2369</v>
      </c>
      <c r="E295" s="49" t="s">
        <v>55</v>
      </c>
      <c r="F295" s="49" t="s">
        <v>266</v>
      </c>
      <c r="G295" s="49" t="s">
        <v>2370</v>
      </c>
      <c r="H295" s="49" t="s">
        <v>2371</v>
      </c>
      <c r="I295" s="19">
        <v>187.7</v>
      </c>
      <c r="J295" s="19" t="s">
        <v>106</v>
      </c>
      <c r="K295" s="19">
        <f>I295/30/5*10</f>
        <v>12.513333333333332</v>
      </c>
      <c r="L295" s="14">
        <v>50</v>
      </c>
      <c r="M295" s="6" t="s">
        <v>2174</v>
      </c>
      <c r="N295" s="6" t="s">
        <v>2666</v>
      </c>
    </row>
    <row r="296" spans="1:14" ht="33.75">
      <c r="A296" s="37" t="s">
        <v>2518</v>
      </c>
      <c r="B296" s="8" t="s">
        <v>562</v>
      </c>
      <c r="C296" s="7" t="s">
        <v>563</v>
      </c>
      <c r="D296" s="7" t="s">
        <v>2519</v>
      </c>
      <c r="E296" s="49" t="s">
        <v>65</v>
      </c>
      <c r="F296" s="49" t="s">
        <v>56</v>
      </c>
      <c r="G296" s="49" t="s">
        <v>1739</v>
      </c>
      <c r="H296" s="49" t="s">
        <v>2520</v>
      </c>
      <c r="I296" s="19">
        <v>381.6</v>
      </c>
      <c r="J296" s="39" t="s">
        <v>106</v>
      </c>
      <c r="K296" s="19">
        <f>I296/30/10*10</f>
        <v>12.72</v>
      </c>
      <c r="L296" s="14">
        <v>50</v>
      </c>
      <c r="M296" s="6" t="s">
        <v>2174</v>
      </c>
      <c r="N296" s="6" t="s">
        <v>2666</v>
      </c>
    </row>
    <row r="297" spans="1:14" ht="33.75">
      <c r="A297" s="37" t="s">
        <v>2521</v>
      </c>
      <c r="B297" s="8" t="s">
        <v>562</v>
      </c>
      <c r="C297" s="7" t="s">
        <v>563</v>
      </c>
      <c r="D297" s="7" t="s">
        <v>2519</v>
      </c>
      <c r="E297" s="49" t="s">
        <v>65</v>
      </c>
      <c r="F297" s="49" t="s">
        <v>319</v>
      </c>
      <c r="G297" s="49" t="s">
        <v>1739</v>
      </c>
      <c r="H297" s="49" t="s">
        <v>2520</v>
      </c>
      <c r="I297" s="19">
        <v>419.3</v>
      </c>
      <c r="J297" s="48" t="s">
        <v>106</v>
      </c>
      <c r="K297" s="19">
        <f>I297/30/20*10</f>
        <v>6.9883333333333333</v>
      </c>
      <c r="L297" s="14">
        <v>50</v>
      </c>
      <c r="M297" s="6" t="s">
        <v>2174</v>
      </c>
      <c r="N297" s="6" t="s">
        <v>2666</v>
      </c>
    </row>
    <row r="298" spans="1:14" ht="33.75">
      <c r="A298" s="35" t="s">
        <v>2522</v>
      </c>
      <c r="B298" s="50" t="s">
        <v>562</v>
      </c>
      <c r="C298" s="8" t="s">
        <v>563</v>
      </c>
      <c r="D298" s="36" t="s">
        <v>2523</v>
      </c>
      <c r="E298" s="5" t="s">
        <v>65</v>
      </c>
      <c r="F298" s="5" t="s">
        <v>486</v>
      </c>
      <c r="G298" s="5" t="s">
        <v>2524</v>
      </c>
      <c r="H298" s="5" t="s">
        <v>43</v>
      </c>
      <c r="I298" s="19">
        <v>356.2</v>
      </c>
      <c r="J298" s="48" t="s">
        <v>106</v>
      </c>
      <c r="K298" s="19">
        <f>I298/28/10*10</f>
        <v>12.721428571428572</v>
      </c>
      <c r="L298" s="14">
        <v>50</v>
      </c>
      <c r="M298" s="6" t="s">
        <v>2174</v>
      </c>
      <c r="N298" s="6" t="s">
        <v>2666</v>
      </c>
    </row>
    <row r="299" spans="1:14" ht="33.75">
      <c r="A299" s="35" t="s">
        <v>2525</v>
      </c>
      <c r="B299" s="50" t="s">
        <v>562</v>
      </c>
      <c r="C299" s="8" t="s">
        <v>563</v>
      </c>
      <c r="D299" s="36" t="s">
        <v>2523</v>
      </c>
      <c r="E299" s="5" t="s">
        <v>65</v>
      </c>
      <c r="F299" s="5" t="s">
        <v>46</v>
      </c>
      <c r="G299" s="5" t="s">
        <v>2524</v>
      </c>
      <c r="H299" s="5" t="s">
        <v>43</v>
      </c>
      <c r="I299" s="19">
        <v>391.3</v>
      </c>
      <c r="J299" s="48" t="s">
        <v>106</v>
      </c>
      <c r="K299" s="19">
        <f>I299/28/20*10</f>
        <v>6.9874999999999998</v>
      </c>
      <c r="L299" s="14">
        <v>50</v>
      </c>
      <c r="M299" s="6" t="s">
        <v>2174</v>
      </c>
      <c r="N299" s="6" t="s">
        <v>2666</v>
      </c>
    </row>
    <row r="300" spans="1:14" ht="33.75">
      <c r="A300" s="35" t="s">
        <v>2526</v>
      </c>
      <c r="B300" s="29" t="s">
        <v>562</v>
      </c>
      <c r="C300" s="8" t="s">
        <v>563</v>
      </c>
      <c r="D300" s="36" t="s">
        <v>1760</v>
      </c>
      <c r="E300" s="15" t="s">
        <v>65</v>
      </c>
      <c r="F300" s="5" t="s">
        <v>266</v>
      </c>
      <c r="G300" s="5" t="s">
        <v>3058</v>
      </c>
      <c r="H300" s="5" t="s">
        <v>3059</v>
      </c>
      <c r="I300" s="21">
        <v>187.7</v>
      </c>
      <c r="J300" s="21" t="s">
        <v>106</v>
      </c>
      <c r="K300" s="48">
        <f>I300/30/5*10</f>
        <v>12.513333333333332</v>
      </c>
      <c r="L300" s="14">
        <v>50</v>
      </c>
      <c r="M300" s="6" t="s">
        <v>2174</v>
      </c>
      <c r="N300" s="6" t="s">
        <v>2666</v>
      </c>
    </row>
    <row r="301" spans="1:14" ht="33.75">
      <c r="A301" s="29" t="s">
        <v>2696</v>
      </c>
      <c r="B301" s="29" t="s">
        <v>562</v>
      </c>
      <c r="C301" s="29" t="s">
        <v>563</v>
      </c>
      <c r="D301" s="29" t="s">
        <v>569</v>
      </c>
      <c r="E301" s="15" t="s">
        <v>65</v>
      </c>
      <c r="F301" s="15" t="s">
        <v>266</v>
      </c>
      <c r="G301" s="15" t="s">
        <v>2697</v>
      </c>
      <c r="H301" s="15" t="s">
        <v>12</v>
      </c>
      <c r="I301" s="21">
        <v>187.7</v>
      </c>
      <c r="J301" s="15" t="s">
        <v>106</v>
      </c>
      <c r="K301" s="48">
        <f>I301/30/5*10</f>
        <v>12.513333333333332</v>
      </c>
      <c r="L301" s="14">
        <v>50</v>
      </c>
      <c r="M301" s="6" t="s">
        <v>2174</v>
      </c>
      <c r="N301" s="6" t="s">
        <v>2666</v>
      </c>
    </row>
    <row r="302" spans="1:14" ht="33.75">
      <c r="A302" s="9" t="s">
        <v>571</v>
      </c>
      <c r="B302" s="6" t="s">
        <v>572</v>
      </c>
      <c r="C302" s="6" t="s">
        <v>573</v>
      </c>
      <c r="D302" s="6" t="s">
        <v>574</v>
      </c>
      <c r="E302" s="11" t="s">
        <v>81</v>
      </c>
      <c r="F302" s="11" t="s">
        <v>348</v>
      </c>
      <c r="G302" s="11" t="s">
        <v>304</v>
      </c>
      <c r="H302" s="11" t="s">
        <v>136</v>
      </c>
      <c r="I302" s="20">
        <v>348.6</v>
      </c>
      <c r="J302" s="20" t="s">
        <v>575</v>
      </c>
      <c r="K302" s="14">
        <f>I302/30/100*100</f>
        <v>11.620000000000001</v>
      </c>
      <c r="L302" s="14">
        <v>50</v>
      </c>
      <c r="M302" s="6"/>
      <c r="N302" s="6" t="s">
        <v>2666</v>
      </c>
    </row>
    <row r="303" spans="1:14" ht="33.75">
      <c r="A303" s="8" t="s">
        <v>1935</v>
      </c>
      <c r="B303" s="8" t="s">
        <v>1574</v>
      </c>
      <c r="C303" s="8" t="s">
        <v>1575</v>
      </c>
      <c r="D303" s="8" t="s">
        <v>1576</v>
      </c>
      <c r="E303" s="5" t="s">
        <v>55</v>
      </c>
      <c r="F303" s="5" t="s">
        <v>56</v>
      </c>
      <c r="G303" s="5" t="s">
        <v>1495</v>
      </c>
      <c r="H303" s="5" t="s">
        <v>43</v>
      </c>
      <c r="I303" s="19">
        <v>715</v>
      </c>
      <c r="J303" s="5" t="s">
        <v>106</v>
      </c>
      <c r="K303" s="18">
        <f>I303/30/10*10</f>
        <v>23.833333333333332</v>
      </c>
      <c r="L303" s="18">
        <v>50</v>
      </c>
      <c r="M303" s="8" t="s">
        <v>2175</v>
      </c>
      <c r="N303" s="6" t="s">
        <v>2666</v>
      </c>
    </row>
    <row r="304" spans="1:14" ht="33.75">
      <c r="A304" s="8" t="s">
        <v>1936</v>
      </c>
      <c r="B304" s="8" t="s">
        <v>1574</v>
      </c>
      <c r="C304" s="8" t="s">
        <v>1575</v>
      </c>
      <c r="D304" s="8" t="s">
        <v>1817</v>
      </c>
      <c r="E304" s="5" t="s">
        <v>55</v>
      </c>
      <c r="F304" s="5" t="s">
        <v>56</v>
      </c>
      <c r="G304" s="5" t="s">
        <v>777</v>
      </c>
      <c r="H304" s="5" t="s">
        <v>39</v>
      </c>
      <c r="I304" s="19">
        <v>715</v>
      </c>
      <c r="J304" s="5" t="s">
        <v>106</v>
      </c>
      <c r="K304" s="18">
        <f>I304/30/10*10</f>
        <v>23.833333333333332</v>
      </c>
      <c r="L304" s="18">
        <v>50</v>
      </c>
      <c r="M304" s="8" t="s">
        <v>2175</v>
      </c>
      <c r="N304" s="6" t="s">
        <v>2666</v>
      </c>
    </row>
    <row r="305" spans="1:14" ht="33.75">
      <c r="A305" s="8">
        <v>1104420</v>
      </c>
      <c r="B305" s="8" t="s">
        <v>1574</v>
      </c>
      <c r="C305" s="8" t="s">
        <v>1575</v>
      </c>
      <c r="D305" s="8" t="s">
        <v>2698</v>
      </c>
      <c r="E305" s="5" t="s">
        <v>55</v>
      </c>
      <c r="F305" s="5" t="s">
        <v>2647</v>
      </c>
      <c r="G305" s="5" t="s">
        <v>2699</v>
      </c>
      <c r="H305" s="5" t="s">
        <v>12</v>
      </c>
      <c r="I305" s="74">
        <v>715</v>
      </c>
      <c r="J305" s="21" t="s">
        <v>106</v>
      </c>
      <c r="K305" s="18">
        <f>I305/30/10*10</f>
        <v>23.833333333333332</v>
      </c>
      <c r="L305" s="18">
        <v>50</v>
      </c>
      <c r="M305" s="8" t="s">
        <v>2175</v>
      </c>
      <c r="N305" s="6" t="s">
        <v>2666</v>
      </c>
    </row>
    <row r="306" spans="1:14" ht="33.75">
      <c r="A306" s="37" t="s">
        <v>2527</v>
      </c>
      <c r="B306" s="8" t="s">
        <v>2528</v>
      </c>
      <c r="C306" s="7" t="s">
        <v>2529</v>
      </c>
      <c r="D306" s="7" t="s">
        <v>2530</v>
      </c>
      <c r="E306" s="12" t="s">
        <v>81</v>
      </c>
      <c r="F306" s="12" t="s">
        <v>2531</v>
      </c>
      <c r="G306" s="12" t="s">
        <v>2532</v>
      </c>
      <c r="H306" s="12" t="s">
        <v>2533</v>
      </c>
      <c r="I306" s="19">
        <v>1214.0999999999999</v>
      </c>
      <c r="J306" s="19" t="s">
        <v>349</v>
      </c>
      <c r="K306" s="19">
        <f t="shared" ref="K306:K314" si="1">I306/30</f>
        <v>40.47</v>
      </c>
      <c r="L306" s="14">
        <v>50</v>
      </c>
      <c r="M306" s="6" t="s">
        <v>2175</v>
      </c>
      <c r="N306" s="6" t="s">
        <v>2666</v>
      </c>
    </row>
    <row r="307" spans="1:14" ht="33.75">
      <c r="A307" s="37" t="s">
        <v>2534</v>
      </c>
      <c r="B307" s="8" t="s">
        <v>2528</v>
      </c>
      <c r="C307" s="7" t="s">
        <v>2529</v>
      </c>
      <c r="D307" s="7" t="s">
        <v>2530</v>
      </c>
      <c r="E307" s="12" t="s">
        <v>81</v>
      </c>
      <c r="F307" s="12" t="s">
        <v>2535</v>
      </c>
      <c r="G307" s="12" t="s">
        <v>2532</v>
      </c>
      <c r="H307" s="12" t="s">
        <v>2533</v>
      </c>
      <c r="I307" s="19">
        <v>1214.0999999999999</v>
      </c>
      <c r="J307" s="19" t="s">
        <v>349</v>
      </c>
      <c r="K307" s="19">
        <f t="shared" si="1"/>
        <v>40.47</v>
      </c>
      <c r="L307" s="14">
        <v>50</v>
      </c>
      <c r="M307" s="6" t="s">
        <v>2175</v>
      </c>
      <c r="N307" s="6" t="s">
        <v>2666</v>
      </c>
    </row>
    <row r="308" spans="1:14" ht="67.5">
      <c r="A308" s="8" t="s">
        <v>2700</v>
      </c>
      <c r="B308" s="8" t="s">
        <v>2528</v>
      </c>
      <c r="C308" s="8" t="s">
        <v>2529</v>
      </c>
      <c r="D308" s="8" t="s">
        <v>2701</v>
      </c>
      <c r="E308" s="81" t="s">
        <v>2702</v>
      </c>
      <c r="F308" s="39" t="s">
        <v>2531</v>
      </c>
      <c r="G308" s="5" t="s">
        <v>2937</v>
      </c>
      <c r="H308" s="5" t="s">
        <v>2703</v>
      </c>
      <c r="I308" s="19">
        <v>1096.5999999999999</v>
      </c>
      <c r="J308" s="19" t="s">
        <v>349</v>
      </c>
      <c r="K308" s="19">
        <f t="shared" si="1"/>
        <v>36.553333333333327</v>
      </c>
      <c r="L308" s="14">
        <v>50</v>
      </c>
      <c r="M308" s="6" t="s">
        <v>2175</v>
      </c>
      <c r="N308" s="6" t="s">
        <v>2666</v>
      </c>
    </row>
    <row r="309" spans="1:14" ht="67.5">
      <c r="A309" s="8">
        <v>1104907</v>
      </c>
      <c r="B309" s="8" t="s">
        <v>2528</v>
      </c>
      <c r="C309" s="8" t="s">
        <v>2529</v>
      </c>
      <c r="D309" s="8" t="s">
        <v>2701</v>
      </c>
      <c r="E309" s="39" t="s">
        <v>2702</v>
      </c>
      <c r="F309" s="39" t="s">
        <v>2535</v>
      </c>
      <c r="G309" s="5" t="s">
        <v>2937</v>
      </c>
      <c r="H309" s="5" t="s">
        <v>2703</v>
      </c>
      <c r="I309" s="19">
        <v>1134.3</v>
      </c>
      <c r="J309" s="19" t="s">
        <v>349</v>
      </c>
      <c r="K309" s="19">
        <f t="shared" si="1"/>
        <v>37.809999999999995</v>
      </c>
      <c r="L309" s="14">
        <v>50</v>
      </c>
      <c r="M309" s="6" t="s">
        <v>2175</v>
      </c>
      <c r="N309" s="6" t="s">
        <v>2666</v>
      </c>
    </row>
    <row r="310" spans="1:14" ht="33.75">
      <c r="A310" s="8">
        <v>1104051</v>
      </c>
      <c r="B310" s="8" t="s">
        <v>2528</v>
      </c>
      <c r="C310" s="8" t="s">
        <v>2529</v>
      </c>
      <c r="D310" s="8" t="s">
        <v>2704</v>
      </c>
      <c r="E310" s="5" t="s">
        <v>65</v>
      </c>
      <c r="F310" s="39" t="s">
        <v>2531</v>
      </c>
      <c r="G310" s="5" t="s">
        <v>2705</v>
      </c>
      <c r="H310" s="5" t="s">
        <v>43</v>
      </c>
      <c r="I310" s="19">
        <v>1096.5999999999999</v>
      </c>
      <c r="J310" s="19" t="s">
        <v>349</v>
      </c>
      <c r="K310" s="19">
        <f t="shared" si="1"/>
        <v>36.553333333333327</v>
      </c>
      <c r="L310" s="14">
        <v>50</v>
      </c>
      <c r="M310" s="6" t="s">
        <v>2175</v>
      </c>
      <c r="N310" s="6" t="s">
        <v>2666</v>
      </c>
    </row>
    <row r="311" spans="1:14" ht="33.75">
      <c r="A311" s="8">
        <v>1104053</v>
      </c>
      <c r="B311" s="8" t="s">
        <v>2528</v>
      </c>
      <c r="C311" s="8" t="s">
        <v>2529</v>
      </c>
      <c r="D311" s="8" t="s">
        <v>2704</v>
      </c>
      <c r="E311" s="5" t="s">
        <v>65</v>
      </c>
      <c r="F311" s="39" t="s">
        <v>2535</v>
      </c>
      <c r="G311" s="5" t="s">
        <v>2705</v>
      </c>
      <c r="H311" s="5" t="s">
        <v>43</v>
      </c>
      <c r="I311" s="19">
        <v>1134.3</v>
      </c>
      <c r="J311" s="19" t="s">
        <v>349</v>
      </c>
      <c r="K311" s="19">
        <f t="shared" si="1"/>
        <v>37.809999999999995</v>
      </c>
      <c r="L311" s="14">
        <v>50</v>
      </c>
      <c r="M311" s="6" t="s">
        <v>2175</v>
      </c>
      <c r="N311" s="6" t="s">
        <v>2666</v>
      </c>
    </row>
    <row r="312" spans="1:14" ht="33.75">
      <c r="A312" s="8">
        <v>1104054</v>
      </c>
      <c r="B312" s="8" t="s">
        <v>2528</v>
      </c>
      <c r="C312" s="8" t="s">
        <v>2529</v>
      </c>
      <c r="D312" s="8" t="s">
        <v>2704</v>
      </c>
      <c r="E312" s="5" t="s">
        <v>65</v>
      </c>
      <c r="F312" s="39" t="s">
        <v>2706</v>
      </c>
      <c r="G312" s="5" t="s">
        <v>2707</v>
      </c>
      <c r="H312" s="5" t="s">
        <v>43</v>
      </c>
      <c r="I312" s="19">
        <v>1162.3</v>
      </c>
      <c r="J312" s="19" t="s">
        <v>349</v>
      </c>
      <c r="K312" s="19">
        <f t="shared" si="1"/>
        <v>38.743333333333332</v>
      </c>
      <c r="L312" s="14">
        <v>50</v>
      </c>
      <c r="M312" s="6" t="s">
        <v>2175</v>
      </c>
      <c r="N312" s="6" t="s">
        <v>2666</v>
      </c>
    </row>
    <row r="313" spans="1:14" ht="33.75">
      <c r="A313" s="37" t="s">
        <v>2708</v>
      </c>
      <c r="B313" s="8" t="s">
        <v>2528</v>
      </c>
      <c r="C313" s="4" t="s">
        <v>2529</v>
      </c>
      <c r="D313" s="8" t="s">
        <v>2709</v>
      </c>
      <c r="E313" s="5" t="s">
        <v>65</v>
      </c>
      <c r="F313" s="12" t="s">
        <v>2531</v>
      </c>
      <c r="G313" s="5" t="s">
        <v>2710</v>
      </c>
      <c r="H313" s="5" t="s">
        <v>1319</v>
      </c>
      <c r="I313" s="19">
        <v>1096.5999999999999</v>
      </c>
      <c r="J313" s="19" t="s">
        <v>349</v>
      </c>
      <c r="K313" s="19">
        <f t="shared" si="1"/>
        <v>36.553333333333327</v>
      </c>
      <c r="L313" s="14">
        <v>50</v>
      </c>
      <c r="M313" s="6" t="s">
        <v>2175</v>
      </c>
      <c r="N313" s="6" t="s">
        <v>2666</v>
      </c>
    </row>
    <row r="314" spans="1:14" ht="33.75">
      <c r="A314" s="37" t="s">
        <v>2711</v>
      </c>
      <c r="B314" s="8" t="s">
        <v>2528</v>
      </c>
      <c r="C314" s="4" t="s">
        <v>2529</v>
      </c>
      <c r="D314" s="8" t="s">
        <v>2709</v>
      </c>
      <c r="E314" s="5" t="s">
        <v>65</v>
      </c>
      <c r="F314" s="12" t="s">
        <v>2535</v>
      </c>
      <c r="G314" s="5" t="s">
        <v>2710</v>
      </c>
      <c r="H314" s="5" t="s">
        <v>1319</v>
      </c>
      <c r="I314" s="19">
        <v>1134.3</v>
      </c>
      <c r="J314" s="19" t="s">
        <v>349</v>
      </c>
      <c r="K314" s="19">
        <f t="shared" si="1"/>
        <v>37.809999999999995</v>
      </c>
      <c r="L314" s="14">
        <v>50</v>
      </c>
      <c r="M314" s="6" t="s">
        <v>2175</v>
      </c>
      <c r="N314" s="6" t="s">
        <v>2666</v>
      </c>
    </row>
    <row r="315" spans="1:14" ht="33.75">
      <c r="A315" s="37" t="s">
        <v>2870</v>
      </c>
      <c r="B315" s="29" t="s">
        <v>2528</v>
      </c>
      <c r="C315" s="8" t="s">
        <v>2529</v>
      </c>
      <c r="D315" s="8" t="s">
        <v>2871</v>
      </c>
      <c r="E315" s="5" t="s">
        <v>65</v>
      </c>
      <c r="F315" s="5" t="s">
        <v>2531</v>
      </c>
      <c r="G315" s="5" t="s">
        <v>1739</v>
      </c>
      <c r="H315" s="5" t="s">
        <v>2520</v>
      </c>
      <c r="I315" s="19">
        <v>1096.5999999999999</v>
      </c>
      <c r="J315" s="19" t="s">
        <v>349</v>
      </c>
      <c r="K315" s="19">
        <f>I315/30</f>
        <v>36.553333333333327</v>
      </c>
      <c r="L315" s="14">
        <v>50</v>
      </c>
      <c r="M315" s="6" t="s">
        <v>2175</v>
      </c>
      <c r="N315" s="6" t="s">
        <v>2666</v>
      </c>
    </row>
    <row r="316" spans="1:14" ht="33.75">
      <c r="A316" s="37" t="s">
        <v>2872</v>
      </c>
      <c r="B316" s="29" t="s">
        <v>2528</v>
      </c>
      <c r="C316" s="8" t="s">
        <v>2529</v>
      </c>
      <c r="D316" s="8" t="s">
        <v>2871</v>
      </c>
      <c r="E316" s="5" t="s">
        <v>65</v>
      </c>
      <c r="F316" s="5" t="s">
        <v>2535</v>
      </c>
      <c r="G316" s="5" t="s">
        <v>1739</v>
      </c>
      <c r="H316" s="5" t="s">
        <v>2520</v>
      </c>
      <c r="I316" s="19">
        <v>1134.3</v>
      </c>
      <c r="J316" s="19" t="s">
        <v>349</v>
      </c>
      <c r="K316" s="19">
        <f>I316/30</f>
        <v>37.809999999999995</v>
      </c>
      <c r="L316" s="14">
        <v>50</v>
      </c>
      <c r="M316" s="6" t="s">
        <v>2175</v>
      </c>
      <c r="N316" s="6" t="s">
        <v>2666</v>
      </c>
    </row>
    <row r="317" spans="1:14" ht="22.5">
      <c r="A317" s="9" t="s">
        <v>1937</v>
      </c>
      <c r="B317" s="6" t="s">
        <v>576</v>
      </c>
      <c r="C317" s="6" t="s">
        <v>10</v>
      </c>
      <c r="D317" s="6" t="s">
        <v>1577</v>
      </c>
      <c r="E317" s="11" t="s">
        <v>577</v>
      </c>
      <c r="F317" s="11" t="s">
        <v>1578</v>
      </c>
      <c r="G317" s="11" t="s">
        <v>1380</v>
      </c>
      <c r="H317" s="11" t="s">
        <v>39</v>
      </c>
      <c r="I317" s="20">
        <v>188.3</v>
      </c>
      <c r="J317" s="11" t="s">
        <v>254</v>
      </c>
      <c r="K317" s="14" t="s">
        <v>254</v>
      </c>
      <c r="L317" s="14">
        <v>50</v>
      </c>
      <c r="M317" s="6"/>
      <c r="N317" s="6"/>
    </row>
    <row r="318" spans="1:14" ht="22.5">
      <c r="A318" s="9" t="s">
        <v>578</v>
      </c>
      <c r="B318" s="6" t="s">
        <v>579</v>
      </c>
      <c r="C318" s="6" t="s">
        <v>580</v>
      </c>
      <c r="D318" s="6" t="s">
        <v>581</v>
      </c>
      <c r="E318" s="11" t="s">
        <v>582</v>
      </c>
      <c r="F318" s="11" t="s">
        <v>583</v>
      </c>
      <c r="G318" s="11" t="s">
        <v>24</v>
      </c>
      <c r="H318" s="11" t="s">
        <v>12</v>
      </c>
      <c r="I318" s="20">
        <v>225</v>
      </c>
      <c r="J318" s="11" t="s">
        <v>254</v>
      </c>
      <c r="K318" s="14" t="s">
        <v>254</v>
      </c>
      <c r="L318" s="14">
        <v>50</v>
      </c>
      <c r="M318" s="6"/>
      <c r="N318" s="6"/>
    </row>
    <row r="319" spans="1:14" ht="22.5">
      <c r="A319" s="9" t="s">
        <v>584</v>
      </c>
      <c r="B319" s="6" t="s">
        <v>585</v>
      </c>
      <c r="C319" s="6" t="s">
        <v>1527</v>
      </c>
      <c r="D319" s="6" t="s">
        <v>586</v>
      </c>
      <c r="E319" s="11" t="s">
        <v>577</v>
      </c>
      <c r="F319" s="15" t="s">
        <v>3018</v>
      </c>
      <c r="G319" s="15" t="s">
        <v>1857</v>
      </c>
      <c r="H319" s="15" t="s">
        <v>12</v>
      </c>
      <c r="I319" s="20">
        <v>408.4</v>
      </c>
      <c r="J319" s="11" t="s">
        <v>254</v>
      </c>
      <c r="K319" s="14" t="s">
        <v>254</v>
      </c>
      <c r="L319" s="14">
        <v>50</v>
      </c>
      <c r="M319" s="6"/>
      <c r="N319" s="6"/>
    </row>
    <row r="320" spans="1:14" ht="22.5">
      <c r="A320" s="9" t="s">
        <v>587</v>
      </c>
      <c r="B320" s="6" t="s">
        <v>588</v>
      </c>
      <c r="C320" s="6" t="s">
        <v>1305</v>
      </c>
      <c r="D320" s="8" t="s">
        <v>2618</v>
      </c>
      <c r="E320" s="11" t="s">
        <v>582</v>
      </c>
      <c r="F320" s="11" t="s">
        <v>1883</v>
      </c>
      <c r="G320" s="11" t="s">
        <v>1881</v>
      </c>
      <c r="H320" s="11" t="s">
        <v>12</v>
      </c>
      <c r="I320" s="20">
        <v>70.7</v>
      </c>
      <c r="J320" s="11" t="s">
        <v>254</v>
      </c>
      <c r="K320" s="14" t="s">
        <v>254</v>
      </c>
      <c r="L320" s="14">
        <v>50</v>
      </c>
      <c r="M320" s="6"/>
      <c r="N320" s="6"/>
    </row>
    <row r="321" spans="1:14" ht="22.5">
      <c r="A321" s="9" t="s">
        <v>590</v>
      </c>
      <c r="B321" s="6" t="s">
        <v>591</v>
      </c>
      <c r="C321" s="6" t="s">
        <v>592</v>
      </c>
      <c r="D321" s="6" t="s">
        <v>593</v>
      </c>
      <c r="E321" s="11" t="s">
        <v>594</v>
      </c>
      <c r="F321" s="11" t="s">
        <v>595</v>
      </c>
      <c r="G321" s="11" t="s">
        <v>11</v>
      </c>
      <c r="H321" s="11" t="s">
        <v>12</v>
      </c>
      <c r="I321" s="20">
        <v>127.1</v>
      </c>
      <c r="J321" s="11" t="s">
        <v>254</v>
      </c>
      <c r="K321" s="14" t="s">
        <v>254</v>
      </c>
      <c r="L321" s="14">
        <v>50</v>
      </c>
      <c r="M321" s="6"/>
      <c r="N321" s="6"/>
    </row>
    <row r="322" spans="1:14" ht="22.5">
      <c r="A322" s="9" t="s">
        <v>600</v>
      </c>
      <c r="B322" s="6" t="s">
        <v>596</v>
      </c>
      <c r="C322" s="6" t="s">
        <v>597</v>
      </c>
      <c r="D322" s="6" t="s">
        <v>598</v>
      </c>
      <c r="E322" s="11" t="s">
        <v>582</v>
      </c>
      <c r="F322" s="11" t="s">
        <v>599</v>
      </c>
      <c r="G322" s="11" t="s">
        <v>11</v>
      </c>
      <c r="H322" s="11" t="s">
        <v>12</v>
      </c>
      <c r="I322" s="20">
        <v>113.1</v>
      </c>
      <c r="J322" s="11" t="s">
        <v>254</v>
      </c>
      <c r="K322" s="14" t="s">
        <v>254</v>
      </c>
      <c r="L322" s="14">
        <v>50</v>
      </c>
      <c r="M322" s="6"/>
      <c r="N322" s="6"/>
    </row>
    <row r="323" spans="1:14" ht="45">
      <c r="A323" s="9" t="s">
        <v>601</v>
      </c>
      <c r="B323" s="6" t="s">
        <v>602</v>
      </c>
      <c r="C323" s="6" t="s">
        <v>603</v>
      </c>
      <c r="D323" s="6" t="s">
        <v>604</v>
      </c>
      <c r="E323" s="11" t="s">
        <v>577</v>
      </c>
      <c r="F323" s="11" t="s">
        <v>605</v>
      </c>
      <c r="G323" s="11" t="s">
        <v>1454</v>
      </c>
      <c r="H323" s="11" t="s">
        <v>1455</v>
      </c>
      <c r="I323" s="20">
        <v>1184.5999999999999</v>
      </c>
      <c r="J323" s="11" t="s">
        <v>254</v>
      </c>
      <c r="K323" s="14" t="s">
        <v>254</v>
      </c>
      <c r="L323" s="14">
        <v>50</v>
      </c>
      <c r="M323" s="6" t="s">
        <v>2176</v>
      </c>
      <c r="N323" s="6" t="s">
        <v>2177</v>
      </c>
    </row>
    <row r="324" spans="1:14" ht="22.5">
      <c r="A324" s="9" t="s">
        <v>606</v>
      </c>
      <c r="B324" s="6" t="s">
        <v>607</v>
      </c>
      <c r="C324" s="6" t="s">
        <v>608</v>
      </c>
      <c r="D324" s="6" t="s">
        <v>609</v>
      </c>
      <c r="E324" s="11" t="s">
        <v>610</v>
      </c>
      <c r="F324" s="11" t="s">
        <v>2137</v>
      </c>
      <c r="G324" s="11" t="s">
        <v>1881</v>
      </c>
      <c r="H324" s="11" t="s">
        <v>12</v>
      </c>
      <c r="I324" s="20">
        <v>171.1</v>
      </c>
      <c r="J324" s="11" t="s">
        <v>611</v>
      </c>
      <c r="K324" s="14">
        <f>I324/10/500*500</f>
        <v>17.11</v>
      </c>
      <c r="L324" s="14">
        <v>50</v>
      </c>
      <c r="M324" s="6" t="s">
        <v>2178</v>
      </c>
      <c r="N324" s="6" t="s">
        <v>2179</v>
      </c>
    </row>
    <row r="325" spans="1:14" ht="22.5">
      <c r="A325" s="9" t="s">
        <v>612</v>
      </c>
      <c r="B325" s="6" t="s">
        <v>613</v>
      </c>
      <c r="C325" s="6" t="s">
        <v>10</v>
      </c>
      <c r="D325" s="6" t="s">
        <v>2130</v>
      </c>
      <c r="E325" s="11" t="s">
        <v>610</v>
      </c>
      <c r="F325" s="11" t="s">
        <v>2132</v>
      </c>
      <c r="G325" s="11" t="s">
        <v>11</v>
      </c>
      <c r="H325" s="11" t="s">
        <v>12</v>
      </c>
      <c r="I325" s="20">
        <v>298.10000000000002</v>
      </c>
      <c r="J325" s="11" t="s">
        <v>575</v>
      </c>
      <c r="K325" s="14">
        <f>I325/7/200*100</f>
        <v>21.292857142857144</v>
      </c>
      <c r="L325" s="14">
        <v>50</v>
      </c>
      <c r="M325" s="6" t="s">
        <v>2178</v>
      </c>
      <c r="N325" s="6" t="s">
        <v>2179</v>
      </c>
    </row>
    <row r="326" spans="1:14" ht="33.75">
      <c r="A326" s="9" t="s">
        <v>614</v>
      </c>
      <c r="B326" s="6" t="s">
        <v>615</v>
      </c>
      <c r="C326" s="6" t="s">
        <v>616</v>
      </c>
      <c r="D326" s="6" t="s">
        <v>617</v>
      </c>
      <c r="E326" s="11" t="s">
        <v>618</v>
      </c>
      <c r="F326" s="11" t="s">
        <v>619</v>
      </c>
      <c r="G326" s="11" t="s">
        <v>24</v>
      </c>
      <c r="H326" s="11" t="s">
        <v>12</v>
      </c>
      <c r="I326" s="20">
        <v>97.8</v>
      </c>
      <c r="J326" s="11" t="s">
        <v>620</v>
      </c>
      <c r="K326" s="14">
        <f>I326/10/0.25*0.2</f>
        <v>7.8239999999999998</v>
      </c>
      <c r="L326" s="14">
        <v>50</v>
      </c>
      <c r="M326" s="6" t="s">
        <v>2180</v>
      </c>
      <c r="N326" s="6" t="s">
        <v>2179</v>
      </c>
    </row>
    <row r="327" spans="1:14" ht="22.5">
      <c r="A327" s="6" t="s">
        <v>2021</v>
      </c>
      <c r="B327" s="6" t="s">
        <v>2995</v>
      </c>
      <c r="C327" s="6" t="s">
        <v>1062</v>
      </c>
      <c r="D327" s="6" t="s">
        <v>1063</v>
      </c>
      <c r="E327" s="11" t="s">
        <v>55</v>
      </c>
      <c r="F327" s="11" t="s">
        <v>373</v>
      </c>
      <c r="G327" s="11" t="s">
        <v>20</v>
      </c>
      <c r="H327" s="11" t="s">
        <v>12</v>
      </c>
      <c r="I327" s="20">
        <v>467.8</v>
      </c>
      <c r="J327" s="11" t="s">
        <v>29</v>
      </c>
      <c r="K327" s="14">
        <f>I327/30/2.5*40</f>
        <v>249.49333333333334</v>
      </c>
      <c r="L327" s="14">
        <v>50</v>
      </c>
      <c r="M327" s="6"/>
      <c r="N327" s="6" t="s">
        <v>2254</v>
      </c>
    </row>
    <row r="328" spans="1:14" ht="56.25">
      <c r="A328" s="9" t="s">
        <v>623</v>
      </c>
      <c r="B328" s="6" t="s">
        <v>624</v>
      </c>
      <c r="C328" s="6" t="s">
        <v>625</v>
      </c>
      <c r="D328" s="6" t="s">
        <v>626</v>
      </c>
      <c r="E328" s="11" t="s">
        <v>622</v>
      </c>
      <c r="F328" s="11" t="s">
        <v>348</v>
      </c>
      <c r="G328" s="5" t="s">
        <v>3019</v>
      </c>
      <c r="H328" s="5" t="s">
        <v>3020</v>
      </c>
      <c r="I328" s="20">
        <v>672.4</v>
      </c>
      <c r="J328" s="20" t="s">
        <v>627</v>
      </c>
      <c r="K328" s="14">
        <f>I328/30/100*300</f>
        <v>67.240000000000009</v>
      </c>
      <c r="L328" s="14">
        <v>50</v>
      </c>
      <c r="M328" s="6" t="s">
        <v>2181</v>
      </c>
      <c r="N328" s="6" t="s">
        <v>2182</v>
      </c>
    </row>
    <row r="329" spans="1:14" ht="78.75">
      <c r="A329" s="9" t="s">
        <v>628</v>
      </c>
      <c r="B329" s="6" t="s">
        <v>624</v>
      </c>
      <c r="C329" s="6" t="s">
        <v>625</v>
      </c>
      <c r="D329" s="6" t="s">
        <v>626</v>
      </c>
      <c r="E329" s="11" t="s">
        <v>622</v>
      </c>
      <c r="F329" s="11" t="s">
        <v>629</v>
      </c>
      <c r="G329" s="47" t="s">
        <v>3021</v>
      </c>
      <c r="H329" s="47" t="s">
        <v>3022</v>
      </c>
      <c r="I329" s="20">
        <v>718.2</v>
      </c>
      <c r="J329" s="20" t="s">
        <v>627</v>
      </c>
      <c r="K329" s="14">
        <f>I329/14/200*300</f>
        <v>76.95</v>
      </c>
      <c r="L329" s="14">
        <v>50</v>
      </c>
      <c r="M329" s="6" t="s">
        <v>2181</v>
      </c>
      <c r="N329" s="6" t="s">
        <v>2182</v>
      </c>
    </row>
    <row r="330" spans="1:14" ht="22.5">
      <c r="A330" s="9" t="s">
        <v>630</v>
      </c>
      <c r="B330" s="6" t="s">
        <v>631</v>
      </c>
      <c r="C330" s="6" t="s">
        <v>1878</v>
      </c>
      <c r="D330" s="6" t="s">
        <v>632</v>
      </c>
      <c r="E330" s="11" t="s">
        <v>436</v>
      </c>
      <c r="F330" s="5" t="s">
        <v>2129</v>
      </c>
      <c r="G330" s="5" t="s">
        <v>1449</v>
      </c>
      <c r="H330" s="5" t="s">
        <v>50</v>
      </c>
      <c r="I330" s="20">
        <v>142.9</v>
      </c>
      <c r="J330" s="11" t="s">
        <v>621</v>
      </c>
      <c r="K330" s="14">
        <f>I330/21*0.75</f>
        <v>5.1035714285714295</v>
      </c>
      <c r="L330" s="14">
        <v>50</v>
      </c>
      <c r="M330" s="6" t="s">
        <v>2183</v>
      </c>
      <c r="N330" s="6" t="s">
        <v>2184</v>
      </c>
    </row>
    <row r="331" spans="1:14" ht="33.75">
      <c r="A331" s="9" t="s">
        <v>633</v>
      </c>
      <c r="B331" s="6" t="s">
        <v>634</v>
      </c>
      <c r="C331" s="6" t="s">
        <v>635</v>
      </c>
      <c r="D331" s="6" t="s">
        <v>636</v>
      </c>
      <c r="E331" s="11" t="s">
        <v>55</v>
      </c>
      <c r="F331" s="11" t="s">
        <v>909</v>
      </c>
      <c r="G331" s="34" t="s">
        <v>1526</v>
      </c>
      <c r="H331" s="34" t="s">
        <v>637</v>
      </c>
      <c r="I331" s="20">
        <v>1834.8</v>
      </c>
      <c r="J331" s="11" t="s">
        <v>575</v>
      </c>
      <c r="K331" s="14">
        <f>I331/50/50*100</f>
        <v>73.391999999999996</v>
      </c>
      <c r="L331" s="14">
        <v>50</v>
      </c>
      <c r="M331" s="6" t="s">
        <v>2185</v>
      </c>
      <c r="N331" s="6" t="s">
        <v>2186</v>
      </c>
    </row>
    <row r="332" spans="1:14" ht="22.5">
      <c r="A332" s="6" t="s">
        <v>1938</v>
      </c>
      <c r="B332" s="40" t="s">
        <v>1501</v>
      </c>
      <c r="C332" s="40" t="s">
        <v>1502</v>
      </c>
      <c r="D332" s="40" t="s">
        <v>1503</v>
      </c>
      <c r="E332" s="14" t="s">
        <v>65</v>
      </c>
      <c r="F332" s="14" t="s">
        <v>1504</v>
      </c>
      <c r="G332" s="5" t="s">
        <v>2614</v>
      </c>
      <c r="H332" s="14" t="s">
        <v>136</v>
      </c>
      <c r="I332" s="20">
        <v>13812.3</v>
      </c>
      <c r="J332" s="5" t="s">
        <v>447</v>
      </c>
      <c r="K332" s="19">
        <f>I332/90/20*50</f>
        <v>383.67500000000001</v>
      </c>
      <c r="L332" s="14">
        <v>50</v>
      </c>
      <c r="M332" s="6" t="s">
        <v>2187</v>
      </c>
      <c r="N332" s="6" t="s">
        <v>2333</v>
      </c>
    </row>
    <row r="333" spans="1:14" ht="22.5">
      <c r="A333" s="8" t="s">
        <v>1939</v>
      </c>
      <c r="B333" s="8" t="s">
        <v>1501</v>
      </c>
      <c r="C333" s="8" t="s">
        <v>1502</v>
      </c>
      <c r="D333" s="8" t="s">
        <v>1860</v>
      </c>
      <c r="E333" s="5" t="s">
        <v>65</v>
      </c>
      <c r="F333" s="5" t="s">
        <v>1504</v>
      </c>
      <c r="G333" s="5" t="s">
        <v>1422</v>
      </c>
      <c r="H333" s="5" t="s">
        <v>12</v>
      </c>
      <c r="I333" s="21">
        <v>12431</v>
      </c>
      <c r="J333" s="5" t="s">
        <v>447</v>
      </c>
      <c r="K333" s="19">
        <f>I333/90/20*50</f>
        <v>345.3055555555556</v>
      </c>
      <c r="L333" s="14">
        <v>50</v>
      </c>
      <c r="M333" s="6" t="s">
        <v>2187</v>
      </c>
      <c r="N333" s="6" t="s">
        <v>2333</v>
      </c>
    </row>
    <row r="334" spans="1:14" ht="22.5">
      <c r="A334" s="37" t="s">
        <v>2459</v>
      </c>
      <c r="B334" s="8" t="s">
        <v>1501</v>
      </c>
      <c r="C334" s="8" t="s">
        <v>1502</v>
      </c>
      <c r="D334" s="8" t="s">
        <v>2460</v>
      </c>
      <c r="E334" s="5" t="s">
        <v>65</v>
      </c>
      <c r="F334" s="5" t="s">
        <v>1504</v>
      </c>
      <c r="G334" s="5" t="s">
        <v>49</v>
      </c>
      <c r="H334" s="5" t="s">
        <v>50</v>
      </c>
      <c r="I334" s="21">
        <v>12431</v>
      </c>
      <c r="J334" s="5" t="s">
        <v>447</v>
      </c>
      <c r="K334" s="19">
        <f>I334/90/20*50</f>
        <v>345.3055555555556</v>
      </c>
      <c r="L334" s="14">
        <v>50</v>
      </c>
      <c r="M334" s="6" t="s">
        <v>2187</v>
      </c>
      <c r="N334" s="6" t="s">
        <v>2333</v>
      </c>
    </row>
    <row r="335" spans="1:14" ht="33.75">
      <c r="A335" s="35" t="s">
        <v>2712</v>
      </c>
      <c r="B335" s="8" t="s">
        <v>1501</v>
      </c>
      <c r="C335" s="8" t="s">
        <v>1502</v>
      </c>
      <c r="D335" s="36" t="s">
        <v>2713</v>
      </c>
      <c r="E335" s="5" t="s">
        <v>65</v>
      </c>
      <c r="F335" s="5" t="s">
        <v>2714</v>
      </c>
      <c r="G335" s="5" t="s">
        <v>2715</v>
      </c>
      <c r="H335" s="5" t="s">
        <v>1473</v>
      </c>
      <c r="I335" s="21">
        <v>12431</v>
      </c>
      <c r="J335" s="5" t="s">
        <v>447</v>
      </c>
      <c r="K335" s="19">
        <f>I335/90/20*50</f>
        <v>345.3055555555556</v>
      </c>
      <c r="L335" s="14">
        <v>50</v>
      </c>
      <c r="M335" s="6" t="s">
        <v>2187</v>
      </c>
      <c r="N335" s="6" t="s">
        <v>2333</v>
      </c>
    </row>
    <row r="336" spans="1:14" ht="90">
      <c r="A336" s="9" t="s">
        <v>644</v>
      </c>
      <c r="B336" s="6" t="s">
        <v>638</v>
      </c>
      <c r="C336" s="6" t="s">
        <v>639</v>
      </c>
      <c r="D336" s="6" t="s">
        <v>645</v>
      </c>
      <c r="E336" s="11" t="s">
        <v>2133</v>
      </c>
      <c r="F336" s="11" t="s">
        <v>646</v>
      </c>
      <c r="G336" s="11" t="s">
        <v>642</v>
      </c>
      <c r="H336" s="11" t="s">
        <v>643</v>
      </c>
      <c r="I336" s="19">
        <v>9204.2999999999993</v>
      </c>
      <c r="J336" s="11" t="s">
        <v>640</v>
      </c>
      <c r="K336" s="20">
        <f>I336/15.9*2</f>
        <v>1157.7735849056603</v>
      </c>
      <c r="L336" s="14">
        <v>50</v>
      </c>
      <c r="M336" s="6" t="s">
        <v>2190</v>
      </c>
      <c r="N336" s="6" t="s">
        <v>2191</v>
      </c>
    </row>
    <row r="337" spans="1:14" ht="90">
      <c r="A337" s="9" t="s">
        <v>647</v>
      </c>
      <c r="B337" s="6" t="s">
        <v>638</v>
      </c>
      <c r="C337" s="6" t="s">
        <v>639</v>
      </c>
      <c r="D337" s="6" t="s">
        <v>645</v>
      </c>
      <c r="E337" s="11" t="s">
        <v>2133</v>
      </c>
      <c r="F337" s="11" t="s">
        <v>648</v>
      </c>
      <c r="G337" s="11" t="s">
        <v>642</v>
      </c>
      <c r="H337" s="11" t="s">
        <v>643</v>
      </c>
      <c r="I337" s="19">
        <v>20709.7</v>
      </c>
      <c r="J337" s="11" t="s">
        <v>640</v>
      </c>
      <c r="K337" s="20">
        <f>I337/36*2</f>
        <v>1150.538888888889</v>
      </c>
      <c r="L337" s="14">
        <v>50</v>
      </c>
      <c r="M337" s="6" t="s">
        <v>2190</v>
      </c>
      <c r="N337" s="6" t="s">
        <v>2191</v>
      </c>
    </row>
    <row r="338" spans="1:14" ht="90">
      <c r="A338" s="9" t="s">
        <v>1408</v>
      </c>
      <c r="B338" s="6" t="s">
        <v>638</v>
      </c>
      <c r="C338" s="6" t="s">
        <v>639</v>
      </c>
      <c r="D338" s="44" t="s">
        <v>1412</v>
      </c>
      <c r="E338" s="11" t="s">
        <v>1406</v>
      </c>
      <c r="F338" s="11" t="s">
        <v>1447</v>
      </c>
      <c r="G338" s="11" t="s">
        <v>1407</v>
      </c>
      <c r="H338" s="11" t="s">
        <v>713</v>
      </c>
      <c r="I338" s="20">
        <v>16572.5</v>
      </c>
      <c r="J338" s="11" t="s">
        <v>640</v>
      </c>
      <c r="K338" s="20">
        <f>I338/30*2</f>
        <v>1104.8333333333333</v>
      </c>
      <c r="L338" s="14">
        <v>50</v>
      </c>
      <c r="M338" s="6" t="s">
        <v>2190</v>
      </c>
      <c r="N338" s="6" t="s">
        <v>2191</v>
      </c>
    </row>
    <row r="339" spans="1:14" ht="112.5">
      <c r="A339" s="9" t="s">
        <v>1409</v>
      </c>
      <c r="B339" s="6" t="s">
        <v>638</v>
      </c>
      <c r="C339" s="6" t="s">
        <v>639</v>
      </c>
      <c r="D339" s="44" t="s">
        <v>1412</v>
      </c>
      <c r="E339" s="11" t="s">
        <v>1406</v>
      </c>
      <c r="F339" s="11" t="s">
        <v>1448</v>
      </c>
      <c r="G339" s="11" t="s">
        <v>1407</v>
      </c>
      <c r="H339" s="11" t="s">
        <v>713</v>
      </c>
      <c r="I339" s="20">
        <v>22541.3</v>
      </c>
      <c r="J339" s="11" t="s">
        <v>640</v>
      </c>
      <c r="K339" s="20">
        <f>I339/45*2</f>
        <v>1001.8355555555555</v>
      </c>
      <c r="L339" s="14">
        <v>50</v>
      </c>
      <c r="M339" s="6" t="s">
        <v>2437</v>
      </c>
      <c r="N339" s="6" t="s">
        <v>2191</v>
      </c>
    </row>
    <row r="340" spans="1:14" ht="78.75">
      <c r="A340" s="6" t="s">
        <v>1486</v>
      </c>
      <c r="B340" s="40" t="s">
        <v>638</v>
      </c>
      <c r="C340" s="40" t="s">
        <v>639</v>
      </c>
      <c r="D340" s="40" t="s">
        <v>1457</v>
      </c>
      <c r="E340" s="14" t="s">
        <v>160</v>
      </c>
      <c r="F340" s="14" t="s">
        <v>1458</v>
      </c>
      <c r="G340" s="14" t="s">
        <v>1459</v>
      </c>
      <c r="H340" s="14" t="s">
        <v>242</v>
      </c>
      <c r="I340" s="20">
        <v>13457.8</v>
      </c>
      <c r="J340" s="14" t="s">
        <v>640</v>
      </c>
      <c r="K340" s="20">
        <f>I340/(3*5.83*1.03)*2</f>
        <v>1494.09093684602</v>
      </c>
      <c r="L340" s="14">
        <v>50</v>
      </c>
      <c r="M340" s="6" t="s">
        <v>2188</v>
      </c>
      <c r="N340" s="6" t="s">
        <v>2189</v>
      </c>
    </row>
    <row r="341" spans="1:14" ht="78.75">
      <c r="A341" s="6" t="s">
        <v>1487</v>
      </c>
      <c r="B341" s="40" t="s">
        <v>638</v>
      </c>
      <c r="C341" s="40" t="s">
        <v>639</v>
      </c>
      <c r="D341" s="40" t="s">
        <v>1457</v>
      </c>
      <c r="E341" s="14" t="s">
        <v>160</v>
      </c>
      <c r="F341" s="14" t="s">
        <v>1460</v>
      </c>
      <c r="G341" s="14" t="s">
        <v>1459</v>
      </c>
      <c r="H341" s="14" t="s">
        <v>242</v>
      </c>
      <c r="I341" s="20">
        <v>26915.8</v>
      </c>
      <c r="J341" s="14" t="s">
        <v>640</v>
      </c>
      <c r="K341" s="20">
        <f>I341/(8*1.5*3)*2</f>
        <v>1495.3222222222221</v>
      </c>
      <c r="L341" s="14">
        <v>50</v>
      </c>
      <c r="M341" s="6" t="s">
        <v>2188</v>
      </c>
      <c r="N341" s="6" t="s">
        <v>2189</v>
      </c>
    </row>
    <row r="342" spans="1:14" ht="78.75">
      <c r="A342" s="6" t="s">
        <v>1488</v>
      </c>
      <c r="B342" s="40" t="s">
        <v>638</v>
      </c>
      <c r="C342" s="40" t="s">
        <v>639</v>
      </c>
      <c r="D342" s="40" t="s">
        <v>1457</v>
      </c>
      <c r="E342" s="14" t="s">
        <v>160</v>
      </c>
      <c r="F342" s="14" t="s">
        <v>1461</v>
      </c>
      <c r="G342" s="14" t="s">
        <v>1459</v>
      </c>
      <c r="H342" s="14" t="s">
        <v>242</v>
      </c>
      <c r="I342" s="20">
        <v>41893.800000000003</v>
      </c>
      <c r="J342" s="14" t="s">
        <v>640</v>
      </c>
      <c r="K342" s="20">
        <f>I342/(3*2.5*8)*2</f>
        <v>1396.46</v>
      </c>
      <c r="L342" s="14">
        <v>50</v>
      </c>
      <c r="M342" s="6" t="s">
        <v>2188</v>
      </c>
      <c r="N342" s="6" t="s">
        <v>2189</v>
      </c>
    </row>
    <row r="343" spans="1:14" ht="33.75">
      <c r="A343" s="6" t="s">
        <v>2902</v>
      </c>
      <c r="B343" s="40" t="s">
        <v>2903</v>
      </c>
      <c r="C343" s="40" t="s">
        <v>2904</v>
      </c>
      <c r="D343" s="40" t="s">
        <v>2905</v>
      </c>
      <c r="E343" s="14" t="s">
        <v>2498</v>
      </c>
      <c r="F343" s="14" t="s">
        <v>2906</v>
      </c>
      <c r="G343" s="14" t="s">
        <v>642</v>
      </c>
      <c r="H343" s="14" t="s">
        <v>643</v>
      </c>
      <c r="I343" s="20">
        <v>17284.8</v>
      </c>
      <c r="J343" s="14" t="s">
        <v>254</v>
      </c>
      <c r="K343" s="20" t="s">
        <v>254</v>
      </c>
      <c r="L343" s="14">
        <v>50</v>
      </c>
      <c r="M343" s="6" t="s">
        <v>2907</v>
      </c>
      <c r="N343" s="6" t="s">
        <v>2191</v>
      </c>
    </row>
    <row r="344" spans="1:14" ht="33.75">
      <c r="A344" s="6" t="s">
        <v>2908</v>
      </c>
      <c r="B344" s="40" t="s">
        <v>2903</v>
      </c>
      <c r="C344" s="40" t="s">
        <v>2904</v>
      </c>
      <c r="D344" s="40" t="s">
        <v>2905</v>
      </c>
      <c r="E344" s="14" t="s">
        <v>2498</v>
      </c>
      <c r="F344" s="14" t="s">
        <v>2909</v>
      </c>
      <c r="G344" s="14" t="s">
        <v>642</v>
      </c>
      <c r="H344" s="14" t="s">
        <v>643</v>
      </c>
      <c r="I344" s="20">
        <v>43212</v>
      </c>
      <c r="J344" s="14" t="s">
        <v>254</v>
      </c>
      <c r="K344" s="20" t="s">
        <v>254</v>
      </c>
      <c r="L344" s="14">
        <v>50</v>
      </c>
      <c r="M344" s="6" t="s">
        <v>2907</v>
      </c>
      <c r="N344" s="6" t="s">
        <v>2191</v>
      </c>
    </row>
    <row r="345" spans="1:14" ht="33.75">
      <c r="A345" s="9" t="s">
        <v>649</v>
      </c>
      <c r="B345" s="6" t="s">
        <v>650</v>
      </c>
      <c r="C345" s="6" t="s">
        <v>651</v>
      </c>
      <c r="D345" s="6" t="s">
        <v>652</v>
      </c>
      <c r="E345" s="11" t="s">
        <v>653</v>
      </c>
      <c r="F345" s="11" t="s">
        <v>654</v>
      </c>
      <c r="G345" s="11" t="s">
        <v>655</v>
      </c>
      <c r="H345" s="11" t="s">
        <v>656</v>
      </c>
      <c r="I345" s="20">
        <v>2459.5</v>
      </c>
      <c r="J345" s="11" t="s">
        <v>657</v>
      </c>
      <c r="K345" s="20">
        <f>I345/50/10*25</f>
        <v>122.97499999999999</v>
      </c>
      <c r="L345" s="14">
        <v>50</v>
      </c>
      <c r="M345" s="6"/>
      <c r="N345" s="6"/>
    </row>
    <row r="346" spans="1:14" ht="33.75">
      <c r="A346" s="9" t="s">
        <v>658</v>
      </c>
      <c r="B346" s="6" t="s">
        <v>650</v>
      </c>
      <c r="C346" s="6" t="s">
        <v>651</v>
      </c>
      <c r="D346" s="6" t="s">
        <v>652</v>
      </c>
      <c r="E346" s="11" t="s">
        <v>55</v>
      </c>
      <c r="F346" s="11" t="s">
        <v>659</v>
      </c>
      <c r="G346" s="11" t="s">
        <v>655</v>
      </c>
      <c r="H346" s="11" t="s">
        <v>656</v>
      </c>
      <c r="I346" s="20">
        <v>3781</v>
      </c>
      <c r="J346" s="11" t="s">
        <v>281</v>
      </c>
      <c r="K346" s="20">
        <f>I346/30/0.2*0.4</f>
        <v>252.06666666666666</v>
      </c>
      <c r="L346" s="14">
        <v>50</v>
      </c>
      <c r="M346" s="6"/>
      <c r="N346" s="6"/>
    </row>
    <row r="347" spans="1:14">
      <c r="A347" s="9" t="s">
        <v>1695</v>
      </c>
      <c r="B347" s="9" t="s">
        <v>650</v>
      </c>
      <c r="C347" s="9" t="s">
        <v>651</v>
      </c>
      <c r="D347" s="9" t="s">
        <v>1696</v>
      </c>
      <c r="E347" s="38" t="s">
        <v>1697</v>
      </c>
      <c r="F347" s="38" t="s">
        <v>1698</v>
      </c>
      <c r="G347" s="38" t="s">
        <v>1699</v>
      </c>
      <c r="H347" s="38" t="s">
        <v>50</v>
      </c>
      <c r="I347" s="20">
        <v>1885.2</v>
      </c>
      <c r="J347" s="20" t="s">
        <v>1700</v>
      </c>
      <c r="K347" s="20">
        <f>+I347/30/60*240</f>
        <v>251.36</v>
      </c>
      <c r="L347" s="20">
        <v>50</v>
      </c>
      <c r="M347" s="9"/>
      <c r="N347" s="9" t="s">
        <v>2192</v>
      </c>
    </row>
    <row r="348" spans="1:14" ht="22.5">
      <c r="A348" s="9" t="s">
        <v>1701</v>
      </c>
      <c r="B348" s="9" t="s">
        <v>650</v>
      </c>
      <c r="C348" s="9" t="s">
        <v>651</v>
      </c>
      <c r="D348" s="9" t="s">
        <v>1696</v>
      </c>
      <c r="E348" s="38" t="s">
        <v>1697</v>
      </c>
      <c r="F348" s="38" t="s">
        <v>1702</v>
      </c>
      <c r="G348" s="38" t="s">
        <v>1699</v>
      </c>
      <c r="H348" s="38" t="s">
        <v>50</v>
      </c>
      <c r="I348" s="20">
        <v>3711.9</v>
      </c>
      <c r="J348" s="20" t="s">
        <v>1700</v>
      </c>
      <c r="K348" s="20">
        <f>+I348/30/120*240</f>
        <v>247.46</v>
      </c>
      <c r="L348" s="20">
        <v>50</v>
      </c>
      <c r="M348" s="9"/>
      <c r="N348" s="9" t="s">
        <v>2192</v>
      </c>
    </row>
    <row r="349" spans="1:14" ht="22.5">
      <c r="A349" s="9" t="s">
        <v>660</v>
      </c>
      <c r="B349" s="6" t="s">
        <v>661</v>
      </c>
      <c r="C349" s="6" t="s">
        <v>662</v>
      </c>
      <c r="D349" s="6" t="s">
        <v>663</v>
      </c>
      <c r="E349" s="11" t="s">
        <v>55</v>
      </c>
      <c r="F349" s="11" t="s">
        <v>664</v>
      </c>
      <c r="G349" s="11" t="s">
        <v>11</v>
      </c>
      <c r="H349" s="11" t="s">
        <v>12</v>
      </c>
      <c r="I349" s="20">
        <v>383.1</v>
      </c>
      <c r="J349" s="11" t="s">
        <v>665</v>
      </c>
      <c r="K349" s="14">
        <f>I349/50/0.5*1.5</f>
        <v>22.986000000000004</v>
      </c>
      <c r="L349" s="14">
        <v>50</v>
      </c>
      <c r="M349" s="6"/>
      <c r="N349" s="6"/>
    </row>
    <row r="350" spans="1:14" ht="22.5">
      <c r="A350" s="8" t="s">
        <v>1940</v>
      </c>
      <c r="B350" s="8" t="s">
        <v>661</v>
      </c>
      <c r="C350" s="8" t="s">
        <v>662</v>
      </c>
      <c r="D350" s="8" t="s">
        <v>1861</v>
      </c>
      <c r="E350" s="5" t="s">
        <v>55</v>
      </c>
      <c r="F350" s="5" t="s">
        <v>1103</v>
      </c>
      <c r="G350" s="5" t="s">
        <v>1862</v>
      </c>
      <c r="H350" s="5" t="s">
        <v>713</v>
      </c>
      <c r="I350" s="20">
        <v>1235.5999999999999</v>
      </c>
      <c r="J350" s="11" t="s">
        <v>665</v>
      </c>
      <c r="K350" s="19">
        <f>+(I350/20)/4*1.5</f>
        <v>23.167499999999997</v>
      </c>
      <c r="L350" s="14">
        <v>50</v>
      </c>
      <c r="M350" s="6"/>
      <c r="N350" s="6"/>
    </row>
    <row r="351" spans="1:14" ht="22.5">
      <c r="A351" s="8" t="s">
        <v>1941</v>
      </c>
      <c r="B351" s="8" t="s">
        <v>661</v>
      </c>
      <c r="C351" s="8" t="s">
        <v>662</v>
      </c>
      <c r="D351" s="8" t="s">
        <v>1861</v>
      </c>
      <c r="E351" s="5" t="s">
        <v>55</v>
      </c>
      <c r="F351" s="5" t="s">
        <v>1561</v>
      </c>
      <c r="G351" s="5" t="s">
        <v>1862</v>
      </c>
      <c r="H351" s="5" t="s">
        <v>713</v>
      </c>
      <c r="I351" s="20">
        <v>1923</v>
      </c>
      <c r="J351" s="11" t="s">
        <v>665</v>
      </c>
      <c r="K351" s="19">
        <f>+(I351/20)/8*1.5</f>
        <v>18.028125000000003</v>
      </c>
      <c r="L351" s="14">
        <v>50</v>
      </c>
      <c r="M351" s="6"/>
      <c r="N351" s="6"/>
    </row>
    <row r="352" spans="1:14" ht="22.5">
      <c r="A352" s="35" t="s">
        <v>2536</v>
      </c>
      <c r="B352" s="8" t="s">
        <v>661</v>
      </c>
      <c r="C352" s="8" t="s">
        <v>662</v>
      </c>
      <c r="D352" s="8" t="s">
        <v>2537</v>
      </c>
      <c r="E352" s="5" t="s">
        <v>55</v>
      </c>
      <c r="F352" s="5" t="s">
        <v>1103</v>
      </c>
      <c r="G352" s="5" t="s">
        <v>2538</v>
      </c>
      <c r="H352" s="5" t="s">
        <v>43</v>
      </c>
      <c r="I352" s="19">
        <v>1235.5999999999999</v>
      </c>
      <c r="J352" s="11" t="s">
        <v>665</v>
      </c>
      <c r="K352" s="19">
        <f>I352/20/4*1.5</f>
        <v>23.167499999999997</v>
      </c>
      <c r="L352" s="14">
        <v>50</v>
      </c>
      <c r="M352" s="6"/>
      <c r="N352" s="6"/>
    </row>
    <row r="353" spans="1:14" ht="22.5">
      <c r="A353" s="35" t="s">
        <v>2539</v>
      </c>
      <c r="B353" s="8" t="s">
        <v>661</v>
      </c>
      <c r="C353" s="8" t="s">
        <v>662</v>
      </c>
      <c r="D353" s="8" t="s">
        <v>2537</v>
      </c>
      <c r="E353" s="5" t="s">
        <v>55</v>
      </c>
      <c r="F353" s="5" t="s">
        <v>1561</v>
      </c>
      <c r="G353" s="5" t="s">
        <v>2538</v>
      </c>
      <c r="H353" s="5" t="s">
        <v>43</v>
      </c>
      <c r="I353" s="19">
        <v>1002.9</v>
      </c>
      <c r="J353" s="11" t="s">
        <v>665</v>
      </c>
      <c r="K353" s="19">
        <f>I353/20/8*1.5</f>
        <v>9.4021875000000001</v>
      </c>
      <c r="L353" s="14">
        <v>50</v>
      </c>
      <c r="M353" s="6"/>
      <c r="N353" s="6"/>
    </row>
    <row r="354" spans="1:14" ht="22.5">
      <c r="A354" s="35" t="s">
        <v>2540</v>
      </c>
      <c r="B354" s="8" t="s">
        <v>661</v>
      </c>
      <c r="C354" s="8" t="s">
        <v>662</v>
      </c>
      <c r="D354" s="8" t="s">
        <v>2537</v>
      </c>
      <c r="E354" s="5" t="s">
        <v>55</v>
      </c>
      <c r="F354" s="5" t="s">
        <v>312</v>
      </c>
      <c r="G354" s="5" t="s">
        <v>2538</v>
      </c>
      <c r="H354" s="5" t="s">
        <v>43</v>
      </c>
      <c r="I354" s="19">
        <v>4487.8</v>
      </c>
      <c r="J354" s="11" t="s">
        <v>665</v>
      </c>
      <c r="K354" s="19">
        <f>I354/20/20*1.5</f>
        <v>16.829250000000002</v>
      </c>
      <c r="L354" s="14">
        <v>50</v>
      </c>
      <c r="M354" s="6"/>
      <c r="N354" s="6"/>
    </row>
    <row r="355" spans="1:14" ht="22.5">
      <c r="A355" s="9" t="s">
        <v>666</v>
      </c>
      <c r="B355" s="6" t="s">
        <v>667</v>
      </c>
      <c r="C355" s="6" t="s">
        <v>668</v>
      </c>
      <c r="D355" s="6" t="s">
        <v>669</v>
      </c>
      <c r="E355" s="11" t="s">
        <v>55</v>
      </c>
      <c r="F355" s="11" t="s">
        <v>312</v>
      </c>
      <c r="G355" s="11" t="s">
        <v>1881</v>
      </c>
      <c r="H355" s="11" t="s">
        <v>12</v>
      </c>
      <c r="I355" s="20">
        <v>363.1</v>
      </c>
      <c r="J355" s="11" t="s">
        <v>106</v>
      </c>
      <c r="K355" s="14">
        <f>I355/20/20*10</f>
        <v>9.0775000000000006</v>
      </c>
      <c r="L355" s="14">
        <v>50</v>
      </c>
      <c r="M355" s="6"/>
      <c r="N355" s="6"/>
    </row>
    <row r="356" spans="1:14" ht="22.5">
      <c r="A356" s="9" t="s">
        <v>670</v>
      </c>
      <c r="B356" s="6" t="s">
        <v>667</v>
      </c>
      <c r="C356" s="6" t="s">
        <v>668</v>
      </c>
      <c r="D356" s="6" t="s">
        <v>671</v>
      </c>
      <c r="E356" s="11" t="s">
        <v>55</v>
      </c>
      <c r="F356" s="11" t="s">
        <v>672</v>
      </c>
      <c r="G356" s="11" t="s">
        <v>100</v>
      </c>
      <c r="H356" s="11" t="s">
        <v>101</v>
      </c>
      <c r="I356" s="20">
        <v>59</v>
      </c>
      <c r="J356" s="11" t="s">
        <v>106</v>
      </c>
      <c r="K356" s="14">
        <f>I356/10/5*10</f>
        <v>11.8</v>
      </c>
      <c r="L356" s="14">
        <v>50</v>
      </c>
      <c r="M356" s="6"/>
      <c r="N356" s="6"/>
    </row>
    <row r="357" spans="1:14" ht="56.25">
      <c r="A357" s="9" t="s">
        <v>2683</v>
      </c>
      <c r="B357" s="6" t="s">
        <v>2684</v>
      </c>
      <c r="C357" s="6" t="s">
        <v>1305</v>
      </c>
      <c r="D357" s="6" t="s">
        <v>2685</v>
      </c>
      <c r="E357" s="11" t="s">
        <v>55</v>
      </c>
      <c r="F357" s="11" t="s">
        <v>2686</v>
      </c>
      <c r="G357" s="11" t="s">
        <v>3023</v>
      </c>
      <c r="H357" s="11" t="s">
        <v>3024</v>
      </c>
      <c r="I357" s="20">
        <v>2852.4</v>
      </c>
      <c r="J357" s="11" t="s">
        <v>37</v>
      </c>
      <c r="K357" s="14">
        <f>+(I357/100)/10*30</f>
        <v>85.572000000000003</v>
      </c>
      <c r="L357" s="14">
        <v>50</v>
      </c>
      <c r="M357" s="6"/>
      <c r="N357" s="6"/>
    </row>
    <row r="358" spans="1:14">
      <c r="A358" s="37" t="s">
        <v>2541</v>
      </c>
      <c r="B358" s="8" t="s">
        <v>673</v>
      </c>
      <c r="C358" s="6" t="s">
        <v>674</v>
      </c>
      <c r="D358" s="7" t="s">
        <v>2542</v>
      </c>
      <c r="E358" s="49" t="s">
        <v>55</v>
      </c>
      <c r="F358" s="49" t="s">
        <v>2543</v>
      </c>
      <c r="G358" s="49" t="s">
        <v>2544</v>
      </c>
      <c r="H358" s="49" t="s">
        <v>50</v>
      </c>
      <c r="I358" s="19">
        <v>106.3</v>
      </c>
      <c r="J358" s="19" t="s">
        <v>676</v>
      </c>
      <c r="K358" s="19">
        <f>I358/50/50*150</f>
        <v>6.3779999999999992</v>
      </c>
      <c r="L358" s="14">
        <v>50</v>
      </c>
      <c r="M358" s="6"/>
      <c r="N358" s="6"/>
    </row>
    <row r="359" spans="1:14">
      <c r="A359" s="37" t="s">
        <v>2545</v>
      </c>
      <c r="B359" s="8" t="s">
        <v>673</v>
      </c>
      <c r="C359" s="6" t="s">
        <v>674</v>
      </c>
      <c r="D359" s="7" t="s">
        <v>2546</v>
      </c>
      <c r="E359" s="49" t="s">
        <v>55</v>
      </c>
      <c r="F359" s="49" t="s">
        <v>2547</v>
      </c>
      <c r="G359" s="49" t="s">
        <v>2544</v>
      </c>
      <c r="H359" s="49" t="s">
        <v>50</v>
      </c>
      <c r="I359" s="19">
        <v>116.2</v>
      </c>
      <c r="J359" s="19" t="s">
        <v>676</v>
      </c>
      <c r="K359" s="19">
        <f>I359/50/75*150</f>
        <v>4.6479999999999997</v>
      </c>
      <c r="L359" s="14">
        <v>50</v>
      </c>
      <c r="M359" s="6"/>
      <c r="N359" s="6"/>
    </row>
    <row r="360" spans="1:14" ht="22.5">
      <c r="A360" s="37" t="s">
        <v>2548</v>
      </c>
      <c r="B360" s="8" t="s">
        <v>673</v>
      </c>
      <c r="C360" s="6" t="s">
        <v>674</v>
      </c>
      <c r="D360" s="7" t="s">
        <v>2549</v>
      </c>
      <c r="E360" s="49" t="s">
        <v>55</v>
      </c>
      <c r="F360" s="49" t="s">
        <v>675</v>
      </c>
      <c r="G360" s="49" t="s">
        <v>2544</v>
      </c>
      <c r="H360" s="49" t="s">
        <v>50</v>
      </c>
      <c r="I360" s="19">
        <v>121.3</v>
      </c>
      <c r="J360" s="19" t="s">
        <v>676</v>
      </c>
      <c r="K360" s="19">
        <f>I360/50/100*150</f>
        <v>3.6390000000000002</v>
      </c>
      <c r="L360" s="14">
        <v>50</v>
      </c>
      <c r="M360" s="6"/>
      <c r="N360" s="6"/>
    </row>
    <row r="361" spans="1:14" ht="22.5">
      <c r="A361" s="37" t="s">
        <v>2550</v>
      </c>
      <c r="B361" s="8" t="s">
        <v>673</v>
      </c>
      <c r="C361" s="6" t="s">
        <v>674</v>
      </c>
      <c r="D361" s="7" t="s">
        <v>2551</v>
      </c>
      <c r="E361" s="49" t="s">
        <v>55</v>
      </c>
      <c r="F361" s="49" t="s">
        <v>2552</v>
      </c>
      <c r="G361" s="49" t="s">
        <v>2544</v>
      </c>
      <c r="H361" s="49" t="s">
        <v>50</v>
      </c>
      <c r="I361" s="19">
        <v>124.7</v>
      </c>
      <c r="J361" s="19" t="s">
        <v>676</v>
      </c>
      <c r="K361" s="19">
        <f>I361/50/125*150</f>
        <v>2.9928000000000003</v>
      </c>
      <c r="L361" s="14">
        <v>50</v>
      </c>
      <c r="M361" s="6"/>
      <c r="N361" s="6"/>
    </row>
    <row r="362" spans="1:14" ht="22.5">
      <c r="A362" s="37" t="s">
        <v>2553</v>
      </c>
      <c r="B362" s="8" t="s">
        <v>673</v>
      </c>
      <c r="C362" s="6" t="s">
        <v>674</v>
      </c>
      <c r="D362" s="7" t="s">
        <v>2554</v>
      </c>
      <c r="E362" s="49" t="s">
        <v>55</v>
      </c>
      <c r="F362" s="49" t="s">
        <v>2555</v>
      </c>
      <c r="G362" s="49" t="s">
        <v>2544</v>
      </c>
      <c r="H362" s="49" t="s">
        <v>50</v>
      </c>
      <c r="I362" s="19">
        <v>138.4</v>
      </c>
      <c r="J362" s="19" t="s">
        <v>676</v>
      </c>
      <c r="K362" s="19">
        <f>I362/50/150*150</f>
        <v>2.7680000000000002</v>
      </c>
      <c r="L362" s="14">
        <v>50</v>
      </c>
      <c r="M362" s="6"/>
      <c r="N362" s="6"/>
    </row>
    <row r="363" spans="1:14" ht="33.75">
      <c r="A363" s="9" t="s">
        <v>1942</v>
      </c>
      <c r="B363" s="6" t="s">
        <v>677</v>
      </c>
      <c r="C363" s="6" t="s">
        <v>678</v>
      </c>
      <c r="D363" s="6" t="s">
        <v>679</v>
      </c>
      <c r="E363" s="11" t="s">
        <v>55</v>
      </c>
      <c r="F363" s="11" t="s">
        <v>680</v>
      </c>
      <c r="G363" s="11" t="s">
        <v>260</v>
      </c>
      <c r="H363" s="11" t="s">
        <v>2673</v>
      </c>
      <c r="I363" s="20">
        <v>141.9</v>
      </c>
      <c r="J363" s="11" t="s">
        <v>575</v>
      </c>
      <c r="K363" s="14">
        <f>I363/20/50*100</f>
        <v>14.190000000000003</v>
      </c>
      <c r="L363" s="14">
        <v>50</v>
      </c>
      <c r="M363" s="6"/>
      <c r="N363" s="6"/>
    </row>
    <row r="364" spans="1:14" ht="33.75">
      <c r="A364" s="9" t="s">
        <v>681</v>
      </c>
      <c r="B364" s="6" t="s">
        <v>677</v>
      </c>
      <c r="C364" s="6" t="s">
        <v>678</v>
      </c>
      <c r="D364" s="6" t="s">
        <v>679</v>
      </c>
      <c r="E364" s="11" t="s">
        <v>55</v>
      </c>
      <c r="F364" s="11" t="s">
        <v>682</v>
      </c>
      <c r="G364" s="11" t="s">
        <v>260</v>
      </c>
      <c r="H364" s="11" t="s">
        <v>2673</v>
      </c>
      <c r="I364" s="20">
        <v>687.7</v>
      </c>
      <c r="J364" s="11" t="s">
        <v>575</v>
      </c>
      <c r="K364" s="14">
        <f>I364/45/100*100</f>
        <v>15.282222222222225</v>
      </c>
      <c r="L364" s="14">
        <v>50</v>
      </c>
      <c r="M364" s="6"/>
      <c r="N364" s="6"/>
    </row>
    <row r="365" spans="1:14" ht="22.5">
      <c r="A365" s="9" t="s">
        <v>683</v>
      </c>
      <c r="B365" s="6" t="s">
        <v>684</v>
      </c>
      <c r="C365" s="6" t="s">
        <v>685</v>
      </c>
      <c r="D365" s="6" t="s">
        <v>686</v>
      </c>
      <c r="E365" s="11" t="s">
        <v>55</v>
      </c>
      <c r="F365" s="11" t="s">
        <v>526</v>
      </c>
      <c r="G365" s="11" t="s">
        <v>100</v>
      </c>
      <c r="H365" s="11" t="s">
        <v>101</v>
      </c>
      <c r="I365" s="20">
        <v>150.19999999999999</v>
      </c>
      <c r="J365" s="11" t="s">
        <v>106</v>
      </c>
      <c r="K365" s="14">
        <f>I365/20/20*10</f>
        <v>3.7549999999999999</v>
      </c>
      <c r="L365" s="14">
        <v>50</v>
      </c>
      <c r="M365" s="6"/>
      <c r="N365" s="6"/>
    </row>
    <row r="366" spans="1:14" ht="56.25">
      <c r="A366" s="9" t="s">
        <v>1943</v>
      </c>
      <c r="B366" s="6" t="s">
        <v>687</v>
      </c>
      <c r="C366" s="6" t="s">
        <v>688</v>
      </c>
      <c r="D366" s="6" t="s">
        <v>689</v>
      </c>
      <c r="E366" s="11" t="s">
        <v>641</v>
      </c>
      <c r="F366" s="11" t="s">
        <v>1525</v>
      </c>
      <c r="G366" s="11" t="s">
        <v>165</v>
      </c>
      <c r="H366" s="11" t="s">
        <v>166</v>
      </c>
      <c r="I366" s="20">
        <v>1653.2</v>
      </c>
      <c r="J366" s="11" t="s">
        <v>342</v>
      </c>
      <c r="K366" s="20">
        <f>I366/1*1</f>
        <v>1653.2</v>
      </c>
      <c r="L366" s="14">
        <v>50</v>
      </c>
      <c r="M366" s="6"/>
      <c r="N366" s="6"/>
    </row>
    <row r="367" spans="1:14" ht="22.5">
      <c r="A367" s="9" t="s">
        <v>690</v>
      </c>
      <c r="B367" s="6" t="s">
        <v>691</v>
      </c>
      <c r="C367" s="6" t="s">
        <v>692</v>
      </c>
      <c r="D367" s="6" t="s">
        <v>693</v>
      </c>
      <c r="E367" s="11" t="s">
        <v>87</v>
      </c>
      <c r="F367" s="11" t="s">
        <v>694</v>
      </c>
      <c r="G367" s="11" t="s">
        <v>11</v>
      </c>
      <c r="H367" s="11" t="s">
        <v>12</v>
      </c>
      <c r="I367" s="20">
        <v>73.7</v>
      </c>
      <c r="J367" s="20" t="s">
        <v>575</v>
      </c>
      <c r="K367" s="14">
        <f>I367/5/100*100</f>
        <v>14.74</v>
      </c>
      <c r="L367" s="14">
        <v>50</v>
      </c>
      <c r="M367" s="6"/>
      <c r="N367" s="6"/>
    </row>
    <row r="368" spans="1:14" ht="22.5">
      <c r="A368" s="9" t="s">
        <v>695</v>
      </c>
      <c r="B368" s="6" t="s">
        <v>691</v>
      </c>
      <c r="C368" s="6" t="s">
        <v>692</v>
      </c>
      <c r="D368" s="6" t="s">
        <v>1874</v>
      </c>
      <c r="E368" s="11" t="s">
        <v>81</v>
      </c>
      <c r="F368" s="11" t="s">
        <v>696</v>
      </c>
      <c r="G368" s="11" t="s">
        <v>24</v>
      </c>
      <c r="H368" s="11" t="s">
        <v>12</v>
      </c>
      <c r="I368" s="20">
        <v>73.7</v>
      </c>
      <c r="J368" s="20" t="s">
        <v>575</v>
      </c>
      <c r="K368" s="14">
        <f>I368/5/100*100</f>
        <v>14.74</v>
      </c>
      <c r="L368" s="14">
        <v>50</v>
      </c>
      <c r="M368" s="6"/>
      <c r="N368" s="6"/>
    </row>
    <row r="369" spans="1:14" ht="22.5">
      <c r="A369" s="9" t="s">
        <v>697</v>
      </c>
      <c r="B369" s="6" t="s">
        <v>698</v>
      </c>
      <c r="C369" s="6" t="s">
        <v>699</v>
      </c>
      <c r="D369" s="6" t="s">
        <v>700</v>
      </c>
      <c r="E369" s="11" t="s">
        <v>81</v>
      </c>
      <c r="F369" s="11" t="s">
        <v>701</v>
      </c>
      <c r="G369" s="11" t="s">
        <v>1722</v>
      </c>
      <c r="H369" s="11" t="s">
        <v>12</v>
      </c>
      <c r="I369" s="20">
        <v>102.2</v>
      </c>
      <c r="J369" s="20" t="s">
        <v>702</v>
      </c>
      <c r="K369" s="14">
        <f>I369/16/250*1000</f>
        <v>25.55</v>
      </c>
      <c r="L369" s="14">
        <v>50</v>
      </c>
      <c r="M369" s="6"/>
      <c r="N369" s="6"/>
    </row>
    <row r="370" spans="1:14" ht="22.5">
      <c r="A370" s="9" t="s">
        <v>703</v>
      </c>
      <c r="B370" s="6" t="s">
        <v>698</v>
      </c>
      <c r="C370" s="6" t="s">
        <v>699</v>
      </c>
      <c r="D370" s="6" t="s">
        <v>700</v>
      </c>
      <c r="E370" s="11" t="s">
        <v>81</v>
      </c>
      <c r="F370" s="11" t="s">
        <v>704</v>
      </c>
      <c r="G370" s="11" t="s">
        <v>1722</v>
      </c>
      <c r="H370" s="11" t="s">
        <v>12</v>
      </c>
      <c r="I370" s="20">
        <v>141.80000000000001</v>
      </c>
      <c r="J370" s="20" t="s">
        <v>702</v>
      </c>
      <c r="K370" s="14">
        <f>I370/16/500*1000</f>
        <v>17.725000000000001</v>
      </c>
      <c r="L370" s="14">
        <v>50</v>
      </c>
      <c r="M370" s="6"/>
      <c r="N370" s="6"/>
    </row>
    <row r="371" spans="1:14" ht="22.5">
      <c r="A371" s="9" t="s">
        <v>705</v>
      </c>
      <c r="B371" s="6" t="s">
        <v>698</v>
      </c>
      <c r="C371" s="6" t="s">
        <v>699</v>
      </c>
      <c r="D371" s="6" t="s">
        <v>700</v>
      </c>
      <c r="E371" s="11" t="s">
        <v>706</v>
      </c>
      <c r="F371" s="11" t="s">
        <v>1719</v>
      </c>
      <c r="G371" s="11" t="s">
        <v>11</v>
      </c>
      <c r="H371" s="11" t="s">
        <v>12</v>
      </c>
      <c r="I371" s="20">
        <v>191.4</v>
      </c>
      <c r="J371" s="20" t="s">
        <v>702</v>
      </c>
      <c r="K371" s="14">
        <f>I371/20/250*1000</f>
        <v>38.28</v>
      </c>
      <c r="L371" s="14">
        <v>50</v>
      </c>
      <c r="M371" s="6"/>
      <c r="N371" s="6"/>
    </row>
    <row r="372" spans="1:14" ht="22.5">
      <c r="A372" s="9" t="s">
        <v>707</v>
      </c>
      <c r="B372" s="6" t="s">
        <v>698</v>
      </c>
      <c r="C372" s="6" t="s">
        <v>699</v>
      </c>
      <c r="D372" s="6" t="s">
        <v>2402</v>
      </c>
      <c r="E372" s="11" t="s">
        <v>81</v>
      </c>
      <c r="F372" s="11" t="s">
        <v>704</v>
      </c>
      <c r="G372" s="11" t="s">
        <v>1857</v>
      </c>
      <c r="H372" s="11" t="s">
        <v>12</v>
      </c>
      <c r="I372" s="20">
        <v>116.8</v>
      </c>
      <c r="J372" s="20" t="s">
        <v>702</v>
      </c>
      <c r="K372" s="14">
        <f>I372/16/500*1000</f>
        <v>14.6</v>
      </c>
      <c r="L372" s="14">
        <v>50</v>
      </c>
      <c r="M372" s="6"/>
      <c r="N372" s="6"/>
    </row>
    <row r="373" spans="1:14" ht="22.5">
      <c r="A373" s="9" t="s">
        <v>1764</v>
      </c>
      <c r="B373" s="6" t="s">
        <v>698</v>
      </c>
      <c r="C373" s="6" t="s">
        <v>699</v>
      </c>
      <c r="D373" s="6" t="s">
        <v>1765</v>
      </c>
      <c r="E373" s="11" t="s">
        <v>81</v>
      </c>
      <c r="F373" s="11" t="s">
        <v>704</v>
      </c>
      <c r="G373" s="11" t="s">
        <v>1001</v>
      </c>
      <c r="H373" s="11" t="s">
        <v>1002</v>
      </c>
      <c r="I373" s="20">
        <v>116.8</v>
      </c>
      <c r="J373" s="20" t="s">
        <v>702</v>
      </c>
      <c r="K373" s="14">
        <f>I373/16/500*1000</f>
        <v>14.6</v>
      </c>
      <c r="L373" s="14">
        <v>50</v>
      </c>
      <c r="M373" s="6"/>
      <c r="N373" s="6"/>
    </row>
    <row r="374" spans="1:14" ht="22.5">
      <c r="A374" s="9" t="s">
        <v>708</v>
      </c>
      <c r="B374" s="9" t="s">
        <v>698</v>
      </c>
      <c r="C374" s="6" t="s">
        <v>699</v>
      </c>
      <c r="D374" s="6" t="s">
        <v>709</v>
      </c>
      <c r="E374" s="11" t="s">
        <v>710</v>
      </c>
      <c r="F374" s="11" t="s">
        <v>711</v>
      </c>
      <c r="G374" s="11" t="s">
        <v>712</v>
      </c>
      <c r="H374" s="11" t="s">
        <v>713</v>
      </c>
      <c r="I374" s="20">
        <v>312.50240000000002</v>
      </c>
      <c r="J374" s="20" t="s">
        <v>702</v>
      </c>
      <c r="K374" s="14">
        <f>I374/14/1000*1000</f>
        <v>22.3216</v>
      </c>
      <c r="L374" s="14">
        <v>50</v>
      </c>
      <c r="M374" s="6"/>
      <c r="N374" s="6"/>
    </row>
    <row r="375" spans="1:14" ht="22.5">
      <c r="A375" s="9" t="s">
        <v>714</v>
      </c>
      <c r="B375" s="9" t="s">
        <v>698</v>
      </c>
      <c r="C375" s="6" t="s">
        <v>699</v>
      </c>
      <c r="D375" s="6" t="s">
        <v>715</v>
      </c>
      <c r="E375" s="11" t="s">
        <v>706</v>
      </c>
      <c r="F375" s="11" t="s">
        <v>716</v>
      </c>
      <c r="G375" s="11" t="s">
        <v>712</v>
      </c>
      <c r="H375" s="11" t="s">
        <v>713</v>
      </c>
      <c r="I375" s="20">
        <v>167</v>
      </c>
      <c r="J375" s="20" t="s">
        <v>702</v>
      </c>
      <c r="K375" s="14">
        <f>I375/12/500*1000</f>
        <v>27.833333333333332</v>
      </c>
      <c r="L375" s="14">
        <v>50</v>
      </c>
      <c r="M375" s="6"/>
      <c r="N375" s="6"/>
    </row>
    <row r="376" spans="1:14" ht="22.5">
      <c r="A376" s="45" t="s">
        <v>1410</v>
      </c>
      <c r="B376" s="46" t="s">
        <v>698</v>
      </c>
      <c r="C376" s="46" t="s">
        <v>699</v>
      </c>
      <c r="D376" s="46" t="s">
        <v>1411</v>
      </c>
      <c r="E376" s="13" t="s">
        <v>706</v>
      </c>
      <c r="F376" s="13" t="s">
        <v>2911</v>
      </c>
      <c r="G376" s="13" t="s">
        <v>1882</v>
      </c>
      <c r="H376" s="13" t="s">
        <v>12</v>
      </c>
      <c r="I376" s="20">
        <v>191.4</v>
      </c>
      <c r="J376" s="20" t="s">
        <v>702</v>
      </c>
      <c r="K376" s="24">
        <f>I376/20/250*1000</f>
        <v>38.28</v>
      </c>
      <c r="L376" s="14">
        <v>50</v>
      </c>
      <c r="M376" s="90"/>
      <c r="N376" s="6"/>
    </row>
    <row r="377" spans="1:14" ht="33.75">
      <c r="A377" s="9" t="s">
        <v>717</v>
      </c>
      <c r="B377" s="6" t="s">
        <v>718</v>
      </c>
      <c r="C377" s="6" t="s">
        <v>719</v>
      </c>
      <c r="D377" s="6" t="s">
        <v>720</v>
      </c>
      <c r="E377" s="11" t="s">
        <v>706</v>
      </c>
      <c r="F377" s="11" t="s">
        <v>721</v>
      </c>
      <c r="G377" s="11" t="s">
        <v>24</v>
      </c>
      <c r="H377" s="11" t="s">
        <v>12</v>
      </c>
      <c r="I377" s="20">
        <v>237.9</v>
      </c>
      <c r="J377" s="20" t="s">
        <v>702</v>
      </c>
      <c r="K377" s="14">
        <f>I377/125/20*1000</f>
        <v>95.16</v>
      </c>
      <c r="L377" s="14">
        <v>50</v>
      </c>
      <c r="M377" s="6" t="s">
        <v>2193</v>
      </c>
      <c r="N377" s="6" t="s">
        <v>3025</v>
      </c>
    </row>
    <row r="378" spans="1:14" ht="33.75">
      <c r="A378" s="9" t="s">
        <v>723</v>
      </c>
      <c r="B378" s="6" t="s">
        <v>718</v>
      </c>
      <c r="C378" s="6" t="s">
        <v>719</v>
      </c>
      <c r="D378" s="6" t="s">
        <v>724</v>
      </c>
      <c r="E378" s="11" t="s">
        <v>706</v>
      </c>
      <c r="F378" s="11" t="s">
        <v>2912</v>
      </c>
      <c r="G378" s="11" t="s">
        <v>24</v>
      </c>
      <c r="H378" s="11" t="s">
        <v>12</v>
      </c>
      <c r="I378" s="20">
        <v>496.7</v>
      </c>
      <c r="J378" s="20" t="s">
        <v>702</v>
      </c>
      <c r="K378" s="14">
        <f>I378/250/20*1000</f>
        <v>99.34</v>
      </c>
      <c r="L378" s="14">
        <v>50</v>
      </c>
      <c r="M378" s="6" t="s">
        <v>2193</v>
      </c>
      <c r="N378" s="6" t="s">
        <v>3025</v>
      </c>
    </row>
    <row r="379" spans="1:14" ht="33.75">
      <c r="A379" s="9" t="s">
        <v>725</v>
      </c>
      <c r="B379" s="6" t="s">
        <v>718</v>
      </c>
      <c r="C379" s="6" t="s">
        <v>719</v>
      </c>
      <c r="D379" s="6" t="s">
        <v>726</v>
      </c>
      <c r="E379" s="11" t="s">
        <v>706</v>
      </c>
      <c r="F379" s="11" t="s">
        <v>727</v>
      </c>
      <c r="G379" s="11" t="s">
        <v>24</v>
      </c>
      <c r="H379" s="11" t="s">
        <v>12</v>
      </c>
      <c r="I379" s="20">
        <v>313.39999999999998</v>
      </c>
      <c r="J379" s="20" t="s">
        <v>702</v>
      </c>
      <c r="K379" s="14">
        <f>I379/14/400*1000</f>
        <v>55.964285714285708</v>
      </c>
      <c r="L379" s="14">
        <v>50</v>
      </c>
      <c r="M379" s="6" t="s">
        <v>2193</v>
      </c>
      <c r="N379" s="6" t="s">
        <v>3025</v>
      </c>
    </row>
    <row r="380" spans="1:14" ht="33.75">
      <c r="A380" s="9" t="s">
        <v>728</v>
      </c>
      <c r="B380" s="6" t="s">
        <v>718</v>
      </c>
      <c r="C380" s="6" t="s">
        <v>719</v>
      </c>
      <c r="D380" s="6" t="s">
        <v>726</v>
      </c>
      <c r="E380" s="11" t="s">
        <v>706</v>
      </c>
      <c r="F380" s="11" t="s">
        <v>729</v>
      </c>
      <c r="G380" s="11" t="s">
        <v>24</v>
      </c>
      <c r="H380" s="11" t="s">
        <v>12</v>
      </c>
      <c r="I380" s="20">
        <v>626.70000000000005</v>
      </c>
      <c r="J380" s="20" t="s">
        <v>702</v>
      </c>
      <c r="K380" s="14">
        <f>I380/28/400*1000</f>
        <v>55.955357142857146</v>
      </c>
      <c r="L380" s="14">
        <v>50</v>
      </c>
      <c r="M380" s="6" t="s">
        <v>2193</v>
      </c>
      <c r="N380" s="6" t="s">
        <v>3025</v>
      </c>
    </row>
    <row r="381" spans="1:14" ht="33.75">
      <c r="A381" s="9" t="s">
        <v>730</v>
      </c>
      <c r="B381" s="6" t="s">
        <v>718</v>
      </c>
      <c r="C381" s="6" t="s">
        <v>719</v>
      </c>
      <c r="D381" s="6" t="s">
        <v>731</v>
      </c>
      <c r="E381" s="11" t="s">
        <v>706</v>
      </c>
      <c r="F381" s="11" t="s">
        <v>732</v>
      </c>
      <c r="G381" s="11" t="s">
        <v>541</v>
      </c>
      <c r="H381" s="11" t="s">
        <v>43</v>
      </c>
      <c r="I381" s="20">
        <v>313.39999999999998</v>
      </c>
      <c r="J381" s="20" t="s">
        <v>702</v>
      </c>
      <c r="K381" s="14">
        <f>I381/14/400*1000</f>
        <v>55.964285714285708</v>
      </c>
      <c r="L381" s="14">
        <v>50</v>
      </c>
      <c r="M381" s="6" t="s">
        <v>2193</v>
      </c>
      <c r="N381" s="6" t="s">
        <v>3025</v>
      </c>
    </row>
    <row r="382" spans="1:14" ht="45">
      <c r="A382" s="45" t="s">
        <v>1413</v>
      </c>
      <c r="B382" s="46" t="s">
        <v>718</v>
      </c>
      <c r="C382" s="6" t="s">
        <v>719</v>
      </c>
      <c r="D382" s="46" t="s">
        <v>1414</v>
      </c>
      <c r="E382" s="13" t="s">
        <v>706</v>
      </c>
      <c r="F382" s="13" t="s">
        <v>2913</v>
      </c>
      <c r="G382" s="13" t="s">
        <v>3026</v>
      </c>
      <c r="H382" s="13" t="s">
        <v>3005</v>
      </c>
      <c r="I382" s="20">
        <v>283.89999999999998</v>
      </c>
      <c r="J382" s="13" t="s">
        <v>702</v>
      </c>
      <c r="K382" s="24">
        <f>I382/14/400*1000</f>
        <v>50.696428571428569</v>
      </c>
      <c r="L382" s="14">
        <v>50</v>
      </c>
      <c r="M382" s="6" t="s">
        <v>2193</v>
      </c>
      <c r="N382" s="6" t="s">
        <v>3025</v>
      </c>
    </row>
    <row r="383" spans="1:14" ht="33.75">
      <c r="A383" s="8" t="s">
        <v>1944</v>
      </c>
      <c r="B383" s="8" t="s">
        <v>718</v>
      </c>
      <c r="C383" s="6" t="s">
        <v>719</v>
      </c>
      <c r="D383" s="8" t="s">
        <v>720</v>
      </c>
      <c r="E383" s="5" t="s">
        <v>65</v>
      </c>
      <c r="F383" s="5" t="s">
        <v>1579</v>
      </c>
      <c r="G383" s="5" t="s">
        <v>1570</v>
      </c>
      <c r="H383" s="5" t="s">
        <v>12</v>
      </c>
      <c r="I383" s="20">
        <v>517.70000000000005</v>
      </c>
      <c r="J383" s="18" t="s">
        <v>702</v>
      </c>
      <c r="K383" s="18">
        <f>I383/15/500*1000</f>
        <v>69.026666666666671</v>
      </c>
      <c r="L383" s="2">
        <v>50</v>
      </c>
      <c r="M383" s="8" t="s">
        <v>2194</v>
      </c>
      <c r="N383" s="8" t="s">
        <v>2195</v>
      </c>
    </row>
    <row r="384" spans="1:14" ht="33.75">
      <c r="A384" s="8" t="s">
        <v>1580</v>
      </c>
      <c r="B384" s="8" t="s">
        <v>718</v>
      </c>
      <c r="C384" s="6" t="s">
        <v>719</v>
      </c>
      <c r="D384" s="8" t="s">
        <v>726</v>
      </c>
      <c r="E384" s="5" t="s">
        <v>65</v>
      </c>
      <c r="F384" s="5" t="s">
        <v>1581</v>
      </c>
      <c r="G384" s="5" t="s">
        <v>1570</v>
      </c>
      <c r="H384" s="5" t="s">
        <v>12</v>
      </c>
      <c r="I384" s="20">
        <v>273.60000000000002</v>
      </c>
      <c r="J384" s="18" t="s">
        <v>702</v>
      </c>
      <c r="K384" s="18">
        <f>I384/10/875*1000</f>
        <v>31.26857142857143</v>
      </c>
      <c r="L384" s="2">
        <v>50</v>
      </c>
      <c r="M384" s="8" t="s">
        <v>2194</v>
      </c>
      <c r="N384" s="8" t="s">
        <v>2195</v>
      </c>
    </row>
    <row r="385" spans="1:29" ht="33.75">
      <c r="A385" s="45" t="s">
        <v>1726</v>
      </c>
      <c r="B385" s="46" t="s">
        <v>1582</v>
      </c>
      <c r="C385" s="6" t="s">
        <v>719</v>
      </c>
      <c r="D385" s="46" t="s">
        <v>1583</v>
      </c>
      <c r="E385" s="13" t="s">
        <v>706</v>
      </c>
      <c r="F385" s="13" t="s">
        <v>2914</v>
      </c>
      <c r="G385" s="13" t="s">
        <v>1567</v>
      </c>
      <c r="H385" s="13" t="s">
        <v>43</v>
      </c>
      <c r="I385" s="20">
        <v>283.89999999999998</v>
      </c>
      <c r="J385" s="18" t="s">
        <v>702</v>
      </c>
      <c r="K385" s="24">
        <f>I385/14/400*1000</f>
        <v>50.696428571428569</v>
      </c>
      <c r="L385" s="14">
        <v>50</v>
      </c>
      <c r="M385" s="6" t="s">
        <v>2193</v>
      </c>
      <c r="N385" s="6" t="s">
        <v>3025</v>
      </c>
    </row>
    <row r="386" spans="1:29" ht="33.75">
      <c r="A386" s="37" t="s">
        <v>1584</v>
      </c>
      <c r="B386" s="8" t="s">
        <v>718</v>
      </c>
      <c r="C386" s="6" t="s">
        <v>719</v>
      </c>
      <c r="D386" s="8" t="s">
        <v>720</v>
      </c>
      <c r="E386" s="5" t="s">
        <v>1066</v>
      </c>
      <c r="F386" s="5" t="s">
        <v>1585</v>
      </c>
      <c r="G386" s="5" t="s">
        <v>24</v>
      </c>
      <c r="H386" s="5" t="s">
        <v>12</v>
      </c>
      <c r="I386" s="20">
        <v>322.3</v>
      </c>
      <c r="J386" s="19" t="s">
        <v>702</v>
      </c>
      <c r="K386" s="24">
        <f>I386/15/250*1000</f>
        <v>85.946666666666673</v>
      </c>
      <c r="L386" s="2">
        <v>50</v>
      </c>
      <c r="M386" s="8" t="s">
        <v>2194</v>
      </c>
      <c r="N386" s="8" t="s">
        <v>2195</v>
      </c>
    </row>
    <row r="387" spans="1:29" ht="33.75">
      <c r="A387" s="37" t="s">
        <v>1586</v>
      </c>
      <c r="B387" s="8" t="s">
        <v>718</v>
      </c>
      <c r="C387" s="6" t="s">
        <v>719</v>
      </c>
      <c r="D387" s="8" t="s">
        <v>720</v>
      </c>
      <c r="E387" s="5" t="s">
        <v>1066</v>
      </c>
      <c r="F387" s="5" t="s">
        <v>1587</v>
      </c>
      <c r="G387" s="5" t="s">
        <v>24</v>
      </c>
      <c r="H387" s="5" t="s">
        <v>12</v>
      </c>
      <c r="I387" s="20">
        <v>762</v>
      </c>
      <c r="J387" s="19" t="s">
        <v>702</v>
      </c>
      <c r="K387" s="18">
        <f>I387/20/500*1000</f>
        <v>76.2</v>
      </c>
      <c r="L387" s="2">
        <v>50</v>
      </c>
      <c r="M387" s="8" t="s">
        <v>2196</v>
      </c>
      <c r="N387" s="8" t="s">
        <v>2195</v>
      </c>
    </row>
    <row r="388" spans="1:29" ht="33.75">
      <c r="A388" s="37" t="s">
        <v>1588</v>
      </c>
      <c r="B388" s="8" t="s">
        <v>718</v>
      </c>
      <c r="C388" s="6" t="s">
        <v>719</v>
      </c>
      <c r="D388" s="8" t="s">
        <v>726</v>
      </c>
      <c r="E388" s="5" t="s">
        <v>65</v>
      </c>
      <c r="F388" s="5" t="s">
        <v>1589</v>
      </c>
      <c r="G388" s="5" t="s">
        <v>24</v>
      </c>
      <c r="H388" s="5" t="s">
        <v>12</v>
      </c>
      <c r="I388" s="20">
        <v>383</v>
      </c>
      <c r="J388" s="19" t="s">
        <v>702</v>
      </c>
      <c r="K388" s="18">
        <f>I388/14/875*1000</f>
        <v>31.26530612244898</v>
      </c>
      <c r="L388" s="2">
        <v>50</v>
      </c>
      <c r="M388" s="8" t="s">
        <v>2197</v>
      </c>
      <c r="N388" s="8" t="s">
        <v>2195</v>
      </c>
    </row>
    <row r="389" spans="1:29" ht="33.75">
      <c r="A389" s="37" t="s">
        <v>1590</v>
      </c>
      <c r="B389" s="8" t="s">
        <v>718</v>
      </c>
      <c r="C389" s="6" t="s">
        <v>719</v>
      </c>
      <c r="D389" s="8" t="s">
        <v>1591</v>
      </c>
      <c r="E389" s="5" t="s">
        <v>65</v>
      </c>
      <c r="F389" s="5" t="s">
        <v>1592</v>
      </c>
      <c r="G389" s="5" t="s">
        <v>541</v>
      </c>
      <c r="H389" s="5" t="s">
        <v>43</v>
      </c>
      <c r="I389" s="20">
        <v>345.1</v>
      </c>
      <c r="J389" s="19" t="s">
        <v>702</v>
      </c>
      <c r="K389" s="18">
        <f>I389/10/500*1000</f>
        <v>69.02000000000001</v>
      </c>
      <c r="L389" s="2">
        <v>50</v>
      </c>
      <c r="M389" s="8" t="s">
        <v>2197</v>
      </c>
      <c r="N389" s="8" t="s">
        <v>2195</v>
      </c>
    </row>
    <row r="390" spans="1:29" ht="78.75">
      <c r="A390" s="37" t="s">
        <v>1593</v>
      </c>
      <c r="B390" s="8" t="s">
        <v>718</v>
      </c>
      <c r="C390" s="6" t="s">
        <v>719</v>
      </c>
      <c r="D390" s="8" t="s">
        <v>1591</v>
      </c>
      <c r="E390" s="5" t="s">
        <v>65</v>
      </c>
      <c r="F390" s="5" t="s">
        <v>1594</v>
      </c>
      <c r="G390" s="5" t="s">
        <v>2991</v>
      </c>
      <c r="H390" s="5" t="s">
        <v>713</v>
      </c>
      <c r="I390" s="20">
        <v>273.60000000000002</v>
      </c>
      <c r="J390" s="19" t="s">
        <v>702</v>
      </c>
      <c r="K390" s="18">
        <f>I390/10/875*1000</f>
        <v>31.26857142857143</v>
      </c>
      <c r="L390" s="2">
        <v>50</v>
      </c>
      <c r="M390" s="8" t="s">
        <v>2197</v>
      </c>
      <c r="N390" s="8" t="s">
        <v>2195</v>
      </c>
    </row>
    <row r="391" spans="1:29" ht="78.75">
      <c r="A391" s="37" t="s">
        <v>1595</v>
      </c>
      <c r="B391" s="8" t="s">
        <v>718</v>
      </c>
      <c r="C391" s="6" t="s">
        <v>719</v>
      </c>
      <c r="D391" s="8" t="s">
        <v>1596</v>
      </c>
      <c r="E391" s="5" t="s">
        <v>65</v>
      </c>
      <c r="F391" s="5" t="s">
        <v>3027</v>
      </c>
      <c r="G391" s="5" t="s">
        <v>2991</v>
      </c>
      <c r="H391" s="5" t="s">
        <v>713</v>
      </c>
      <c r="I391" s="20">
        <v>571.5</v>
      </c>
      <c r="J391" s="19" t="s">
        <v>702</v>
      </c>
      <c r="K391" s="18">
        <f>I391/15/500*1000</f>
        <v>76.2</v>
      </c>
      <c r="L391" s="2">
        <v>50</v>
      </c>
      <c r="M391" s="8" t="s">
        <v>2194</v>
      </c>
      <c r="N391" s="8" t="s">
        <v>2195</v>
      </c>
    </row>
    <row r="392" spans="1:29" ht="45">
      <c r="A392" s="37" t="s">
        <v>1597</v>
      </c>
      <c r="B392" s="8" t="s">
        <v>718</v>
      </c>
      <c r="C392" s="6" t="s">
        <v>719</v>
      </c>
      <c r="D392" s="8" t="s">
        <v>1414</v>
      </c>
      <c r="E392" s="5" t="s">
        <v>65</v>
      </c>
      <c r="F392" s="5" t="s">
        <v>1598</v>
      </c>
      <c r="G392" s="13" t="s">
        <v>3026</v>
      </c>
      <c r="H392" s="13" t="s">
        <v>3005</v>
      </c>
      <c r="I392" s="20">
        <v>344.2</v>
      </c>
      <c r="J392" s="19" t="s">
        <v>702</v>
      </c>
      <c r="K392" s="18">
        <f>I392/14/875*1000</f>
        <v>28.097959183673467</v>
      </c>
      <c r="L392" s="2">
        <v>50</v>
      </c>
      <c r="M392" s="8" t="s">
        <v>2197</v>
      </c>
      <c r="N392" s="8" t="s">
        <v>2195</v>
      </c>
    </row>
    <row r="393" spans="1:29" ht="45">
      <c r="A393" s="9" t="s">
        <v>737</v>
      </c>
      <c r="B393" s="6" t="s">
        <v>733</v>
      </c>
      <c r="C393" s="6" t="s">
        <v>734</v>
      </c>
      <c r="D393" s="6" t="s">
        <v>735</v>
      </c>
      <c r="E393" s="11" t="s">
        <v>81</v>
      </c>
      <c r="F393" s="11" t="s">
        <v>704</v>
      </c>
      <c r="G393" s="11" t="s">
        <v>11</v>
      </c>
      <c r="H393" s="11" t="s">
        <v>12</v>
      </c>
      <c r="I393" s="20">
        <v>267.39999999999998</v>
      </c>
      <c r="J393" s="20" t="s">
        <v>118</v>
      </c>
      <c r="K393" s="14">
        <f>I393/16/500*2000</f>
        <v>66.849999999999994</v>
      </c>
      <c r="L393" s="14">
        <v>50</v>
      </c>
      <c r="M393" s="6" t="s">
        <v>2198</v>
      </c>
      <c r="N393" s="6" t="s">
        <v>3028</v>
      </c>
    </row>
    <row r="394" spans="1:29" ht="45">
      <c r="A394" s="9" t="s">
        <v>739</v>
      </c>
      <c r="B394" s="6" t="s">
        <v>733</v>
      </c>
      <c r="C394" s="6" t="s">
        <v>734</v>
      </c>
      <c r="D394" s="6" t="s">
        <v>2403</v>
      </c>
      <c r="E394" s="11" t="s">
        <v>81</v>
      </c>
      <c r="F394" s="11" t="s">
        <v>704</v>
      </c>
      <c r="G394" s="11" t="s">
        <v>1857</v>
      </c>
      <c r="H394" s="11" t="s">
        <v>12</v>
      </c>
      <c r="I394" s="20">
        <v>267.39999999999998</v>
      </c>
      <c r="J394" s="20" t="s">
        <v>118</v>
      </c>
      <c r="K394" s="14">
        <f>I394/16/500*2000</f>
        <v>66.849999999999994</v>
      </c>
      <c r="L394" s="14">
        <v>50</v>
      </c>
      <c r="M394" s="6" t="s">
        <v>2198</v>
      </c>
      <c r="N394" s="6" t="s">
        <v>3028</v>
      </c>
    </row>
    <row r="395" spans="1:29" ht="45">
      <c r="A395" s="45" t="s">
        <v>1415</v>
      </c>
      <c r="B395" s="46" t="s">
        <v>733</v>
      </c>
      <c r="C395" s="46" t="s">
        <v>734</v>
      </c>
      <c r="D395" s="46" t="s">
        <v>1416</v>
      </c>
      <c r="E395" s="13" t="s">
        <v>81</v>
      </c>
      <c r="F395" s="13" t="s">
        <v>704</v>
      </c>
      <c r="G395" s="13" t="s">
        <v>260</v>
      </c>
      <c r="H395" s="11" t="s">
        <v>2673</v>
      </c>
      <c r="I395" s="20">
        <v>267.39999999999998</v>
      </c>
      <c r="J395" s="20" t="s">
        <v>118</v>
      </c>
      <c r="K395" s="14">
        <f>I395/16/500*2000</f>
        <v>66.849999999999994</v>
      </c>
      <c r="L395" s="14">
        <v>50</v>
      </c>
      <c r="M395" s="6" t="s">
        <v>2198</v>
      </c>
      <c r="N395" s="6" t="s">
        <v>3028</v>
      </c>
    </row>
    <row r="396" spans="1:29" ht="45">
      <c r="A396" s="45" t="s">
        <v>1417</v>
      </c>
      <c r="B396" s="46" t="s">
        <v>733</v>
      </c>
      <c r="C396" s="46" t="s">
        <v>734</v>
      </c>
      <c r="D396" s="46" t="s">
        <v>1416</v>
      </c>
      <c r="E396" s="13" t="s">
        <v>706</v>
      </c>
      <c r="F396" s="13" t="s">
        <v>736</v>
      </c>
      <c r="G396" s="13" t="s">
        <v>260</v>
      </c>
      <c r="H396" s="11" t="s">
        <v>2673</v>
      </c>
      <c r="I396" s="20">
        <v>302.5</v>
      </c>
      <c r="J396" s="20" t="s">
        <v>118</v>
      </c>
      <c r="K396" s="14">
        <f>I396/20/250*2000</f>
        <v>121</v>
      </c>
      <c r="L396" s="14">
        <v>50</v>
      </c>
      <c r="M396" s="6" t="s">
        <v>2198</v>
      </c>
      <c r="N396" s="6" t="s">
        <v>3029</v>
      </c>
    </row>
    <row r="397" spans="1:29" ht="45">
      <c r="A397" s="45" t="s">
        <v>1762</v>
      </c>
      <c r="B397" s="46" t="s">
        <v>733</v>
      </c>
      <c r="C397" s="46" t="s">
        <v>734</v>
      </c>
      <c r="D397" s="46" t="s">
        <v>1763</v>
      </c>
      <c r="E397" s="13" t="s">
        <v>81</v>
      </c>
      <c r="F397" s="13" t="s">
        <v>704</v>
      </c>
      <c r="G397" s="13" t="s">
        <v>1001</v>
      </c>
      <c r="H397" s="13" t="s">
        <v>1002</v>
      </c>
      <c r="I397" s="20">
        <v>216.5</v>
      </c>
      <c r="J397" s="20" t="s">
        <v>118</v>
      </c>
      <c r="K397" s="14">
        <f>I397/16/500*2000</f>
        <v>54.125</v>
      </c>
      <c r="L397" s="14">
        <v>50</v>
      </c>
      <c r="M397" s="6" t="s">
        <v>2198</v>
      </c>
      <c r="N397" s="6" t="s">
        <v>3028</v>
      </c>
    </row>
    <row r="398" spans="1:29" ht="45">
      <c r="A398" s="9" t="s">
        <v>1599</v>
      </c>
      <c r="B398" s="6" t="s">
        <v>1600</v>
      </c>
      <c r="C398" s="51" t="s">
        <v>1601</v>
      </c>
      <c r="D398" s="9" t="s">
        <v>1602</v>
      </c>
      <c r="E398" s="11" t="s">
        <v>738</v>
      </c>
      <c r="F398" s="52" t="s">
        <v>1603</v>
      </c>
      <c r="G398" s="38" t="s">
        <v>1476</v>
      </c>
      <c r="H398" s="11" t="s">
        <v>2673</v>
      </c>
      <c r="I398" s="20">
        <v>240.5</v>
      </c>
      <c r="J398" s="20" t="s">
        <v>118</v>
      </c>
      <c r="K398" s="14">
        <f>I398/20/250*2000</f>
        <v>96.2</v>
      </c>
      <c r="L398" s="18">
        <v>50</v>
      </c>
      <c r="M398" s="29" t="s">
        <v>2786</v>
      </c>
      <c r="N398" s="8" t="s">
        <v>3030</v>
      </c>
    </row>
    <row r="399" spans="1:29" ht="45">
      <c r="A399" s="9" t="s">
        <v>1845</v>
      </c>
      <c r="B399" s="6" t="s">
        <v>1600</v>
      </c>
      <c r="C399" s="51" t="s">
        <v>1601</v>
      </c>
      <c r="D399" s="9" t="s">
        <v>1602</v>
      </c>
      <c r="E399" s="11" t="s">
        <v>81</v>
      </c>
      <c r="F399" s="52" t="s">
        <v>704</v>
      </c>
      <c r="G399" s="38" t="s">
        <v>1476</v>
      </c>
      <c r="H399" s="11" t="s">
        <v>2673</v>
      </c>
      <c r="I399" s="20">
        <v>384.5</v>
      </c>
      <c r="J399" s="20" t="s">
        <v>118</v>
      </c>
      <c r="K399" s="14">
        <f>I399/16/500*2000</f>
        <v>96.125</v>
      </c>
      <c r="L399" s="18">
        <v>50</v>
      </c>
      <c r="M399" s="29" t="s">
        <v>2786</v>
      </c>
      <c r="N399" s="8" t="s">
        <v>2195</v>
      </c>
    </row>
    <row r="400" spans="1:29" ht="45">
      <c r="A400" s="37" t="s">
        <v>1604</v>
      </c>
      <c r="B400" s="8" t="s">
        <v>1605</v>
      </c>
      <c r="C400" s="8" t="s">
        <v>1606</v>
      </c>
      <c r="D400" s="8" t="s">
        <v>1607</v>
      </c>
      <c r="E400" s="5" t="s">
        <v>55</v>
      </c>
      <c r="F400" s="5" t="s">
        <v>784</v>
      </c>
      <c r="G400" s="5" t="s">
        <v>556</v>
      </c>
      <c r="H400" s="5" t="s">
        <v>12</v>
      </c>
      <c r="I400" s="20">
        <v>291.8</v>
      </c>
      <c r="J400" s="19" t="s">
        <v>611</v>
      </c>
      <c r="K400" s="18">
        <f>I400/10/250*500</f>
        <v>58.36</v>
      </c>
      <c r="L400" s="2">
        <v>50</v>
      </c>
      <c r="M400" s="8" t="s">
        <v>2199</v>
      </c>
      <c r="N400" s="8" t="s">
        <v>2195</v>
      </c>
    </row>
    <row r="401" spans="1:14" ht="45">
      <c r="A401" s="37" t="s">
        <v>1608</v>
      </c>
      <c r="B401" s="8" t="s">
        <v>1605</v>
      </c>
      <c r="C401" s="8" t="s">
        <v>1606</v>
      </c>
      <c r="D401" s="8" t="s">
        <v>1607</v>
      </c>
      <c r="E401" s="5" t="s">
        <v>55</v>
      </c>
      <c r="F401" s="5" t="s">
        <v>782</v>
      </c>
      <c r="G401" s="5" t="s">
        <v>556</v>
      </c>
      <c r="H401" s="5" t="s">
        <v>12</v>
      </c>
      <c r="I401" s="20">
        <v>409.1</v>
      </c>
      <c r="J401" s="19" t="s">
        <v>611</v>
      </c>
      <c r="K401" s="18">
        <f>I401/10/500*500</f>
        <v>40.910000000000004</v>
      </c>
      <c r="L401" s="2">
        <v>50</v>
      </c>
      <c r="M401" s="8" t="s">
        <v>2199</v>
      </c>
      <c r="N401" s="8" t="s">
        <v>2195</v>
      </c>
    </row>
    <row r="402" spans="1:14" ht="45">
      <c r="A402" s="37" t="s">
        <v>1945</v>
      </c>
      <c r="B402" s="8" t="s">
        <v>1605</v>
      </c>
      <c r="C402" s="8" t="s">
        <v>1606</v>
      </c>
      <c r="D402" s="8" t="s">
        <v>1786</v>
      </c>
      <c r="E402" s="5" t="s">
        <v>65</v>
      </c>
      <c r="F402" s="5" t="s">
        <v>1629</v>
      </c>
      <c r="G402" s="5" t="s">
        <v>3031</v>
      </c>
      <c r="H402" s="5" t="s">
        <v>819</v>
      </c>
      <c r="I402" s="20">
        <v>638.5</v>
      </c>
      <c r="J402" s="19" t="s">
        <v>611</v>
      </c>
      <c r="K402" s="18">
        <f>I402/14/500*500</f>
        <v>45.607142857142854</v>
      </c>
      <c r="L402" s="2">
        <v>50</v>
      </c>
      <c r="M402" s="8" t="s">
        <v>2199</v>
      </c>
      <c r="N402" s="8" t="s">
        <v>2195</v>
      </c>
    </row>
    <row r="403" spans="1:14" ht="45">
      <c r="A403" s="37" t="s">
        <v>1946</v>
      </c>
      <c r="B403" s="8" t="s">
        <v>1605</v>
      </c>
      <c r="C403" s="8" t="s">
        <v>1606</v>
      </c>
      <c r="D403" s="8" t="s">
        <v>1852</v>
      </c>
      <c r="E403" s="5" t="s">
        <v>65</v>
      </c>
      <c r="F403" s="5" t="s">
        <v>782</v>
      </c>
      <c r="G403" s="5" t="s">
        <v>1853</v>
      </c>
      <c r="H403" s="5" t="s">
        <v>941</v>
      </c>
      <c r="I403" s="20">
        <v>409.1</v>
      </c>
      <c r="J403" s="19" t="s">
        <v>611</v>
      </c>
      <c r="K403" s="18">
        <f>I403/10/500*500</f>
        <v>40.910000000000004</v>
      </c>
      <c r="L403" s="2">
        <v>50</v>
      </c>
      <c r="M403" s="8" t="s">
        <v>2199</v>
      </c>
      <c r="N403" s="8" t="s">
        <v>2195</v>
      </c>
    </row>
    <row r="404" spans="1:14" ht="67.5">
      <c r="A404" s="8">
        <v>3321956</v>
      </c>
      <c r="B404" s="8" t="s">
        <v>2115</v>
      </c>
      <c r="C404" s="8" t="s">
        <v>1606</v>
      </c>
      <c r="D404" s="8" t="s">
        <v>1786</v>
      </c>
      <c r="E404" s="5" t="s">
        <v>738</v>
      </c>
      <c r="F404" s="5" t="s">
        <v>2113</v>
      </c>
      <c r="G404" s="5" t="s">
        <v>3031</v>
      </c>
      <c r="H404" s="5" t="s">
        <v>819</v>
      </c>
      <c r="I404" s="20">
        <v>665.7</v>
      </c>
      <c r="J404" s="19" t="s">
        <v>611</v>
      </c>
      <c r="K404" s="19">
        <f>I404/14/125*500</f>
        <v>190.20000000000002</v>
      </c>
      <c r="L404" s="2">
        <v>50</v>
      </c>
      <c r="M404" s="8" t="s">
        <v>2345</v>
      </c>
      <c r="N404" s="8" t="s">
        <v>3032</v>
      </c>
    </row>
    <row r="405" spans="1:14" ht="67.5">
      <c r="A405" s="8">
        <v>3321957</v>
      </c>
      <c r="B405" s="8" t="s">
        <v>2115</v>
      </c>
      <c r="C405" s="8" t="s">
        <v>1606</v>
      </c>
      <c r="D405" s="8" t="s">
        <v>1786</v>
      </c>
      <c r="E405" s="5" t="s">
        <v>738</v>
      </c>
      <c r="F405" s="5" t="s">
        <v>2114</v>
      </c>
      <c r="G405" s="5" t="s">
        <v>3031</v>
      </c>
      <c r="H405" s="5" t="s">
        <v>819</v>
      </c>
      <c r="I405" s="20">
        <v>1200.9000000000001</v>
      </c>
      <c r="J405" s="19" t="s">
        <v>611</v>
      </c>
      <c r="K405" s="19">
        <f>I405/14/250*500</f>
        <v>171.55714285714288</v>
      </c>
      <c r="L405" s="2">
        <v>50</v>
      </c>
      <c r="M405" s="8" t="s">
        <v>2344</v>
      </c>
      <c r="N405" s="8" t="s">
        <v>3032</v>
      </c>
    </row>
    <row r="406" spans="1:14" ht="56.25">
      <c r="A406" s="9" t="s">
        <v>740</v>
      </c>
      <c r="B406" s="6" t="s">
        <v>741</v>
      </c>
      <c r="C406" s="6" t="s">
        <v>1609</v>
      </c>
      <c r="D406" s="6" t="s">
        <v>742</v>
      </c>
      <c r="E406" s="11" t="s">
        <v>738</v>
      </c>
      <c r="F406" s="11" t="s">
        <v>743</v>
      </c>
      <c r="G406" s="11" t="s">
        <v>1872</v>
      </c>
      <c r="H406" s="11" t="s">
        <v>242</v>
      </c>
      <c r="I406" s="20">
        <v>806.2</v>
      </c>
      <c r="J406" s="20" t="s">
        <v>702</v>
      </c>
      <c r="K406" s="14">
        <f>I406/12/250*1000</f>
        <v>268.73333333333335</v>
      </c>
      <c r="L406" s="14">
        <v>50</v>
      </c>
      <c r="M406" s="8" t="s">
        <v>2200</v>
      </c>
      <c r="N406" s="6" t="s">
        <v>3011</v>
      </c>
    </row>
    <row r="407" spans="1:14" ht="56.25">
      <c r="A407" s="9" t="s">
        <v>1727</v>
      </c>
      <c r="B407" s="6" t="s">
        <v>741</v>
      </c>
      <c r="C407" s="51" t="s">
        <v>1609</v>
      </c>
      <c r="D407" s="9" t="s">
        <v>742</v>
      </c>
      <c r="E407" s="11" t="s">
        <v>65</v>
      </c>
      <c r="F407" s="52" t="s">
        <v>782</v>
      </c>
      <c r="G407" s="38" t="s">
        <v>1873</v>
      </c>
      <c r="H407" s="11" t="s">
        <v>50</v>
      </c>
      <c r="I407" s="20">
        <v>644.20000000000005</v>
      </c>
      <c r="J407" s="19" t="s">
        <v>702</v>
      </c>
      <c r="K407" s="18">
        <f>+I407/10/500*1000</f>
        <v>128.84</v>
      </c>
      <c r="L407" s="18">
        <v>50</v>
      </c>
      <c r="M407" s="8" t="s">
        <v>2200</v>
      </c>
      <c r="N407" s="8" t="s">
        <v>2192</v>
      </c>
    </row>
    <row r="408" spans="1:14" ht="56.25">
      <c r="A408" s="37" t="s">
        <v>2962</v>
      </c>
      <c r="B408" s="37" t="s">
        <v>741</v>
      </c>
      <c r="C408" s="53" t="s">
        <v>1609</v>
      </c>
      <c r="D408" s="53" t="s">
        <v>2963</v>
      </c>
      <c r="E408" s="54" t="s">
        <v>706</v>
      </c>
      <c r="F408" s="15" t="s">
        <v>2964</v>
      </c>
      <c r="G408" s="54" t="s">
        <v>2965</v>
      </c>
      <c r="H408" s="54" t="s">
        <v>941</v>
      </c>
      <c r="I408" s="20">
        <v>486.2</v>
      </c>
      <c r="J408" s="42" t="s">
        <v>702</v>
      </c>
      <c r="K408" s="82">
        <f>+I408/(60/5*250)*1000</f>
        <v>162.06666666666666</v>
      </c>
      <c r="L408" s="18">
        <v>50</v>
      </c>
      <c r="M408" s="8" t="s">
        <v>2200</v>
      </c>
      <c r="N408" s="6" t="s">
        <v>3011</v>
      </c>
    </row>
    <row r="409" spans="1:14" ht="56.25">
      <c r="A409" s="37" t="s">
        <v>2966</v>
      </c>
      <c r="B409" s="37" t="s">
        <v>741</v>
      </c>
      <c r="C409" s="53" t="s">
        <v>1609</v>
      </c>
      <c r="D409" s="53" t="s">
        <v>2963</v>
      </c>
      <c r="E409" s="54" t="s">
        <v>65</v>
      </c>
      <c r="F409" s="15" t="s">
        <v>782</v>
      </c>
      <c r="G409" s="54" t="s">
        <v>2965</v>
      </c>
      <c r="H409" s="54" t="s">
        <v>941</v>
      </c>
      <c r="I409" s="20">
        <v>450.9</v>
      </c>
      <c r="J409" s="42" t="s">
        <v>702</v>
      </c>
      <c r="K409" s="82">
        <f>+I409/(10*500)*1000</f>
        <v>90.179999999999993</v>
      </c>
      <c r="L409" s="18">
        <v>50</v>
      </c>
      <c r="M409" s="8" t="s">
        <v>2200</v>
      </c>
      <c r="N409" s="8" t="s">
        <v>2192</v>
      </c>
    </row>
    <row r="410" spans="1:14" ht="45">
      <c r="A410" s="9" t="s">
        <v>744</v>
      </c>
      <c r="B410" s="6" t="s">
        <v>745</v>
      </c>
      <c r="C410" s="6" t="s">
        <v>746</v>
      </c>
      <c r="D410" s="6" t="s">
        <v>747</v>
      </c>
      <c r="E410" s="11" t="s">
        <v>738</v>
      </c>
      <c r="F410" s="11" t="s">
        <v>1690</v>
      </c>
      <c r="G410" s="11" t="s">
        <v>1612</v>
      </c>
      <c r="H410" s="11" t="s">
        <v>2673</v>
      </c>
      <c r="I410" s="20">
        <v>1196</v>
      </c>
      <c r="J410" s="39" t="s">
        <v>750</v>
      </c>
      <c r="K410" s="18">
        <f>I410/20/100*400</f>
        <v>239.2</v>
      </c>
      <c r="L410" s="14">
        <v>50</v>
      </c>
      <c r="M410" s="8" t="s">
        <v>2201</v>
      </c>
      <c r="N410" s="8" t="s">
        <v>3012</v>
      </c>
    </row>
    <row r="411" spans="1:14" ht="45">
      <c r="A411" s="9" t="s">
        <v>751</v>
      </c>
      <c r="B411" s="6" t="s">
        <v>745</v>
      </c>
      <c r="C411" s="6" t="s">
        <v>746</v>
      </c>
      <c r="D411" s="6" t="s">
        <v>747</v>
      </c>
      <c r="E411" s="11" t="s">
        <v>738</v>
      </c>
      <c r="F411" s="11" t="s">
        <v>1691</v>
      </c>
      <c r="G411" s="11" t="s">
        <v>1612</v>
      </c>
      <c r="H411" s="11" t="s">
        <v>2673</v>
      </c>
      <c r="I411" s="20">
        <v>718.2</v>
      </c>
      <c r="J411" s="39" t="s">
        <v>750</v>
      </c>
      <c r="K411" s="18">
        <f>I411/(60/5)/100*400</f>
        <v>239.4</v>
      </c>
      <c r="L411" s="14">
        <v>50</v>
      </c>
      <c r="M411" s="8" t="s">
        <v>2201</v>
      </c>
      <c r="N411" s="6" t="s">
        <v>3033</v>
      </c>
    </row>
    <row r="412" spans="1:14" ht="45">
      <c r="A412" s="37" t="s">
        <v>1610</v>
      </c>
      <c r="B412" s="8" t="s">
        <v>745</v>
      </c>
      <c r="C412" s="8" t="s">
        <v>746</v>
      </c>
      <c r="D412" s="8" t="s">
        <v>747</v>
      </c>
      <c r="E412" s="5" t="s">
        <v>1066</v>
      </c>
      <c r="F412" s="5" t="s">
        <v>1611</v>
      </c>
      <c r="G412" s="5" t="s">
        <v>1612</v>
      </c>
      <c r="H412" s="11" t="s">
        <v>2673</v>
      </c>
      <c r="I412" s="20">
        <v>855</v>
      </c>
      <c r="J412" s="19" t="s">
        <v>750</v>
      </c>
      <c r="K412" s="18">
        <f>I412/10/400*400</f>
        <v>85.5</v>
      </c>
      <c r="L412" s="18">
        <v>50</v>
      </c>
      <c r="M412" s="8" t="s">
        <v>2201</v>
      </c>
      <c r="N412" s="8" t="s">
        <v>2192</v>
      </c>
    </row>
    <row r="413" spans="1:14" ht="45">
      <c r="A413" s="37" t="s">
        <v>1613</v>
      </c>
      <c r="B413" s="8" t="s">
        <v>745</v>
      </c>
      <c r="C413" s="8" t="s">
        <v>746</v>
      </c>
      <c r="D413" s="8" t="s">
        <v>747</v>
      </c>
      <c r="E413" s="5" t="s">
        <v>65</v>
      </c>
      <c r="F413" s="5" t="s">
        <v>1614</v>
      </c>
      <c r="G413" s="5" t="s">
        <v>1612</v>
      </c>
      <c r="H413" s="11" t="s">
        <v>2673</v>
      </c>
      <c r="I413" s="20">
        <v>427.5</v>
      </c>
      <c r="J413" s="19" t="s">
        <v>750</v>
      </c>
      <c r="K413" s="18">
        <f>I413/5/400*400</f>
        <v>85.5</v>
      </c>
      <c r="L413" s="18">
        <v>50</v>
      </c>
      <c r="M413" s="8" t="s">
        <v>2201</v>
      </c>
      <c r="N413" s="8" t="s">
        <v>2192</v>
      </c>
    </row>
    <row r="414" spans="1:14" ht="45">
      <c r="A414" s="37" t="s">
        <v>2716</v>
      </c>
      <c r="B414" s="37" t="s">
        <v>745</v>
      </c>
      <c r="C414" s="29" t="s">
        <v>746</v>
      </c>
      <c r="D414" s="29" t="s">
        <v>2717</v>
      </c>
      <c r="E414" s="15" t="s">
        <v>65</v>
      </c>
      <c r="F414" s="15" t="s">
        <v>1611</v>
      </c>
      <c r="G414" s="5" t="s">
        <v>2699</v>
      </c>
      <c r="H414" s="5" t="s">
        <v>12</v>
      </c>
      <c r="I414" s="19">
        <v>855</v>
      </c>
      <c r="J414" s="39" t="s">
        <v>750</v>
      </c>
      <c r="K414" s="18">
        <f>I414/10/400*400</f>
        <v>85.5</v>
      </c>
      <c r="L414" s="18">
        <v>50</v>
      </c>
      <c r="M414" s="8" t="s">
        <v>2201</v>
      </c>
      <c r="N414" s="8" t="s">
        <v>2192</v>
      </c>
    </row>
    <row r="415" spans="1:14" ht="45">
      <c r="A415" s="37" t="s">
        <v>2895</v>
      </c>
      <c r="B415" s="41" t="s">
        <v>745</v>
      </c>
      <c r="C415" s="29" t="s">
        <v>746</v>
      </c>
      <c r="D415" s="29" t="s">
        <v>2717</v>
      </c>
      <c r="E415" s="15" t="s">
        <v>706</v>
      </c>
      <c r="F415" s="15" t="s">
        <v>2896</v>
      </c>
      <c r="G415" s="15" t="s">
        <v>1857</v>
      </c>
      <c r="H415" s="15" t="s">
        <v>12</v>
      </c>
      <c r="I415" s="19">
        <v>1100</v>
      </c>
      <c r="J415" s="19" t="s">
        <v>750</v>
      </c>
      <c r="K415" s="19">
        <f>+I415/2000*400</f>
        <v>220.00000000000003</v>
      </c>
      <c r="L415" s="14">
        <v>50</v>
      </c>
      <c r="M415" s="8" t="s">
        <v>2201</v>
      </c>
      <c r="N415" s="6" t="s">
        <v>3012</v>
      </c>
    </row>
    <row r="416" spans="1:14" ht="45">
      <c r="A416" s="37" t="s">
        <v>2897</v>
      </c>
      <c r="B416" s="41" t="s">
        <v>745</v>
      </c>
      <c r="C416" s="29" t="s">
        <v>746</v>
      </c>
      <c r="D416" s="29" t="s">
        <v>2717</v>
      </c>
      <c r="E416" s="15" t="s">
        <v>706</v>
      </c>
      <c r="F416" s="15" t="s">
        <v>2898</v>
      </c>
      <c r="G416" s="15" t="s">
        <v>1857</v>
      </c>
      <c r="H416" s="15" t="s">
        <v>12</v>
      </c>
      <c r="I416" s="19">
        <v>550</v>
      </c>
      <c r="J416" s="19" t="s">
        <v>750</v>
      </c>
      <c r="K416" s="19">
        <f>+I416/1000*400</f>
        <v>220.00000000000003</v>
      </c>
      <c r="L416" s="14">
        <v>50</v>
      </c>
      <c r="M416" s="8" t="s">
        <v>2201</v>
      </c>
      <c r="N416" s="6" t="s">
        <v>3012</v>
      </c>
    </row>
    <row r="417" spans="1:14" ht="45">
      <c r="A417" s="9" t="s">
        <v>752</v>
      </c>
      <c r="B417" s="6" t="s">
        <v>753</v>
      </c>
      <c r="C417" s="6" t="s">
        <v>754</v>
      </c>
      <c r="D417" s="6" t="s">
        <v>755</v>
      </c>
      <c r="E417" s="11" t="s">
        <v>706</v>
      </c>
      <c r="F417" s="11" t="s">
        <v>756</v>
      </c>
      <c r="G417" s="11" t="s">
        <v>260</v>
      </c>
      <c r="H417" s="11" t="s">
        <v>2673</v>
      </c>
      <c r="I417" s="20">
        <v>578.70000000000005</v>
      </c>
      <c r="J417" s="20" t="s">
        <v>750</v>
      </c>
      <c r="K417" s="14">
        <f>I417/40/20*400</f>
        <v>289.35000000000002</v>
      </c>
      <c r="L417" s="14">
        <v>50</v>
      </c>
      <c r="M417" s="8" t="s">
        <v>2202</v>
      </c>
      <c r="N417" s="6" t="s">
        <v>3033</v>
      </c>
    </row>
    <row r="418" spans="1:14" ht="45">
      <c r="A418" s="55" t="s">
        <v>1615</v>
      </c>
      <c r="B418" s="56" t="s">
        <v>753</v>
      </c>
      <c r="C418" s="8" t="s">
        <v>754</v>
      </c>
      <c r="D418" s="8" t="s">
        <v>755</v>
      </c>
      <c r="E418" s="5" t="s">
        <v>65</v>
      </c>
      <c r="F418" s="57" t="s">
        <v>851</v>
      </c>
      <c r="G418" s="58" t="s">
        <v>260</v>
      </c>
      <c r="H418" s="11" t="s">
        <v>2673</v>
      </c>
      <c r="I418" s="20">
        <v>312.60000000000002</v>
      </c>
      <c r="J418" s="19" t="s">
        <v>750</v>
      </c>
      <c r="K418" s="18">
        <f>I418/10/100*400</f>
        <v>125.03999999999999</v>
      </c>
      <c r="L418" s="18">
        <v>50</v>
      </c>
      <c r="M418" s="8" t="s">
        <v>2202</v>
      </c>
      <c r="N418" s="8" t="s">
        <v>2195</v>
      </c>
    </row>
    <row r="419" spans="1:14" ht="45">
      <c r="A419" s="55" t="s">
        <v>1616</v>
      </c>
      <c r="B419" s="56" t="s">
        <v>753</v>
      </c>
      <c r="C419" s="8" t="s">
        <v>754</v>
      </c>
      <c r="D419" s="8" t="s">
        <v>755</v>
      </c>
      <c r="E419" s="5" t="s">
        <v>65</v>
      </c>
      <c r="F419" s="57" t="s">
        <v>980</v>
      </c>
      <c r="G419" s="58" t="s">
        <v>260</v>
      </c>
      <c r="H419" s="11" t="s">
        <v>2673</v>
      </c>
      <c r="I419" s="20">
        <v>625.4</v>
      </c>
      <c r="J419" s="19" t="s">
        <v>750</v>
      </c>
      <c r="K419" s="18">
        <f>I419/10/200*400</f>
        <v>125.07999999999998</v>
      </c>
      <c r="L419" s="18">
        <v>50</v>
      </c>
      <c r="M419" s="8" t="s">
        <v>2202</v>
      </c>
      <c r="N419" s="8" t="s">
        <v>2195</v>
      </c>
    </row>
    <row r="420" spans="1:14" ht="45">
      <c r="A420" s="9" t="s">
        <v>761</v>
      </c>
      <c r="B420" s="6" t="s">
        <v>757</v>
      </c>
      <c r="C420" s="6" t="s">
        <v>758</v>
      </c>
      <c r="D420" s="6" t="s">
        <v>759</v>
      </c>
      <c r="E420" s="11" t="s">
        <v>55</v>
      </c>
      <c r="F420" s="11" t="s">
        <v>762</v>
      </c>
      <c r="G420" s="5" t="s">
        <v>1361</v>
      </c>
      <c r="H420" s="11" t="s">
        <v>12</v>
      </c>
      <c r="I420" s="20">
        <v>171.7</v>
      </c>
      <c r="J420" s="20" t="s">
        <v>760</v>
      </c>
      <c r="K420" s="14">
        <f>I420/20/480*1920</f>
        <v>34.339999999999996</v>
      </c>
      <c r="L420" s="14">
        <v>50</v>
      </c>
      <c r="M420" s="6"/>
      <c r="N420" s="6"/>
    </row>
    <row r="421" spans="1:14" ht="22.5">
      <c r="A421" s="9" t="s">
        <v>1771</v>
      </c>
      <c r="B421" s="6" t="s">
        <v>757</v>
      </c>
      <c r="C421" s="6" t="s">
        <v>758</v>
      </c>
      <c r="D421" s="6" t="s">
        <v>1772</v>
      </c>
      <c r="E421" s="11" t="s">
        <v>55</v>
      </c>
      <c r="F421" s="11" t="s">
        <v>762</v>
      </c>
      <c r="G421" s="5" t="s">
        <v>1773</v>
      </c>
      <c r="H421" s="11" t="s">
        <v>101</v>
      </c>
      <c r="I421" s="20">
        <v>149.1</v>
      </c>
      <c r="J421" s="20" t="s">
        <v>760</v>
      </c>
      <c r="K421" s="14">
        <f>I421/20/480*1920</f>
        <v>29.82</v>
      </c>
      <c r="L421" s="14">
        <v>50</v>
      </c>
      <c r="M421" s="6"/>
      <c r="N421" s="6"/>
    </row>
    <row r="422" spans="1:14" ht="67.5">
      <c r="A422" s="9" t="s">
        <v>763</v>
      </c>
      <c r="B422" s="6" t="s">
        <v>764</v>
      </c>
      <c r="C422" s="6" t="s">
        <v>765</v>
      </c>
      <c r="D422" s="6" t="s">
        <v>1875</v>
      </c>
      <c r="E422" s="11" t="s">
        <v>65</v>
      </c>
      <c r="F422" s="11" t="s">
        <v>766</v>
      </c>
      <c r="G422" s="11" t="s">
        <v>24</v>
      </c>
      <c r="H422" s="11" t="s">
        <v>12</v>
      </c>
      <c r="I422" s="20">
        <v>238.1</v>
      </c>
      <c r="J422" s="20" t="s">
        <v>702</v>
      </c>
      <c r="K422" s="14">
        <f>I422/20/250*1000</f>
        <v>47.62</v>
      </c>
      <c r="L422" s="14">
        <v>50</v>
      </c>
      <c r="M422" s="6" t="s">
        <v>2203</v>
      </c>
      <c r="N422" s="6" t="s">
        <v>3034</v>
      </c>
    </row>
    <row r="423" spans="1:14" ht="67.5">
      <c r="A423" s="9" t="s">
        <v>767</v>
      </c>
      <c r="B423" s="6" t="s">
        <v>764</v>
      </c>
      <c r="C423" s="6" t="s">
        <v>765</v>
      </c>
      <c r="D423" s="6" t="s">
        <v>1875</v>
      </c>
      <c r="E423" s="11" t="s">
        <v>55</v>
      </c>
      <c r="F423" s="11" t="s">
        <v>768</v>
      </c>
      <c r="G423" s="11" t="s">
        <v>24</v>
      </c>
      <c r="H423" s="11" t="s">
        <v>12</v>
      </c>
      <c r="I423" s="20">
        <v>393.2</v>
      </c>
      <c r="J423" s="20" t="s">
        <v>702</v>
      </c>
      <c r="K423" s="14">
        <f>I423/20/500*1000</f>
        <v>39.32</v>
      </c>
      <c r="L423" s="14">
        <v>50</v>
      </c>
      <c r="M423" s="6" t="s">
        <v>2204</v>
      </c>
      <c r="N423" s="6" t="s">
        <v>3034</v>
      </c>
    </row>
    <row r="424" spans="1:14" ht="45">
      <c r="A424" s="56" t="s">
        <v>1617</v>
      </c>
      <c r="B424" s="67" t="s">
        <v>1618</v>
      </c>
      <c r="C424" s="55" t="s">
        <v>1619</v>
      </c>
      <c r="D424" s="56" t="s">
        <v>1620</v>
      </c>
      <c r="E424" s="34" t="s">
        <v>65</v>
      </c>
      <c r="F424" s="57" t="s">
        <v>1621</v>
      </c>
      <c r="G424" s="58" t="s">
        <v>67</v>
      </c>
      <c r="H424" s="58" t="s">
        <v>12</v>
      </c>
      <c r="I424" s="20">
        <v>408.4</v>
      </c>
      <c r="J424" s="19" t="s">
        <v>297</v>
      </c>
      <c r="K424" s="18">
        <f>I424/10/150*300</f>
        <v>81.679999999999993</v>
      </c>
      <c r="L424" s="2">
        <v>50</v>
      </c>
      <c r="M424" s="8" t="s">
        <v>2205</v>
      </c>
      <c r="N424" s="8" t="s">
        <v>2192</v>
      </c>
    </row>
    <row r="425" spans="1:14" ht="33.75">
      <c r="A425" s="37" t="s">
        <v>1622</v>
      </c>
      <c r="B425" s="8" t="s">
        <v>1623</v>
      </c>
      <c r="C425" s="8" t="s">
        <v>1624</v>
      </c>
      <c r="D425" s="8" t="s">
        <v>1625</v>
      </c>
      <c r="E425" s="5" t="s">
        <v>738</v>
      </c>
      <c r="F425" s="5" t="s">
        <v>1626</v>
      </c>
      <c r="G425" s="5" t="s">
        <v>933</v>
      </c>
      <c r="H425" s="5" t="s">
        <v>242</v>
      </c>
      <c r="I425" s="22">
        <v>338.3</v>
      </c>
      <c r="J425" s="19" t="s">
        <v>611</v>
      </c>
      <c r="K425" s="18">
        <f>I425/(60/5)/125*500</f>
        <v>112.76666666666667</v>
      </c>
      <c r="L425" s="2">
        <v>50</v>
      </c>
      <c r="M425" s="8" t="s">
        <v>2206</v>
      </c>
      <c r="N425" s="8" t="s">
        <v>2207</v>
      </c>
    </row>
    <row r="426" spans="1:14" ht="56.25">
      <c r="A426" s="37" t="s">
        <v>1627</v>
      </c>
      <c r="B426" s="8" t="s">
        <v>1623</v>
      </c>
      <c r="C426" s="8" t="s">
        <v>1624</v>
      </c>
      <c r="D426" s="8" t="s">
        <v>1628</v>
      </c>
      <c r="E426" s="5" t="s">
        <v>65</v>
      </c>
      <c r="F426" s="5" t="s">
        <v>1629</v>
      </c>
      <c r="G426" s="5" t="s">
        <v>769</v>
      </c>
      <c r="H426" s="5" t="s">
        <v>43</v>
      </c>
      <c r="I426" s="20">
        <v>352.6</v>
      </c>
      <c r="J426" s="19" t="s">
        <v>611</v>
      </c>
      <c r="K426" s="18">
        <f>I426/14/500*500</f>
        <v>25.185714285714287</v>
      </c>
      <c r="L426" s="2">
        <v>50</v>
      </c>
      <c r="M426" s="8" t="s">
        <v>2208</v>
      </c>
      <c r="N426" s="8" t="s">
        <v>2195</v>
      </c>
    </row>
    <row r="427" spans="1:14" ht="56.25">
      <c r="A427" s="37" t="s">
        <v>1630</v>
      </c>
      <c r="B427" s="8" t="s">
        <v>1623</v>
      </c>
      <c r="C427" s="8" t="s">
        <v>1624</v>
      </c>
      <c r="D427" s="8" t="s">
        <v>1631</v>
      </c>
      <c r="E427" s="5" t="s">
        <v>427</v>
      </c>
      <c r="F427" s="5" t="s">
        <v>1632</v>
      </c>
      <c r="G427" s="5" t="s">
        <v>1633</v>
      </c>
      <c r="H427" s="5" t="s">
        <v>43</v>
      </c>
      <c r="I427" s="20">
        <v>195.7</v>
      </c>
      <c r="J427" s="19" t="s">
        <v>611</v>
      </c>
      <c r="K427" s="18">
        <f>I427/7/500*500</f>
        <v>27.957142857142856</v>
      </c>
      <c r="L427" s="2">
        <v>50</v>
      </c>
      <c r="M427" s="8" t="s">
        <v>2208</v>
      </c>
      <c r="N427" s="8" t="s">
        <v>2195</v>
      </c>
    </row>
    <row r="428" spans="1:14" ht="56.25">
      <c r="A428" s="37" t="s">
        <v>1634</v>
      </c>
      <c r="B428" s="8" t="s">
        <v>1623</v>
      </c>
      <c r="C428" s="8" t="s">
        <v>1624</v>
      </c>
      <c r="D428" s="8" t="s">
        <v>1631</v>
      </c>
      <c r="E428" s="5" t="s">
        <v>427</v>
      </c>
      <c r="F428" s="5" t="s">
        <v>1629</v>
      </c>
      <c r="G428" s="5" t="s">
        <v>1633</v>
      </c>
      <c r="H428" s="5" t="s">
        <v>43</v>
      </c>
      <c r="I428" s="20">
        <v>391.4</v>
      </c>
      <c r="J428" s="19" t="s">
        <v>611</v>
      </c>
      <c r="K428" s="18">
        <f>I428/14/500*500</f>
        <v>27.957142857142856</v>
      </c>
      <c r="L428" s="2">
        <v>50</v>
      </c>
      <c r="M428" s="8" t="s">
        <v>2208</v>
      </c>
      <c r="N428" s="8" t="s">
        <v>2195</v>
      </c>
    </row>
    <row r="429" spans="1:14" ht="56.25">
      <c r="A429" s="37" t="s">
        <v>1635</v>
      </c>
      <c r="B429" s="8" t="s">
        <v>1623</v>
      </c>
      <c r="C429" s="8" t="s">
        <v>1624</v>
      </c>
      <c r="D429" s="8" t="s">
        <v>1625</v>
      </c>
      <c r="E429" s="5" t="s">
        <v>65</v>
      </c>
      <c r="F429" s="5" t="s">
        <v>1629</v>
      </c>
      <c r="G429" s="5" t="s">
        <v>933</v>
      </c>
      <c r="H429" s="5" t="s">
        <v>242</v>
      </c>
      <c r="I429" s="20">
        <v>885</v>
      </c>
      <c r="J429" s="19" t="s">
        <v>611</v>
      </c>
      <c r="K429" s="18">
        <f>I429/14/500*500</f>
        <v>63.214285714285708</v>
      </c>
      <c r="L429" s="2">
        <v>50</v>
      </c>
      <c r="M429" s="8" t="s">
        <v>2208</v>
      </c>
      <c r="N429" s="8" t="s">
        <v>2195</v>
      </c>
    </row>
    <row r="430" spans="1:14" ht="56.25">
      <c r="A430" s="37" t="s">
        <v>1636</v>
      </c>
      <c r="B430" s="8" t="s">
        <v>1623</v>
      </c>
      <c r="C430" s="8" t="s">
        <v>1624</v>
      </c>
      <c r="D430" s="8" t="s">
        <v>1637</v>
      </c>
      <c r="E430" s="5" t="s">
        <v>1010</v>
      </c>
      <c r="F430" s="5" t="s">
        <v>1632</v>
      </c>
      <c r="G430" s="5" t="s">
        <v>933</v>
      </c>
      <c r="H430" s="5" t="s">
        <v>242</v>
      </c>
      <c r="I430" s="20">
        <v>685</v>
      </c>
      <c r="J430" s="19" t="s">
        <v>611</v>
      </c>
      <c r="K430" s="18">
        <f>I430/7/500*500</f>
        <v>97.857142857142861</v>
      </c>
      <c r="L430" s="2">
        <v>50</v>
      </c>
      <c r="M430" s="8" t="s">
        <v>2208</v>
      </c>
      <c r="N430" s="8" t="s">
        <v>2195</v>
      </c>
    </row>
    <row r="431" spans="1:14" ht="67.5">
      <c r="A431" s="9" t="s">
        <v>770</v>
      </c>
      <c r="B431" s="6" t="s">
        <v>771</v>
      </c>
      <c r="C431" s="6" t="s">
        <v>772</v>
      </c>
      <c r="D431" s="6" t="s">
        <v>773</v>
      </c>
      <c r="E431" s="11" t="s">
        <v>706</v>
      </c>
      <c r="F431" s="11" t="s">
        <v>774</v>
      </c>
      <c r="G431" s="11" t="s">
        <v>24</v>
      </c>
      <c r="H431" s="11" t="s">
        <v>12</v>
      </c>
      <c r="I431" s="19">
        <v>146</v>
      </c>
      <c r="J431" s="20" t="s">
        <v>297</v>
      </c>
      <c r="K431" s="14">
        <f>I431/4/100*300</f>
        <v>109.5</v>
      </c>
      <c r="L431" s="14">
        <v>50</v>
      </c>
      <c r="M431" s="6" t="s">
        <v>2209</v>
      </c>
      <c r="N431" s="6" t="s">
        <v>2210</v>
      </c>
    </row>
    <row r="432" spans="1:14" ht="67.5">
      <c r="A432" s="9" t="s">
        <v>775</v>
      </c>
      <c r="B432" s="6" t="s">
        <v>771</v>
      </c>
      <c r="C432" s="6" t="s">
        <v>772</v>
      </c>
      <c r="D432" s="6" t="s">
        <v>773</v>
      </c>
      <c r="E432" s="11" t="s">
        <v>706</v>
      </c>
      <c r="F432" s="11" t="s">
        <v>776</v>
      </c>
      <c r="G432" s="11" t="s">
        <v>24</v>
      </c>
      <c r="H432" s="11" t="s">
        <v>12</v>
      </c>
      <c r="I432" s="19">
        <v>262</v>
      </c>
      <c r="J432" s="20" t="s">
        <v>297</v>
      </c>
      <c r="K432" s="14">
        <f>I432/1200*300</f>
        <v>65.5</v>
      </c>
      <c r="L432" s="14">
        <v>50</v>
      </c>
      <c r="M432" s="6" t="s">
        <v>2211</v>
      </c>
      <c r="N432" s="6" t="s">
        <v>2210</v>
      </c>
    </row>
    <row r="433" spans="1:14" ht="67.5">
      <c r="A433" s="37" t="s">
        <v>1638</v>
      </c>
      <c r="B433" s="8" t="s">
        <v>771</v>
      </c>
      <c r="C433" s="8" t="s">
        <v>772</v>
      </c>
      <c r="D433" s="8" t="s">
        <v>773</v>
      </c>
      <c r="E433" s="5" t="s">
        <v>81</v>
      </c>
      <c r="F433" s="5" t="s">
        <v>1639</v>
      </c>
      <c r="G433" s="5" t="s">
        <v>24</v>
      </c>
      <c r="H433" s="5" t="s">
        <v>12</v>
      </c>
      <c r="I433" s="20">
        <v>200.7</v>
      </c>
      <c r="J433" s="19" t="s">
        <v>297</v>
      </c>
      <c r="K433" s="18">
        <f>I433/6/250*300</f>
        <v>40.139999999999993</v>
      </c>
      <c r="L433" s="2">
        <v>50</v>
      </c>
      <c r="M433" s="8" t="s">
        <v>2212</v>
      </c>
      <c r="N433" s="8" t="s">
        <v>2195</v>
      </c>
    </row>
    <row r="434" spans="1:14" ht="67.5">
      <c r="A434" s="37" t="s">
        <v>1640</v>
      </c>
      <c r="B434" s="8" t="s">
        <v>771</v>
      </c>
      <c r="C434" s="8" t="s">
        <v>772</v>
      </c>
      <c r="D434" s="8" t="s">
        <v>773</v>
      </c>
      <c r="E434" s="5" t="s">
        <v>1066</v>
      </c>
      <c r="F434" s="5" t="s">
        <v>1641</v>
      </c>
      <c r="G434" s="5" t="s">
        <v>24</v>
      </c>
      <c r="H434" s="5" t="s">
        <v>12</v>
      </c>
      <c r="I434" s="20">
        <v>186.6</v>
      </c>
      <c r="J434" s="19" t="s">
        <v>297</v>
      </c>
      <c r="K434" s="18">
        <f>I434/3/500*300</f>
        <v>37.32</v>
      </c>
      <c r="L434" s="2">
        <v>50</v>
      </c>
      <c r="M434" s="8" t="s">
        <v>2212</v>
      </c>
      <c r="N434" s="8" t="s">
        <v>2195</v>
      </c>
    </row>
    <row r="435" spans="1:14" ht="67.5">
      <c r="A435" s="37" t="s">
        <v>1642</v>
      </c>
      <c r="B435" s="8" t="s">
        <v>771</v>
      </c>
      <c r="C435" s="8" t="s">
        <v>772</v>
      </c>
      <c r="D435" s="8" t="s">
        <v>1643</v>
      </c>
      <c r="E435" s="5" t="s">
        <v>81</v>
      </c>
      <c r="F435" s="5" t="s">
        <v>1639</v>
      </c>
      <c r="G435" s="5" t="s">
        <v>777</v>
      </c>
      <c r="H435" s="5" t="s">
        <v>39</v>
      </c>
      <c r="I435" s="20">
        <v>200.7</v>
      </c>
      <c r="J435" s="19" t="s">
        <v>297</v>
      </c>
      <c r="K435" s="18">
        <f>I435/6/250*300</f>
        <v>40.139999999999993</v>
      </c>
      <c r="L435" s="2">
        <v>50</v>
      </c>
      <c r="M435" s="8" t="s">
        <v>2212</v>
      </c>
      <c r="N435" s="8" t="s">
        <v>2195</v>
      </c>
    </row>
    <row r="436" spans="1:14" ht="67.5">
      <c r="A436" s="37" t="s">
        <v>1644</v>
      </c>
      <c r="B436" s="8" t="s">
        <v>771</v>
      </c>
      <c r="C436" s="8" t="s">
        <v>772</v>
      </c>
      <c r="D436" s="8" t="s">
        <v>2603</v>
      </c>
      <c r="E436" s="5" t="s">
        <v>65</v>
      </c>
      <c r="F436" s="5" t="s">
        <v>1641</v>
      </c>
      <c r="G436" s="5" t="s">
        <v>777</v>
      </c>
      <c r="H436" s="5" t="s">
        <v>39</v>
      </c>
      <c r="I436" s="20">
        <v>186.6</v>
      </c>
      <c r="J436" s="19" t="s">
        <v>297</v>
      </c>
      <c r="K436" s="18">
        <f>I436/3/500*300</f>
        <v>37.32</v>
      </c>
      <c r="L436" s="2">
        <v>50</v>
      </c>
      <c r="M436" s="8" t="s">
        <v>2212</v>
      </c>
      <c r="N436" s="8" t="s">
        <v>2195</v>
      </c>
    </row>
    <row r="437" spans="1:14" ht="67.5">
      <c r="A437" s="37" t="s">
        <v>1645</v>
      </c>
      <c r="B437" s="8" t="s">
        <v>771</v>
      </c>
      <c r="C437" s="8" t="s">
        <v>772</v>
      </c>
      <c r="D437" s="8" t="s">
        <v>1646</v>
      </c>
      <c r="E437" s="5" t="s">
        <v>65</v>
      </c>
      <c r="F437" s="5" t="s">
        <v>1641</v>
      </c>
      <c r="G437" s="5" t="s">
        <v>1871</v>
      </c>
      <c r="H437" s="5" t="s">
        <v>829</v>
      </c>
      <c r="I437" s="20">
        <v>169</v>
      </c>
      <c r="J437" s="19" t="s">
        <v>297</v>
      </c>
      <c r="K437" s="18">
        <f>I437/3/500*300</f>
        <v>33.799999999999997</v>
      </c>
      <c r="L437" s="2">
        <v>50</v>
      </c>
      <c r="M437" s="8" t="s">
        <v>2212</v>
      </c>
      <c r="N437" s="8" t="s">
        <v>2195</v>
      </c>
    </row>
    <row r="438" spans="1:14" ht="67.5">
      <c r="A438" s="37" t="s">
        <v>2461</v>
      </c>
      <c r="B438" s="8" t="s">
        <v>771</v>
      </c>
      <c r="C438" s="8" t="s">
        <v>772</v>
      </c>
      <c r="D438" s="8" t="s">
        <v>2556</v>
      </c>
      <c r="E438" s="5" t="s">
        <v>65</v>
      </c>
      <c r="F438" s="15" t="s">
        <v>1641</v>
      </c>
      <c r="G438" s="5" t="s">
        <v>2718</v>
      </c>
      <c r="H438" s="5" t="s">
        <v>2719</v>
      </c>
      <c r="I438" s="19">
        <v>169</v>
      </c>
      <c r="J438" s="19" t="s">
        <v>297</v>
      </c>
      <c r="K438" s="19">
        <f>I438/3/500*300</f>
        <v>33.799999999999997</v>
      </c>
      <c r="L438" s="3">
        <v>50</v>
      </c>
      <c r="M438" s="8" t="s">
        <v>2212</v>
      </c>
      <c r="N438" s="8" t="s">
        <v>2195</v>
      </c>
    </row>
    <row r="439" spans="1:14">
      <c r="A439" s="37" t="s">
        <v>1647</v>
      </c>
      <c r="B439" s="8" t="s">
        <v>1648</v>
      </c>
      <c r="C439" s="8" t="s">
        <v>1649</v>
      </c>
      <c r="D439" s="8" t="s">
        <v>1650</v>
      </c>
      <c r="E439" s="5" t="s">
        <v>65</v>
      </c>
      <c r="F439" s="5" t="s">
        <v>1651</v>
      </c>
      <c r="G439" s="5" t="s">
        <v>3061</v>
      </c>
      <c r="H439" s="5" t="s">
        <v>50</v>
      </c>
      <c r="I439" s="20">
        <v>325.7</v>
      </c>
      <c r="J439" s="19" t="s">
        <v>807</v>
      </c>
      <c r="K439" s="18">
        <f>I439/12/300*1200</f>
        <v>108.56666666666666</v>
      </c>
      <c r="L439" s="2">
        <v>50</v>
      </c>
      <c r="M439" s="8"/>
      <c r="N439" s="8" t="s">
        <v>2195</v>
      </c>
    </row>
    <row r="440" spans="1:14">
      <c r="A440" s="37" t="s">
        <v>1652</v>
      </c>
      <c r="B440" s="8" t="s">
        <v>1648</v>
      </c>
      <c r="C440" s="8" t="s">
        <v>1649</v>
      </c>
      <c r="D440" s="8" t="s">
        <v>1650</v>
      </c>
      <c r="E440" s="5" t="s">
        <v>65</v>
      </c>
      <c r="F440" s="5" t="s">
        <v>1653</v>
      </c>
      <c r="G440" s="5" t="s">
        <v>3061</v>
      </c>
      <c r="H440" s="5" t="s">
        <v>50</v>
      </c>
      <c r="I440" s="20">
        <v>610.5</v>
      </c>
      <c r="J440" s="19" t="s">
        <v>807</v>
      </c>
      <c r="K440" s="18">
        <f>I440/12/600*1200</f>
        <v>101.75</v>
      </c>
      <c r="L440" s="2">
        <v>50</v>
      </c>
      <c r="M440" s="8"/>
      <c r="N440" s="8" t="s">
        <v>2195</v>
      </c>
    </row>
    <row r="441" spans="1:14">
      <c r="A441" s="37" t="s">
        <v>1654</v>
      </c>
      <c r="B441" s="8" t="s">
        <v>1648</v>
      </c>
      <c r="C441" s="8" t="s">
        <v>1649</v>
      </c>
      <c r="D441" s="8" t="s">
        <v>1650</v>
      </c>
      <c r="E441" s="5" t="s">
        <v>65</v>
      </c>
      <c r="F441" s="5" t="s">
        <v>1655</v>
      </c>
      <c r="G441" s="5" t="s">
        <v>3061</v>
      </c>
      <c r="H441" s="5" t="s">
        <v>50</v>
      </c>
      <c r="I441" s="20">
        <v>1413.8</v>
      </c>
      <c r="J441" s="19" t="s">
        <v>807</v>
      </c>
      <c r="K441" s="18">
        <f>I441/30/600*1200</f>
        <v>94.25333333333333</v>
      </c>
      <c r="L441" s="2">
        <v>50</v>
      </c>
      <c r="M441" s="8"/>
      <c r="N441" s="8" t="s">
        <v>2195</v>
      </c>
    </row>
    <row r="442" spans="1:14" ht="56.25">
      <c r="A442" s="9" t="s">
        <v>781</v>
      </c>
      <c r="B442" s="6" t="s">
        <v>778</v>
      </c>
      <c r="C442" s="6" t="s">
        <v>779</v>
      </c>
      <c r="D442" s="6" t="s">
        <v>780</v>
      </c>
      <c r="E442" s="11" t="s">
        <v>65</v>
      </c>
      <c r="F442" s="11" t="s">
        <v>782</v>
      </c>
      <c r="G442" s="11" t="s">
        <v>20</v>
      </c>
      <c r="H442" s="11" t="s">
        <v>12</v>
      </c>
      <c r="I442" s="20">
        <v>332.9</v>
      </c>
      <c r="J442" s="20" t="s">
        <v>702</v>
      </c>
      <c r="K442" s="14">
        <f>I442/10/500*1000</f>
        <v>66.58</v>
      </c>
      <c r="L442" s="14">
        <v>50</v>
      </c>
      <c r="M442" s="6" t="s">
        <v>2213</v>
      </c>
      <c r="N442" s="6"/>
    </row>
    <row r="443" spans="1:14" ht="56.25">
      <c r="A443" s="9" t="s">
        <v>785</v>
      </c>
      <c r="B443" s="6" t="s">
        <v>778</v>
      </c>
      <c r="C443" s="6" t="s">
        <v>779</v>
      </c>
      <c r="D443" s="6" t="s">
        <v>783</v>
      </c>
      <c r="E443" s="11" t="s">
        <v>65</v>
      </c>
      <c r="F443" s="11" t="s">
        <v>782</v>
      </c>
      <c r="G443" s="11" t="s">
        <v>24</v>
      </c>
      <c r="H443" s="11" t="s">
        <v>12</v>
      </c>
      <c r="I443" s="20">
        <v>332.9</v>
      </c>
      <c r="J443" s="20" t="s">
        <v>702</v>
      </c>
      <c r="K443" s="14">
        <f>I443/10/500*1000</f>
        <v>66.58</v>
      </c>
      <c r="L443" s="14">
        <v>50</v>
      </c>
      <c r="M443" s="6" t="s">
        <v>2213</v>
      </c>
      <c r="N443" s="6"/>
    </row>
    <row r="444" spans="1:14" ht="56.25">
      <c r="A444" s="9" t="s">
        <v>786</v>
      </c>
      <c r="B444" s="6" t="s">
        <v>778</v>
      </c>
      <c r="C444" s="6" t="s">
        <v>779</v>
      </c>
      <c r="D444" s="6" t="s">
        <v>787</v>
      </c>
      <c r="E444" s="11" t="s">
        <v>65</v>
      </c>
      <c r="F444" s="11" t="s">
        <v>784</v>
      </c>
      <c r="G444" s="13" t="s">
        <v>2408</v>
      </c>
      <c r="H444" s="11" t="s">
        <v>2674</v>
      </c>
      <c r="I444" s="20">
        <v>166.3</v>
      </c>
      <c r="J444" s="20" t="s">
        <v>702</v>
      </c>
      <c r="K444" s="14">
        <f>I444/10/250*1000</f>
        <v>66.52000000000001</v>
      </c>
      <c r="L444" s="14">
        <v>50</v>
      </c>
      <c r="M444" s="6" t="s">
        <v>2213</v>
      </c>
      <c r="N444" s="6"/>
    </row>
    <row r="445" spans="1:14" ht="56.25">
      <c r="A445" s="9" t="s">
        <v>788</v>
      </c>
      <c r="B445" s="6" t="s">
        <v>778</v>
      </c>
      <c r="C445" s="6" t="s">
        <v>779</v>
      </c>
      <c r="D445" s="6" t="s">
        <v>787</v>
      </c>
      <c r="E445" s="11" t="s">
        <v>65</v>
      </c>
      <c r="F445" s="11" t="s">
        <v>782</v>
      </c>
      <c r="G445" s="13" t="s">
        <v>2408</v>
      </c>
      <c r="H445" s="11" t="s">
        <v>2674</v>
      </c>
      <c r="I445" s="20">
        <v>332.9</v>
      </c>
      <c r="J445" s="20" t="s">
        <v>702</v>
      </c>
      <c r="K445" s="14">
        <f>I445/10/500*1000</f>
        <v>66.58</v>
      </c>
      <c r="L445" s="14">
        <v>50</v>
      </c>
      <c r="M445" s="6" t="s">
        <v>2213</v>
      </c>
      <c r="N445" s="6"/>
    </row>
    <row r="446" spans="1:14" ht="56.25">
      <c r="A446" s="9" t="s">
        <v>789</v>
      </c>
      <c r="B446" s="6" t="s">
        <v>778</v>
      </c>
      <c r="C446" s="6" t="s">
        <v>779</v>
      </c>
      <c r="D446" s="6" t="s">
        <v>1793</v>
      </c>
      <c r="E446" s="11" t="s">
        <v>65</v>
      </c>
      <c r="F446" s="11" t="s">
        <v>784</v>
      </c>
      <c r="G446" s="11" t="s">
        <v>1538</v>
      </c>
      <c r="H446" s="11" t="s">
        <v>1002</v>
      </c>
      <c r="I446" s="20">
        <v>166.3</v>
      </c>
      <c r="J446" s="20" t="s">
        <v>702</v>
      </c>
      <c r="K446" s="14">
        <f>I446/10/250*1000</f>
        <v>66.52000000000001</v>
      </c>
      <c r="L446" s="14">
        <v>50</v>
      </c>
      <c r="M446" s="6" t="s">
        <v>2213</v>
      </c>
      <c r="N446" s="6"/>
    </row>
    <row r="447" spans="1:14" ht="56.25">
      <c r="A447" s="9" t="s">
        <v>790</v>
      </c>
      <c r="B447" s="6" t="s">
        <v>778</v>
      </c>
      <c r="C447" s="6" t="s">
        <v>779</v>
      </c>
      <c r="D447" s="6" t="s">
        <v>1793</v>
      </c>
      <c r="E447" s="11" t="s">
        <v>65</v>
      </c>
      <c r="F447" s="11" t="s">
        <v>782</v>
      </c>
      <c r="G447" s="11" t="s">
        <v>1538</v>
      </c>
      <c r="H447" s="11" t="s">
        <v>1002</v>
      </c>
      <c r="I447" s="20">
        <v>301.5</v>
      </c>
      <c r="J447" s="20" t="s">
        <v>702</v>
      </c>
      <c r="K447" s="14">
        <f>I447/10/500*1000</f>
        <v>60.3</v>
      </c>
      <c r="L447" s="14">
        <v>50</v>
      </c>
      <c r="M447" s="6" t="s">
        <v>2213</v>
      </c>
      <c r="N447" s="6"/>
    </row>
    <row r="448" spans="1:14" ht="56.25">
      <c r="A448" s="9" t="s">
        <v>1418</v>
      </c>
      <c r="B448" s="6" t="s">
        <v>778</v>
      </c>
      <c r="C448" s="6" t="s">
        <v>779</v>
      </c>
      <c r="D448" s="6" t="s">
        <v>1419</v>
      </c>
      <c r="E448" s="11" t="s">
        <v>65</v>
      </c>
      <c r="F448" s="11" t="s">
        <v>784</v>
      </c>
      <c r="G448" s="11" t="s">
        <v>1539</v>
      </c>
      <c r="H448" s="11" t="s">
        <v>43</v>
      </c>
      <c r="I448" s="20">
        <v>166.3</v>
      </c>
      <c r="J448" s="20" t="s">
        <v>702</v>
      </c>
      <c r="K448" s="14">
        <f>I448/10/250*1000</f>
        <v>66.52000000000001</v>
      </c>
      <c r="L448" s="14">
        <v>50</v>
      </c>
      <c r="M448" s="6" t="s">
        <v>2213</v>
      </c>
      <c r="N448" s="6"/>
    </row>
    <row r="449" spans="1:14" ht="56.25">
      <c r="A449" s="9" t="s">
        <v>1420</v>
      </c>
      <c r="B449" s="6" t="s">
        <v>778</v>
      </c>
      <c r="C449" s="6" t="s">
        <v>779</v>
      </c>
      <c r="D449" s="6" t="s">
        <v>1419</v>
      </c>
      <c r="E449" s="11" t="s">
        <v>65</v>
      </c>
      <c r="F449" s="11" t="s">
        <v>782</v>
      </c>
      <c r="G449" s="11" t="s">
        <v>1539</v>
      </c>
      <c r="H449" s="11" t="s">
        <v>43</v>
      </c>
      <c r="I449" s="20">
        <v>301.5</v>
      </c>
      <c r="J449" s="20" t="s">
        <v>702</v>
      </c>
      <c r="K449" s="14">
        <f>I449/10/500*1000</f>
        <v>60.3</v>
      </c>
      <c r="L449" s="14">
        <v>50</v>
      </c>
      <c r="M449" s="6" t="s">
        <v>2213</v>
      </c>
      <c r="N449" s="6"/>
    </row>
    <row r="450" spans="1:14" ht="56.25">
      <c r="A450" s="9" t="s">
        <v>2720</v>
      </c>
      <c r="B450" s="6" t="s">
        <v>778</v>
      </c>
      <c r="C450" s="6" t="s">
        <v>779</v>
      </c>
      <c r="D450" s="6" t="s">
        <v>2721</v>
      </c>
      <c r="E450" s="11" t="s">
        <v>65</v>
      </c>
      <c r="F450" s="11" t="s">
        <v>782</v>
      </c>
      <c r="G450" s="11" t="s">
        <v>2691</v>
      </c>
      <c r="H450" s="11" t="s">
        <v>12</v>
      </c>
      <c r="I450" s="20">
        <v>301.5</v>
      </c>
      <c r="J450" s="20" t="s">
        <v>702</v>
      </c>
      <c r="K450" s="14">
        <f>I450/10/500*1000</f>
        <v>60.3</v>
      </c>
      <c r="L450" s="14">
        <v>50</v>
      </c>
      <c r="M450" s="6" t="s">
        <v>2213</v>
      </c>
      <c r="N450" s="6"/>
    </row>
    <row r="451" spans="1:14" ht="22.5">
      <c r="A451" s="9" t="s">
        <v>791</v>
      </c>
      <c r="B451" s="6" t="s">
        <v>792</v>
      </c>
      <c r="C451" s="6" t="s">
        <v>793</v>
      </c>
      <c r="D451" s="6" t="s">
        <v>794</v>
      </c>
      <c r="E451" s="11" t="s">
        <v>65</v>
      </c>
      <c r="F451" s="11" t="s">
        <v>1800</v>
      </c>
      <c r="G451" s="11" t="s">
        <v>67</v>
      </c>
      <c r="H451" s="11" t="s">
        <v>12</v>
      </c>
      <c r="I451" s="20">
        <v>416.6</v>
      </c>
      <c r="J451" s="20" t="s">
        <v>795</v>
      </c>
      <c r="K451" s="14">
        <f>I451/20/400*800</f>
        <v>41.660000000000004</v>
      </c>
      <c r="L451" s="14">
        <v>50</v>
      </c>
      <c r="M451" s="6"/>
      <c r="N451" s="6"/>
    </row>
    <row r="452" spans="1:14" ht="22.5">
      <c r="A452" s="6" t="s">
        <v>1947</v>
      </c>
      <c r="B452" s="40" t="s">
        <v>792</v>
      </c>
      <c r="C452" s="40" t="s">
        <v>793</v>
      </c>
      <c r="D452" s="40" t="s">
        <v>1465</v>
      </c>
      <c r="E452" s="14" t="s">
        <v>65</v>
      </c>
      <c r="F452" s="14" t="s">
        <v>1800</v>
      </c>
      <c r="G452" s="14" t="s">
        <v>1466</v>
      </c>
      <c r="H452" s="14" t="s">
        <v>43</v>
      </c>
      <c r="I452" s="20">
        <v>416.6</v>
      </c>
      <c r="J452" s="14" t="s">
        <v>795</v>
      </c>
      <c r="K452" s="14">
        <f>I452/20/400*800</f>
        <v>41.660000000000004</v>
      </c>
      <c r="L452" s="14">
        <v>50</v>
      </c>
      <c r="M452" s="6"/>
      <c r="N452" s="6"/>
    </row>
    <row r="453" spans="1:14" ht="22.5">
      <c r="A453" s="9" t="s">
        <v>796</v>
      </c>
      <c r="B453" s="6" t="s">
        <v>797</v>
      </c>
      <c r="C453" s="6" t="s">
        <v>798</v>
      </c>
      <c r="D453" s="6" t="s">
        <v>799</v>
      </c>
      <c r="E453" s="11" t="s">
        <v>81</v>
      </c>
      <c r="F453" s="11" t="s">
        <v>800</v>
      </c>
      <c r="G453" s="11" t="s">
        <v>11</v>
      </c>
      <c r="H453" s="11" t="s">
        <v>12</v>
      </c>
      <c r="I453" s="20">
        <v>387.6</v>
      </c>
      <c r="J453" s="20" t="s">
        <v>801</v>
      </c>
      <c r="K453" s="14">
        <f>I453/16/300*600</f>
        <v>48.45</v>
      </c>
      <c r="L453" s="14">
        <v>50</v>
      </c>
      <c r="M453" s="6"/>
      <c r="N453" s="6"/>
    </row>
    <row r="454" spans="1:14" ht="56.25">
      <c r="A454" s="9" t="s">
        <v>802</v>
      </c>
      <c r="B454" s="6" t="s">
        <v>803</v>
      </c>
      <c r="C454" s="6" t="s">
        <v>804</v>
      </c>
      <c r="D454" s="6" t="s">
        <v>2975</v>
      </c>
      <c r="E454" s="11" t="s">
        <v>55</v>
      </c>
      <c r="F454" s="11" t="s">
        <v>805</v>
      </c>
      <c r="G454" s="11" t="s">
        <v>20</v>
      </c>
      <c r="H454" s="11" t="s">
        <v>12</v>
      </c>
      <c r="I454" s="20">
        <v>787.4</v>
      </c>
      <c r="J454" s="14" t="s">
        <v>2337</v>
      </c>
      <c r="K454" s="14">
        <f>I454/25/200*4000</f>
        <v>629.91999999999996</v>
      </c>
      <c r="L454" s="14">
        <v>50</v>
      </c>
      <c r="M454" s="6" t="s">
        <v>2335</v>
      </c>
      <c r="N454" s="6" t="s">
        <v>2214</v>
      </c>
    </row>
    <row r="455" spans="1:14" ht="56.25">
      <c r="A455" s="35" t="s">
        <v>2557</v>
      </c>
      <c r="B455" s="29" t="s">
        <v>803</v>
      </c>
      <c r="C455" s="29" t="s">
        <v>804</v>
      </c>
      <c r="D455" s="8" t="s">
        <v>2558</v>
      </c>
      <c r="E455" s="15" t="s">
        <v>55</v>
      </c>
      <c r="F455" s="5" t="s">
        <v>805</v>
      </c>
      <c r="G455" s="5" t="s">
        <v>2370</v>
      </c>
      <c r="H455" s="5" t="s">
        <v>2371</v>
      </c>
      <c r="I455" s="21">
        <v>637.79999999999995</v>
      </c>
      <c r="J455" s="19" t="s">
        <v>2337</v>
      </c>
      <c r="K455" s="19">
        <f>I455/25/200*4000</f>
        <v>510.2399999999999</v>
      </c>
      <c r="L455" s="14">
        <v>50</v>
      </c>
      <c r="M455" s="6" t="s">
        <v>2335</v>
      </c>
      <c r="N455" s="6" t="s">
        <v>2214</v>
      </c>
    </row>
    <row r="456" spans="1:14" ht="56.25">
      <c r="A456" s="8">
        <v>1328231</v>
      </c>
      <c r="B456" s="8" t="s">
        <v>803</v>
      </c>
      <c r="C456" s="8" t="s">
        <v>804</v>
      </c>
      <c r="D456" s="8" t="s">
        <v>2722</v>
      </c>
      <c r="E456" s="5" t="s">
        <v>55</v>
      </c>
      <c r="F456" s="5" t="s">
        <v>805</v>
      </c>
      <c r="G456" s="5" t="s">
        <v>2723</v>
      </c>
      <c r="H456" s="5" t="s">
        <v>829</v>
      </c>
      <c r="I456" s="21">
        <v>637.79999999999995</v>
      </c>
      <c r="J456" s="18" t="s">
        <v>2337</v>
      </c>
      <c r="K456" s="19">
        <f>I456/25/200*4000</f>
        <v>510.2399999999999</v>
      </c>
      <c r="L456" s="14">
        <v>50</v>
      </c>
      <c r="M456" s="6" t="s">
        <v>2335</v>
      </c>
      <c r="N456" s="6" t="s">
        <v>2214</v>
      </c>
    </row>
    <row r="457" spans="1:14" ht="56.25">
      <c r="A457" s="8">
        <v>1328232</v>
      </c>
      <c r="B457" s="8" t="s">
        <v>803</v>
      </c>
      <c r="C457" s="8" t="s">
        <v>804</v>
      </c>
      <c r="D457" s="8" t="s">
        <v>2722</v>
      </c>
      <c r="E457" s="5" t="s">
        <v>55</v>
      </c>
      <c r="F457" s="5" t="s">
        <v>2724</v>
      </c>
      <c r="G457" s="5" t="s">
        <v>2723</v>
      </c>
      <c r="H457" s="5" t="s">
        <v>829</v>
      </c>
      <c r="I457" s="21">
        <v>824.4</v>
      </c>
      <c r="J457" s="18" t="s">
        <v>2337</v>
      </c>
      <c r="K457" s="19">
        <f>I457/35/400*4000</f>
        <v>235.54285714285717</v>
      </c>
      <c r="L457" s="14">
        <v>50</v>
      </c>
      <c r="M457" s="6" t="s">
        <v>2335</v>
      </c>
      <c r="N457" s="6" t="s">
        <v>2214</v>
      </c>
    </row>
    <row r="458" spans="1:14" ht="157.5">
      <c r="A458" s="9" t="s">
        <v>810</v>
      </c>
      <c r="B458" s="6" t="s">
        <v>811</v>
      </c>
      <c r="C458" s="6" t="s">
        <v>812</v>
      </c>
      <c r="D458" s="6" t="s">
        <v>813</v>
      </c>
      <c r="E458" s="11" t="s">
        <v>65</v>
      </c>
      <c r="F458" s="11" t="s">
        <v>814</v>
      </c>
      <c r="G458" s="11" t="s">
        <v>3035</v>
      </c>
      <c r="H458" s="11" t="s">
        <v>815</v>
      </c>
      <c r="I458" s="21">
        <v>2332.8000000000002</v>
      </c>
      <c r="J458" s="20" t="s">
        <v>297</v>
      </c>
      <c r="K458" s="14">
        <f>I458/28/100*300</f>
        <v>249.94285714285715</v>
      </c>
      <c r="L458" s="14">
        <v>50</v>
      </c>
      <c r="M458" s="6" t="s">
        <v>2559</v>
      </c>
      <c r="N458" s="6" t="s">
        <v>2216</v>
      </c>
    </row>
    <row r="459" spans="1:14" ht="101.25">
      <c r="A459" s="9" t="s">
        <v>816</v>
      </c>
      <c r="B459" s="6" t="s">
        <v>811</v>
      </c>
      <c r="C459" s="6" t="s">
        <v>812</v>
      </c>
      <c r="D459" s="6" t="s">
        <v>817</v>
      </c>
      <c r="E459" s="11" t="s">
        <v>65</v>
      </c>
      <c r="F459" s="11" t="s">
        <v>818</v>
      </c>
      <c r="G459" s="11" t="s">
        <v>2994</v>
      </c>
      <c r="H459" s="11" t="s">
        <v>829</v>
      </c>
      <c r="I459" s="20">
        <v>6252.1</v>
      </c>
      <c r="J459" s="20" t="s">
        <v>297</v>
      </c>
      <c r="K459" s="14">
        <f>I459/60/150*300</f>
        <v>208.40333333333336</v>
      </c>
      <c r="L459" s="14">
        <v>50</v>
      </c>
      <c r="M459" s="6" t="s">
        <v>2215</v>
      </c>
      <c r="N459" s="6" t="s">
        <v>2667</v>
      </c>
    </row>
    <row r="460" spans="1:14" ht="247.5">
      <c r="A460" s="9" t="s">
        <v>820</v>
      </c>
      <c r="B460" s="6" t="s">
        <v>821</v>
      </c>
      <c r="C460" s="6" t="s">
        <v>822</v>
      </c>
      <c r="D460" s="6" t="s">
        <v>823</v>
      </c>
      <c r="E460" s="11" t="s">
        <v>65</v>
      </c>
      <c r="F460" s="11" t="s">
        <v>824</v>
      </c>
      <c r="G460" s="11" t="s">
        <v>825</v>
      </c>
      <c r="H460" s="11" t="s">
        <v>826</v>
      </c>
      <c r="I460" s="20">
        <v>13224.7</v>
      </c>
      <c r="J460" s="11" t="s">
        <v>827</v>
      </c>
      <c r="K460" s="14">
        <f>I460/30/245*245</f>
        <v>440.82333333333338</v>
      </c>
      <c r="L460" s="14">
        <v>50</v>
      </c>
      <c r="M460" s="6" t="s">
        <v>2217</v>
      </c>
      <c r="N460" s="6" t="s">
        <v>2668</v>
      </c>
    </row>
    <row r="461" spans="1:14" ht="247.5">
      <c r="A461" s="9" t="s">
        <v>1948</v>
      </c>
      <c r="B461" s="6" t="s">
        <v>821</v>
      </c>
      <c r="C461" s="6" t="s">
        <v>822</v>
      </c>
      <c r="D461" s="6" t="s">
        <v>1777</v>
      </c>
      <c r="E461" s="11" t="s">
        <v>65</v>
      </c>
      <c r="F461" s="11" t="s">
        <v>1778</v>
      </c>
      <c r="G461" s="11" t="s">
        <v>1779</v>
      </c>
      <c r="H461" s="11" t="s">
        <v>1002</v>
      </c>
      <c r="I461" s="20">
        <v>11425.2</v>
      </c>
      <c r="J461" s="11" t="s">
        <v>2938</v>
      </c>
      <c r="K461" s="14">
        <f>+I461/30/250*250</f>
        <v>380.84000000000003</v>
      </c>
      <c r="L461" s="14">
        <v>50</v>
      </c>
      <c r="M461" s="6" t="s">
        <v>2377</v>
      </c>
      <c r="N461" s="6" t="s">
        <v>2668</v>
      </c>
    </row>
    <row r="462" spans="1:14" ht="247.5">
      <c r="A462" s="9">
        <v>1328540</v>
      </c>
      <c r="B462" s="6" t="s">
        <v>821</v>
      </c>
      <c r="C462" s="6" t="s">
        <v>822</v>
      </c>
      <c r="D462" s="6" t="s">
        <v>2373</v>
      </c>
      <c r="E462" s="11" t="s">
        <v>65</v>
      </c>
      <c r="F462" s="11" t="s">
        <v>1778</v>
      </c>
      <c r="G462" s="11" t="s">
        <v>2374</v>
      </c>
      <c r="H462" s="11" t="s">
        <v>2375</v>
      </c>
      <c r="I462" s="20">
        <v>11425.2</v>
      </c>
      <c r="J462" s="11" t="s">
        <v>827</v>
      </c>
      <c r="K462" s="14">
        <f>I462/30/245*245</f>
        <v>380.84000000000003</v>
      </c>
      <c r="L462" s="14">
        <v>50</v>
      </c>
      <c r="M462" s="6" t="s">
        <v>2376</v>
      </c>
      <c r="N462" s="6" t="s">
        <v>2668</v>
      </c>
    </row>
    <row r="463" spans="1:14" ht="112.5">
      <c r="A463" s="37">
        <v>1328378</v>
      </c>
      <c r="B463" s="8" t="s">
        <v>2787</v>
      </c>
      <c r="C463" s="8" t="s">
        <v>2788</v>
      </c>
      <c r="D463" s="8" t="s">
        <v>2789</v>
      </c>
      <c r="E463" s="5" t="s">
        <v>65</v>
      </c>
      <c r="F463" s="5" t="s">
        <v>245</v>
      </c>
      <c r="G463" s="5" t="s">
        <v>2790</v>
      </c>
      <c r="H463" s="5" t="s">
        <v>941</v>
      </c>
      <c r="I463" s="19">
        <v>11559</v>
      </c>
      <c r="J463" s="48" t="s">
        <v>2939</v>
      </c>
      <c r="K463" s="19">
        <f>+I463/30*0.5</f>
        <v>192.65</v>
      </c>
      <c r="L463" s="19">
        <v>50</v>
      </c>
      <c r="M463" s="8" t="s">
        <v>2791</v>
      </c>
      <c r="N463" s="8" t="s">
        <v>2792</v>
      </c>
    </row>
    <row r="464" spans="1:14" ht="101.25">
      <c r="A464" s="37">
        <v>1328394</v>
      </c>
      <c r="B464" s="59" t="s">
        <v>2793</v>
      </c>
      <c r="C464" s="4" t="s">
        <v>2794</v>
      </c>
      <c r="D464" s="8" t="s">
        <v>2795</v>
      </c>
      <c r="E464" s="5" t="s">
        <v>65</v>
      </c>
      <c r="F464" s="5" t="s">
        <v>2796</v>
      </c>
      <c r="G464" s="5" t="s">
        <v>840</v>
      </c>
      <c r="H464" s="5" t="s">
        <v>527</v>
      </c>
      <c r="I464" s="23">
        <v>23370.3</v>
      </c>
      <c r="J464" s="60" t="s">
        <v>2797</v>
      </c>
      <c r="K464" s="19">
        <f>+(I464/30)/100*100</f>
        <v>779.01</v>
      </c>
      <c r="L464" s="14">
        <v>50</v>
      </c>
      <c r="M464" s="8" t="s">
        <v>2326</v>
      </c>
      <c r="N464" s="8" t="s">
        <v>2798</v>
      </c>
    </row>
    <row r="465" spans="1:14" ht="101.25">
      <c r="A465" s="9" t="s">
        <v>1707</v>
      </c>
      <c r="B465" s="6" t="s">
        <v>3004</v>
      </c>
      <c r="C465" s="6" t="s">
        <v>1708</v>
      </c>
      <c r="D465" s="6" t="s">
        <v>1709</v>
      </c>
      <c r="E465" s="11" t="s">
        <v>65</v>
      </c>
      <c r="F465" s="11" t="s">
        <v>1868</v>
      </c>
      <c r="G465" s="11" t="s">
        <v>1710</v>
      </c>
      <c r="H465" s="11" t="s">
        <v>1473</v>
      </c>
      <c r="I465" s="20">
        <v>51605.3</v>
      </c>
      <c r="J465" s="11" t="s">
        <v>447</v>
      </c>
      <c r="K465" s="20">
        <f>+I465/30/50*50</f>
        <v>1720.1766666666667</v>
      </c>
      <c r="L465" s="14">
        <v>50</v>
      </c>
      <c r="M465" s="6" t="s">
        <v>2220</v>
      </c>
      <c r="N465" s="6" t="s">
        <v>2667</v>
      </c>
    </row>
    <row r="466" spans="1:14" ht="101.25">
      <c r="A466" s="9" t="s">
        <v>830</v>
      </c>
      <c r="B466" s="6" t="s">
        <v>831</v>
      </c>
      <c r="C466" s="6" t="s">
        <v>832</v>
      </c>
      <c r="D466" s="6" t="s">
        <v>833</v>
      </c>
      <c r="E466" s="11" t="s">
        <v>65</v>
      </c>
      <c r="F466" s="11" t="s">
        <v>834</v>
      </c>
      <c r="G466" s="11" t="s">
        <v>1710</v>
      </c>
      <c r="H466" s="11" t="s">
        <v>1473</v>
      </c>
      <c r="I466" s="20">
        <v>4450</v>
      </c>
      <c r="J466" s="20" t="s">
        <v>349</v>
      </c>
      <c r="K466" s="20">
        <f>I466/30</f>
        <v>148.33333333333334</v>
      </c>
      <c r="L466" s="14">
        <v>50</v>
      </c>
      <c r="M466" s="6" t="s">
        <v>2215</v>
      </c>
      <c r="N466" s="6" t="s">
        <v>2667</v>
      </c>
    </row>
    <row r="467" spans="1:14" ht="101.25">
      <c r="A467" s="9" t="s">
        <v>1728</v>
      </c>
      <c r="B467" s="6" t="s">
        <v>1703</v>
      </c>
      <c r="C467" s="6" t="s">
        <v>1704</v>
      </c>
      <c r="D467" s="6" t="s">
        <v>1705</v>
      </c>
      <c r="E467" s="11" t="s">
        <v>65</v>
      </c>
      <c r="F467" s="11" t="s">
        <v>1706</v>
      </c>
      <c r="G467" s="11" t="s">
        <v>825</v>
      </c>
      <c r="H467" s="11" t="s">
        <v>826</v>
      </c>
      <c r="I467" s="19">
        <v>17655</v>
      </c>
      <c r="J467" s="20" t="s">
        <v>349</v>
      </c>
      <c r="K467" s="14">
        <f>+I467/30*1</f>
        <v>588.5</v>
      </c>
      <c r="L467" s="14">
        <v>50</v>
      </c>
      <c r="M467" s="6" t="s">
        <v>2218</v>
      </c>
      <c r="N467" s="6" t="s">
        <v>2667</v>
      </c>
    </row>
    <row r="468" spans="1:14" ht="101.25">
      <c r="A468" s="9" t="s">
        <v>1949</v>
      </c>
      <c r="B468" s="6" t="s">
        <v>1703</v>
      </c>
      <c r="C468" s="6" t="s">
        <v>1704</v>
      </c>
      <c r="D468" s="6" t="s">
        <v>1780</v>
      </c>
      <c r="E468" s="11" t="s">
        <v>65</v>
      </c>
      <c r="F468" s="11" t="s">
        <v>2726</v>
      </c>
      <c r="G468" s="11" t="s">
        <v>1779</v>
      </c>
      <c r="H468" s="11" t="s">
        <v>1002</v>
      </c>
      <c r="I468" s="19">
        <v>4005.1</v>
      </c>
      <c r="J468" s="20" t="s">
        <v>349</v>
      </c>
      <c r="K468" s="14">
        <f>+I468/30</f>
        <v>133.50333333333333</v>
      </c>
      <c r="L468" s="14">
        <v>50</v>
      </c>
      <c r="M468" s="6" t="s">
        <v>2218</v>
      </c>
      <c r="N468" s="6" t="s">
        <v>2667</v>
      </c>
    </row>
    <row r="469" spans="1:14" ht="101.25">
      <c r="A469" s="9" t="s">
        <v>2378</v>
      </c>
      <c r="B469" s="6" t="s">
        <v>1703</v>
      </c>
      <c r="C469" s="6" t="s">
        <v>1704</v>
      </c>
      <c r="D469" s="6" t="s">
        <v>2379</v>
      </c>
      <c r="E469" s="11" t="s">
        <v>65</v>
      </c>
      <c r="F469" s="11" t="s">
        <v>2726</v>
      </c>
      <c r="G469" s="11" t="s">
        <v>2380</v>
      </c>
      <c r="H469" s="11" t="s">
        <v>1828</v>
      </c>
      <c r="I469" s="19">
        <v>4005.1</v>
      </c>
      <c r="J469" s="20" t="s">
        <v>349</v>
      </c>
      <c r="K469" s="14">
        <f>I469/30</f>
        <v>133.50333333333333</v>
      </c>
      <c r="L469" s="14">
        <v>50</v>
      </c>
      <c r="M469" s="6" t="s">
        <v>2218</v>
      </c>
      <c r="N469" s="6" t="s">
        <v>2667</v>
      </c>
    </row>
    <row r="470" spans="1:14" ht="101.25">
      <c r="A470" s="37">
        <v>1328509</v>
      </c>
      <c r="B470" s="61" t="s">
        <v>1703</v>
      </c>
      <c r="C470" s="61" t="s">
        <v>1704</v>
      </c>
      <c r="D470" s="61" t="s">
        <v>2725</v>
      </c>
      <c r="E470" s="19" t="s">
        <v>65</v>
      </c>
      <c r="F470" s="19" t="s">
        <v>2726</v>
      </c>
      <c r="G470" s="15" t="s">
        <v>3062</v>
      </c>
      <c r="H470" s="15" t="s">
        <v>2990</v>
      </c>
      <c r="I470" s="19">
        <v>4005.1</v>
      </c>
      <c r="J470" s="19" t="s">
        <v>349</v>
      </c>
      <c r="K470" s="14">
        <f>I470/30</f>
        <v>133.50333333333333</v>
      </c>
      <c r="L470" s="14">
        <v>50</v>
      </c>
      <c r="M470" s="6" t="s">
        <v>2218</v>
      </c>
      <c r="N470" s="6" t="s">
        <v>2667</v>
      </c>
    </row>
    <row r="471" spans="1:14" ht="101.25">
      <c r="A471" s="8">
        <v>1328443</v>
      </c>
      <c r="B471" s="8" t="s">
        <v>2119</v>
      </c>
      <c r="C471" s="8" t="s">
        <v>2339</v>
      </c>
      <c r="D471" s="8" t="s">
        <v>2120</v>
      </c>
      <c r="E471" s="5" t="s">
        <v>65</v>
      </c>
      <c r="F471" s="5" t="s">
        <v>2121</v>
      </c>
      <c r="G471" s="5" t="s">
        <v>2122</v>
      </c>
      <c r="H471" s="5" t="s">
        <v>826</v>
      </c>
      <c r="I471" s="20">
        <v>43325.1</v>
      </c>
      <c r="J471" s="20" t="s">
        <v>349</v>
      </c>
      <c r="K471" s="20">
        <f>I471/30</f>
        <v>1444.1699999999998</v>
      </c>
      <c r="L471" s="2">
        <v>50</v>
      </c>
      <c r="M471" s="6" t="s">
        <v>2326</v>
      </c>
      <c r="N471" s="6" t="s">
        <v>2667</v>
      </c>
    </row>
    <row r="472" spans="1:14" ht="101.25">
      <c r="A472" s="9" t="s">
        <v>1950</v>
      </c>
      <c r="B472" s="6" t="s">
        <v>1818</v>
      </c>
      <c r="C472" s="6" t="s">
        <v>1819</v>
      </c>
      <c r="D472" s="6" t="s">
        <v>1820</v>
      </c>
      <c r="E472" s="11" t="s">
        <v>65</v>
      </c>
      <c r="F472" s="11" t="s">
        <v>2338</v>
      </c>
      <c r="G472" s="11" t="s">
        <v>3036</v>
      </c>
      <c r="H472" s="11" t="s">
        <v>3037</v>
      </c>
      <c r="I472" s="20">
        <v>54508.5</v>
      </c>
      <c r="J472" s="20" t="s">
        <v>349</v>
      </c>
      <c r="K472" s="20">
        <f>I472/30</f>
        <v>1816.95</v>
      </c>
      <c r="L472" s="14">
        <v>50</v>
      </c>
      <c r="M472" s="6" t="s">
        <v>2326</v>
      </c>
      <c r="N472" s="6" t="s">
        <v>2667</v>
      </c>
    </row>
    <row r="473" spans="1:14" ht="101.25">
      <c r="A473" s="9" t="s">
        <v>1951</v>
      </c>
      <c r="B473" s="6" t="s">
        <v>1821</v>
      </c>
      <c r="C473" s="6" t="s">
        <v>1822</v>
      </c>
      <c r="D473" s="6" t="s">
        <v>1823</v>
      </c>
      <c r="E473" s="11" t="s">
        <v>65</v>
      </c>
      <c r="F473" s="11" t="s">
        <v>1824</v>
      </c>
      <c r="G473" s="11" t="s">
        <v>1825</v>
      </c>
      <c r="H473" s="11" t="s">
        <v>242</v>
      </c>
      <c r="I473" s="20">
        <v>38749.800000000003</v>
      </c>
      <c r="J473" s="20" t="s">
        <v>349</v>
      </c>
      <c r="K473" s="20">
        <f>I473/30*1</f>
        <v>1291.6600000000001</v>
      </c>
      <c r="L473" s="14">
        <v>50</v>
      </c>
      <c r="M473" s="6" t="s">
        <v>2326</v>
      </c>
      <c r="N473" s="6" t="s">
        <v>2667</v>
      </c>
    </row>
    <row r="474" spans="1:14" ht="101.25">
      <c r="A474" s="35" t="s">
        <v>2799</v>
      </c>
      <c r="B474" s="29" t="s">
        <v>2800</v>
      </c>
      <c r="C474" s="8" t="s">
        <v>2801</v>
      </c>
      <c r="D474" s="8" t="s">
        <v>2802</v>
      </c>
      <c r="E474" s="15" t="s">
        <v>65</v>
      </c>
      <c r="F474" s="5" t="s">
        <v>2803</v>
      </c>
      <c r="G474" s="5" t="s">
        <v>2122</v>
      </c>
      <c r="H474" s="5" t="s">
        <v>826</v>
      </c>
      <c r="I474" s="19">
        <v>54508.5</v>
      </c>
      <c r="J474" s="48" t="s">
        <v>349</v>
      </c>
      <c r="K474" s="19">
        <f>+I474/30</f>
        <v>1816.95</v>
      </c>
      <c r="L474" s="14">
        <v>50</v>
      </c>
      <c r="M474" s="8" t="s">
        <v>2326</v>
      </c>
      <c r="N474" s="8" t="s">
        <v>2798</v>
      </c>
    </row>
    <row r="475" spans="1:14" ht="101.25">
      <c r="A475" s="35" t="s">
        <v>2804</v>
      </c>
      <c r="B475" s="62" t="s">
        <v>2805</v>
      </c>
      <c r="C475" s="62" t="s">
        <v>2806</v>
      </c>
      <c r="D475" s="62" t="s">
        <v>2807</v>
      </c>
      <c r="E475" s="16" t="s">
        <v>65</v>
      </c>
      <c r="F475" s="16" t="s">
        <v>2808</v>
      </c>
      <c r="G475" s="16" t="s">
        <v>2809</v>
      </c>
      <c r="H475" s="16" t="s">
        <v>242</v>
      </c>
      <c r="I475" s="19">
        <v>56404.800000000003</v>
      </c>
      <c r="J475" s="23" t="s">
        <v>349</v>
      </c>
      <c r="K475" s="23">
        <f>+I475/30</f>
        <v>1880.16</v>
      </c>
      <c r="L475" s="14">
        <v>50</v>
      </c>
      <c r="M475" s="8" t="s">
        <v>2326</v>
      </c>
      <c r="N475" s="8" t="s">
        <v>2798</v>
      </c>
    </row>
    <row r="476" spans="1:14" ht="101.25">
      <c r="A476" s="37" t="s">
        <v>2810</v>
      </c>
      <c r="B476" s="59" t="s">
        <v>2811</v>
      </c>
      <c r="C476" s="4" t="s">
        <v>2812</v>
      </c>
      <c r="D476" s="8" t="s">
        <v>2813</v>
      </c>
      <c r="E476" s="5" t="s">
        <v>65</v>
      </c>
      <c r="F476" s="5" t="s">
        <v>2814</v>
      </c>
      <c r="G476" s="5" t="s">
        <v>840</v>
      </c>
      <c r="H476" s="5" t="s">
        <v>527</v>
      </c>
      <c r="I476" s="19">
        <v>43197.9</v>
      </c>
      <c r="J476" s="60" t="s">
        <v>349</v>
      </c>
      <c r="K476" s="23">
        <f>+I476/30</f>
        <v>1439.93</v>
      </c>
      <c r="L476" s="14">
        <v>50</v>
      </c>
      <c r="M476" s="8" t="s">
        <v>2326</v>
      </c>
      <c r="N476" s="8" t="s">
        <v>2798</v>
      </c>
    </row>
    <row r="477" spans="1:14" ht="101.25">
      <c r="A477" s="35" t="s">
        <v>2815</v>
      </c>
      <c r="B477" s="8" t="s">
        <v>2816</v>
      </c>
      <c r="C477" s="8" t="s">
        <v>2817</v>
      </c>
      <c r="D477" s="8" t="s">
        <v>2818</v>
      </c>
      <c r="E477" s="5" t="s">
        <v>65</v>
      </c>
      <c r="F477" s="5" t="s">
        <v>2819</v>
      </c>
      <c r="G477" s="5" t="s">
        <v>1710</v>
      </c>
      <c r="H477" s="5" t="s">
        <v>1473</v>
      </c>
      <c r="I477" s="19">
        <v>54508.5</v>
      </c>
      <c r="J477" s="48" t="s">
        <v>349</v>
      </c>
      <c r="K477" s="19">
        <f>+I477/30</f>
        <v>1816.95</v>
      </c>
      <c r="L477" s="14">
        <v>50</v>
      </c>
      <c r="M477" s="8" t="s">
        <v>2326</v>
      </c>
      <c r="N477" s="8" t="s">
        <v>2798</v>
      </c>
    </row>
    <row r="478" spans="1:14" ht="101.25">
      <c r="A478" s="9" t="s">
        <v>835</v>
      </c>
      <c r="B478" s="6" t="s">
        <v>836</v>
      </c>
      <c r="C478" s="6" t="s">
        <v>837</v>
      </c>
      <c r="D478" s="6" t="s">
        <v>838</v>
      </c>
      <c r="E478" s="11" t="s">
        <v>65</v>
      </c>
      <c r="F478" s="11" t="s">
        <v>839</v>
      </c>
      <c r="G478" s="11" t="s">
        <v>840</v>
      </c>
      <c r="H478" s="11" t="s">
        <v>527</v>
      </c>
      <c r="I478" s="20">
        <v>31778.2</v>
      </c>
      <c r="J478" s="11" t="s">
        <v>795</v>
      </c>
      <c r="K478" s="20">
        <f>I478/60/400*800</f>
        <v>1059.2733333333333</v>
      </c>
      <c r="L478" s="14">
        <v>50</v>
      </c>
      <c r="M478" s="6" t="s">
        <v>2326</v>
      </c>
      <c r="N478" s="6" t="s">
        <v>2667</v>
      </c>
    </row>
    <row r="479" spans="1:14" ht="101.25">
      <c r="A479" s="37" t="s">
        <v>2396</v>
      </c>
      <c r="B479" s="8" t="s">
        <v>836</v>
      </c>
      <c r="C479" s="8" t="s">
        <v>837</v>
      </c>
      <c r="D479" s="8" t="s">
        <v>838</v>
      </c>
      <c r="E479" s="5" t="s">
        <v>65</v>
      </c>
      <c r="F479" s="5" t="s">
        <v>2397</v>
      </c>
      <c r="G479" s="5" t="s">
        <v>840</v>
      </c>
      <c r="H479" s="5" t="s">
        <v>527</v>
      </c>
      <c r="I479" s="20">
        <v>31778.2</v>
      </c>
      <c r="J479" s="5" t="s">
        <v>795</v>
      </c>
      <c r="K479" s="19">
        <f>I479/60/600*800</f>
        <v>706.18222222222221</v>
      </c>
      <c r="L479" s="14">
        <v>50</v>
      </c>
      <c r="M479" s="6" t="s">
        <v>2326</v>
      </c>
      <c r="N479" s="6" t="s">
        <v>2667</v>
      </c>
    </row>
    <row r="480" spans="1:14" ht="101.25">
      <c r="A480" s="9" t="s">
        <v>841</v>
      </c>
      <c r="B480" s="6" t="s">
        <v>842</v>
      </c>
      <c r="C480" s="6" t="s">
        <v>843</v>
      </c>
      <c r="D480" s="6" t="s">
        <v>844</v>
      </c>
      <c r="E480" s="11" t="s">
        <v>65</v>
      </c>
      <c r="F480" s="11" t="s">
        <v>845</v>
      </c>
      <c r="G480" s="11" t="s">
        <v>545</v>
      </c>
      <c r="H480" s="11" t="s">
        <v>50</v>
      </c>
      <c r="I480" s="20">
        <v>58573.3</v>
      </c>
      <c r="J480" s="11" t="s">
        <v>801</v>
      </c>
      <c r="K480" s="20">
        <f>I480/60/150*600</f>
        <v>3904.8866666666668</v>
      </c>
      <c r="L480" s="14">
        <v>50</v>
      </c>
      <c r="M480" s="6" t="s">
        <v>2219</v>
      </c>
      <c r="N480" s="6" t="s">
        <v>2667</v>
      </c>
    </row>
    <row r="481" spans="1:32" ht="22.5">
      <c r="A481" s="6" t="s">
        <v>1970</v>
      </c>
      <c r="B481" s="6" t="s">
        <v>3063</v>
      </c>
      <c r="C481" s="6" t="s">
        <v>927</v>
      </c>
      <c r="D481" s="6" t="s">
        <v>928</v>
      </c>
      <c r="E481" s="11" t="s">
        <v>55</v>
      </c>
      <c r="F481" s="11" t="s">
        <v>3064</v>
      </c>
      <c r="G481" s="11" t="s">
        <v>3065</v>
      </c>
      <c r="H481" s="11" t="s">
        <v>50</v>
      </c>
      <c r="I481" s="20">
        <v>717.5</v>
      </c>
      <c r="J481" s="20" t="s">
        <v>472</v>
      </c>
      <c r="K481" s="14">
        <f>I481/50/2.5*2.5</f>
        <v>14.350000000000001</v>
      </c>
      <c r="L481" s="14">
        <v>50</v>
      </c>
      <c r="M481" s="6"/>
      <c r="N481" s="6"/>
    </row>
    <row r="482" spans="1:32" ht="22.5">
      <c r="A482" s="6" t="s">
        <v>1952</v>
      </c>
      <c r="B482" s="6" t="s">
        <v>846</v>
      </c>
      <c r="C482" s="6" t="s">
        <v>847</v>
      </c>
      <c r="D482" s="6" t="s">
        <v>850</v>
      </c>
      <c r="E482" s="11" t="s">
        <v>87</v>
      </c>
      <c r="F482" s="11" t="s">
        <v>368</v>
      </c>
      <c r="G482" s="11" t="s">
        <v>848</v>
      </c>
      <c r="H482" s="11" t="s">
        <v>849</v>
      </c>
      <c r="I482" s="20">
        <v>9947.9</v>
      </c>
      <c r="J482" s="20" t="s">
        <v>254</v>
      </c>
      <c r="K482" s="14" t="s">
        <v>254</v>
      </c>
      <c r="L482" s="14">
        <v>50</v>
      </c>
      <c r="M482" s="6"/>
      <c r="N482" s="6"/>
    </row>
    <row r="483" spans="1:32" ht="157.5">
      <c r="A483" s="9" t="s">
        <v>1953</v>
      </c>
      <c r="B483" s="6" t="s">
        <v>852</v>
      </c>
      <c r="C483" s="6" t="s">
        <v>853</v>
      </c>
      <c r="D483" s="6" t="s">
        <v>854</v>
      </c>
      <c r="E483" s="11" t="s">
        <v>81</v>
      </c>
      <c r="F483" s="11" t="s">
        <v>1723</v>
      </c>
      <c r="G483" s="11" t="s">
        <v>855</v>
      </c>
      <c r="H483" s="11" t="s">
        <v>242</v>
      </c>
      <c r="I483" s="20">
        <v>2035.2</v>
      </c>
      <c r="J483" s="20" t="s">
        <v>254</v>
      </c>
      <c r="K483" s="14" t="s">
        <v>254</v>
      </c>
      <c r="L483" s="14">
        <v>50</v>
      </c>
      <c r="M483" s="6" t="s">
        <v>2221</v>
      </c>
      <c r="N483" s="6" t="s">
        <v>2669</v>
      </c>
    </row>
    <row r="484" spans="1:32" ht="67.5">
      <c r="A484" s="6" t="s">
        <v>1954</v>
      </c>
      <c r="B484" s="6" t="s">
        <v>857</v>
      </c>
      <c r="C484" s="6" t="s">
        <v>858</v>
      </c>
      <c r="D484" s="6" t="s">
        <v>859</v>
      </c>
      <c r="E484" s="11" t="s">
        <v>99</v>
      </c>
      <c r="F484" s="11" t="s">
        <v>860</v>
      </c>
      <c r="G484" s="11" t="s">
        <v>1720</v>
      </c>
      <c r="H484" s="11" t="s">
        <v>1721</v>
      </c>
      <c r="I484" s="20">
        <v>4243.3999999999996</v>
      </c>
      <c r="J484" s="20" t="s">
        <v>861</v>
      </c>
      <c r="K484" s="14">
        <f>I484/240/40*160</f>
        <v>70.723333333333329</v>
      </c>
      <c r="L484" s="14">
        <v>50</v>
      </c>
      <c r="M484" s="6" t="s">
        <v>2222</v>
      </c>
      <c r="N484" s="6"/>
    </row>
    <row r="485" spans="1:32" ht="67.5">
      <c r="A485" s="6" t="s">
        <v>862</v>
      </c>
      <c r="B485" s="6" t="s">
        <v>857</v>
      </c>
      <c r="C485" s="6" t="s">
        <v>858</v>
      </c>
      <c r="D485" s="6" t="s">
        <v>859</v>
      </c>
      <c r="E485" s="11" t="s">
        <v>55</v>
      </c>
      <c r="F485" s="11" t="s">
        <v>863</v>
      </c>
      <c r="G485" s="11" t="s">
        <v>1782</v>
      </c>
      <c r="H485" s="11" t="s">
        <v>1783</v>
      </c>
      <c r="I485" s="20">
        <v>3783.3</v>
      </c>
      <c r="J485" s="20" t="s">
        <v>861</v>
      </c>
      <c r="K485" s="14">
        <f>I485/30/160*160</f>
        <v>126.11000000000001</v>
      </c>
      <c r="L485" s="14">
        <v>50</v>
      </c>
      <c r="M485" s="6" t="s">
        <v>2222</v>
      </c>
      <c r="N485" s="6"/>
    </row>
    <row r="486" spans="1:32" ht="67.5">
      <c r="A486" s="9" t="s">
        <v>1489</v>
      </c>
      <c r="B486" s="6" t="s">
        <v>857</v>
      </c>
      <c r="C486" s="6" t="s">
        <v>858</v>
      </c>
      <c r="D486" s="6" t="s">
        <v>864</v>
      </c>
      <c r="E486" s="11" t="s">
        <v>99</v>
      </c>
      <c r="F486" s="11" t="s">
        <v>860</v>
      </c>
      <c r="G486" s="11" t="s">
        <v>23</v>
      </c>
      <c r="H486" s="11" t="s">
        <v>12</v>
      </c>
      <c r="I486" s="20">
        <v>4243.3999999999996</v>
      </c>
      <c r="J486" s="20" t="s">
        <v>861</v>
      </c>
      <c r="K486" s="14">
        <f>I486/240/40*160</f>
        <v>70.723333333333329</v>
      </c>
      <c r="L486" s="14">
        <v>50</v>
      </c>
      <c r="M486" s="6" t="s">
        <v>2222</v>
      </c>
      <c r="N486" s="6"/>
    </row>
    <row r="487" spans="1:32" ht="67.5">
      <c r="A487" s="37" t="s">
        <v>2727</v>
      </c>
      <c r="B487" s="8" t="s">
        <v>857</v>
      </c>
      <c r="C487" s="8" t="s">
        <v>858</v>
      </c>
      <c r="D487" s="8" t="s">
        <v>2728</v>
      </c>
      <c r="E487" s="5" t="s">
        <v>99</v>
      </c>
      <c r="F487" s="5" t="s">
        <v>2729</v>
      </c>
      <c r="G487" s="5" t="s">
        <v>2730</v>
      </c>
      <c r="H487" s="5" t="s">
        <v>829</v>
      </c>
      <c r="I487" s="19">
        <v>4243.3999999999996</v>
      </c>
      <c r="J487" s="21" t="s">
        <v>861</v>
      </c>
      <c r="K487" s="14">
        <f>I487/240/40*160</f>
        <v>70.723333333333329</v>
      </c>
      <c r="L487" s="14">
        <v>50</v>
      </c>
      <c r="M487" s="6" t="s">
        <v>2222</v>
      </c>
      <c r="N487" s="6"/>
    </row>
    <row r="488" spans="1:32" ht="22.5">
      <c r="A488" s="6" t="s">
        <v>1955</v>
      </c>
      <c r="B488" s="6" t="s">
        <v>865</v>
      </c>
      <c r="C488" s="6" t="s">
        <v>866</v>
      </c>
      <c r="D488" s="8" t="s">
        <v>2560</v>
      </c>
      <c r="E488" s="11" t="s">
        <v>55</v>
      </c>
      <c r="F488" s="11" t="s">
        <v>1453</v>
      </c>
      <c r="G488" s="11" t="s">
        <v>1538</v>
      </c>
      <c r="H488" s="11" t="s">
        <v>1002</v>
      </c>
      <c r="I488" s="20">
        <v>215.2</v>
      </c>
      <c r="J488" s="20" t="s">
        <v>21</v>
      </c>
      <c r="K488" s="14">
        <f>I488/30/10*20</f>
        <v>14.346666666666666</v>
      </c>
      <c r="L488" s="14">
        <v>50</v>
      </c>
      <c r="M488" s="6"/>
      <c r="N488" s="6"/>
    </row>
    <row r="489" spans="1:32" ht="33.75">
      <c r="A489" s="6" t="s">
        <v>867</v>
      </c>
      <c r="B489" s="6" t="s">
        <v>868</v>
      </c>
      <c r="C489" s="6" t="s">
        <v>869</v>
      </c>
      <c r="D489" s="6" t="s">
        <v>870</v>
      </c>
      <c r="E489" s="11" t="s">
        <v>65</v>
      </c>
      <c r="F489" s="11" t="s">
        <v>361</v>
      </c>
      <c r="G489" s="11" t="s">
        <v>23</v>
      </c>
      <c r="H489" s="11" t="s">
        <v>12</v>
      </c>
      <c r="I489" s="20">
        <v>1990.9</v>
      </c>
      <c r="J489" s="20" t="s">
        <v>447</v>
      </c>
      <c r="K489" s="14">
        <f>I489/28/50*50</f>
        <v>71.103571428571428</v>
      </c>
      <c r="L489" s="14">
        <v>50</v>
      </c>
      <c r="M489" s="6" t="s">
        <v>2223</v>
      </c>
      <c r="N489" s="6" t="s">
        <v>2224</v>
      </c>
    </row>
    <row r="490" spans="1:32" ht="213.75">
      <c r="A490" s="9" t="s">
        <v>873</v>
      </c>
      <c r="B490" s="6" t="s">
        <v>871</v>
      </c>
      <c r="C490" s="6" t="s">
        <v>872</v>
      </c>
      <c r="D490" s="6" t="s">
        <v>874</v>
      </c>
      <c r="E490" s="11" t="s">
        <v>65</v>
      </c>
      <c r="F490" s="11" t="s">
        <v>875</v>
      </c>
      <c r="G490" s="11" t="s">
        <v>23</v>
      </c>
      <c r="H490" s="11" t="s">
        <v>12</v>
      </c>
      <c r="I490" s="20">
        <v>820</v>
      </c>
      <c r="J490" s="20" t="s">
        <v>342</v>
      </c>
      <c r="K490" s="14">
        <f>I490/28/1*1</f>
        <v>29.285714285714285</v>
      </c>
      <c r="L490" s="14">
        <v>50</v>
      </c>
      <c r="M490" s="6" t="s">
        <v>2340</v>
      </c>
      <c r="N490" s="6" t="s">
        <v>2226</v>
      </c>
    </row>
    <row r="491" spans="1:32" ht="213.75">
      <c r="A491" s="9" t="s">
        <v>876</v>
      </c>
      <c r="B491" s="6" t="s">
        <v>871</v>
      </c>
      <c r="C491" s="6" t="s">
        <v>872</v>
      </c>
      <c r="D491" s="6" t="s">
        <v>877</v>
      </c>
      <c r="E491" s="11" t="s">
        <v>65</v>
      </c>
      <c r="F491" s="11" t="s">
        <v>875</v>
      </c>
      <c r="G491" s="11" t="s">
        <v>1538</v>
      </c>
      <c r="H491" s="11" t="s">
        <v>1002</v>
      </c>
      <c r="I491" s="20">
        <v>820</v>
      </c>
      <c r="J491" s="20" t="s">
        <v>342</v>
      </c>
      <c r="K491" s="14">
        <f>I491/28/1*1</f>
        <v>29.285714285714285</v>
      </c>
      <c r="L491" s="14">
        <v>50</v>
      </c>
      <c r="M491" s="6" t="s">
        <v>2225</v>
      </c>
      <c r="N491" s="6" t="s">
        <v>2226</v>
      </c>
    </row>
    <row r="492" spans="1:32" ht="213.75">
      <c r="A492" s="9" t="s">
        <v>878</v>
      </c>
      <c r="B492" s="6" t="s">
        <v>879</v>
      </c>
      <c r="C492" s="6" t="s">
        <v>880</v>
      </c>
      <c r="D492" s="6" t="s">
        <v>881</v>
      </c>
      <c r="E492" s="11" t="s">
        <v>65</v>
      </c>
      <c r="F492" s="11" t="s">
        <v>373</v>
      </c>
      <c r="G492" s="11" t="s">
        <v>23</v>
      </c>
      <c r="H492" s="11" t="s">
        <v>12</v>
      </c>
      <c r="I492" s="20">
        <v>1086.9000000000001</v>
      </c>
      <c r="J492" s="20" t="s">
        <v>472</v>
      </c>
      <c r="K492" s="14">
        <f>I492/30/2.5*2.5</f>
        <v>36.230000000000004</v>
      </c>
      <c r="L492" s="14">
        <v>50</v>
      </c>
      <c r="M492" s="6" t="s">
        <v>2225</v>
      </c>
      <c r="N492" s="6" t="s">
        <v>2226</v>
      </c>
    </row>
    <row r="493" spans="1:32" ht="213.75">
      <c r="A493" s="9" t="s">
        <v>1956</v>
      </c>
      <c r="B493" s="6" t="s">
        <v>882</v>
      </c>
      <c r="C493" s="6" t="s">
        <v>883</v>
      </c>
      <c r="D493" s="6" t="s">
        <v>884</v>
      </c>
      <c r="E493" s="11" t="s">
        <v>436</v>
      </c>
      <c r="F493" s="11" t="s">
        <v>2660</v>
      </c>
      <c r="G493" s="11" t="s">
        <v>856</v>
      </c>
      <c r="H493" s="11" t="s">
        <v>242</v>
      </c>
      <c r="I493" s="20">
        <v>2836.5</v>
      </c>
      <c r="J493" s="20" t="s">
        <v>332</v>
      </c>
      <c r="K493" s="14">
        <f>I493/30/25*25</f>
        <v>94.55</v>
      </c>
      <c r="L493" s="14">
        <v>50</v>
      </c>
      <c r="M493" s="6" t="s">
        <v>2225</v>
      </c>
      <c r="N493" s="6" t="s">
        <v>2226</v>
      </c>
    </row>
    <row r="494" spans="1:32" ht="213.75">
      <c r="A494" s="6" t="s">
        <v>1957</v>
      </c>
      <c r="B494" s="40" t="s">
        <v>882</v>
      </c>
      <c r="C494" s="40" t="s">
        <v>883</v>
      </c>
      <c r="D494" s="40" t="s">
        <v>1507</v>
      </c>
      <c r="E494" s="14" t="s">
        <v>65</v>
      </c>
      <c r="F494" s="14" t="s">
        <v>401</v>
      </c>
      <c r="G494" s="14" t="s">
        <v>1001</v>
      </c>
      <c r="H494" s="14" t="s">
        <v>1002</v>
      </c>
      <c r="I494" s="20">
        <v>1613</v>
      </c>
      <c r="J494" s="14" t="s">
        <v>332</v>
      </c>
      <c r="K494" s="14">
        <f>I494/30/25*25</f>
        <v>53.766666666666666</v>
      </c>
      <c r="L494" s="14">
        <v>50</v>
      </c>
      <c r="M494" s="6" t="s">
        <v>2225</v>
      </c>
      <c r="N494" s="6" t="s">
        <v>2226</v>
      </c>
    </row>
    <row r="495" spans="1:32" ht="33.75">
      <c r="A495" s="6" t="s">
        <v>1958</v>
      </c>
      <c r="B495" s="6" t="s">
        <v>885</v>
      </c>
      <c r="C495" s="6" t="s">
        <v>886</v>
      </c>
      <c r="D495" s="6" t="s">
        <v>887</v>
      </c>
      <c r="E495" s="11" t="s">
        <v>65</v>
      </c>
      <c r="F495" s="11" t="s">
        <v>889</v>
      </c>
      <c r="G495" s="11" t="s">
        <v>392</v>
      </c>
      <c r="H495" s="11" t="s">
        <v>393</v>
      </c>
      <c r="I495" s="20">
        <v>9227</v>
      </c>
      <c r="J495" s="20" t="s">
        <v>118</v>
      </c>
      <c r="K495" s="14">
        <f>I495/150/500*2000</f>
        <v>246.05333333333334</v>
      </c>
      <c r="L495" s="14">
        <v>50</v>
      </c>
      <c r="M495" s="6" t="s">
        <v>2227</v>
      </c>
      <c r="N495" s="6" t="s">
        <v>2228</v>
      </c>
    </row>
    <row r="496" spans="1:32" ht="33.75">
      <c r="A496" s="6" t="s">
        <v>1959</v>
      </c>
      <c r="B496" s="6" t="s">
        <v>885</v>
      </c>
      <c r="C496" s="6" t="s">
        <v>890</v>
      </c>
      <c r="D496" s="6" t="s">
        <v>891</v>
      </c>
      <c r="E496" s="11" t="s">
        <v>27</v>
      </c>
      <c r="F496" s="11" t="s">
        <v>892</v>
      </c>
      <c r="G496" s="11" t="s">
        <v>893</v>
      </c>
      <c r="H496" s="11" t="s">
        <v>393</v>
      </c>
      <c r="I496" s="20">
        <v>8566.1</v>
      </c>
      <c r="J496" s="20" t="s">
        <v>118</v>
      </c>
      <c r="K496" s="14">
        <f>I496/120/180*1440</f>
        <v>571.07333333333338</v>
      </c>
      <c r="L496" s="14">
        <v>50</v>
      </c>
      <c r="M496" s="6" t="s">
        <v>2229</v>
      </c>
      <c r="N496" s="6" t="s">
        <v>2228</v>
      </c>
    </row>
    <row r="497" spans="1:14" ht="33.75">
      <c r="A497" s="6" t="s">
        <v>1960</v>
      </c>
      <c r="B497" s="6" t="s">
        <v>885</v>
      </c>
      <c r="C497" s="6" t="s">
        <v>890</v>
      </c>
      <c r="D497" s="6" t="s">
        <v>891</v>
      </c>
      <c r="E497" s="11" t="s">
        <v>27</v>
      </c>
      <c r="F497" s="11" t="s">
        <v>894</v>
      </c>
      <c r="G497" s="11" t="s">
        <v>893</v>
      </c>
      <c r="H497" s="11" t="s">
        <v>393</v>
      </c>
      <c r="I497" s="20">
        <v>17431</v>
      </c>
      <c r="J497" s="20" t="s">
        <v>118</v>
      </c>
      <c r="K497" s="14">
        <f>I497/120/360*1440</f>
        <v>581.0333333333333</v>
      </c>
      <c r="L497" s="14">
        <v>50</v>
      </c>
      <c r="M497" s="6" t="s">
        <v>2229</v>
      </c>
      <c r="N497" s="6" t="s">
        <v>2228</v>
      </c>
    </row>
    <row r="498" spans="1:14" ht="33.75">
      <c r="A498" s="63" t="s">
        <v>2112</v>
      </c>
      <c r="B498" s="63" t="s">
        <v>885</v>
      </c>
      <c r="C498" s="63" t="s">
        <v>886</v>
      </c>
      <c r="D498" s="63" t="s">
        <v>887</v>
      </c>
      <c r="E498" s="64" t="s">
        <v>87</v>
      </c>
      <c r="F498" s="64" t="s">
        <v>888</v>
      </c>
      <c r="G498" s="64" t="s">
        <v>392</v>
      </c>
      <c r="H498" s="64" t="s">
        <v>393</v>
      </c>
      <c r="I498" s="20">
        <v>9227</v>
      </c>
      <c r="J498" s="25" t="s">
        <v>118</v>
      </c>
      <c r="K498" s="25">
        <f>I498/300/250*2000</f>
        <v>246.05333333333334</v>
      </c>
      <c r="L498" s="1">
        <v>50</v>
      </c>
      <c r="M498" s="63" t="s">
        <v>2227</v>
      </c>
      <c r="N498" s="63" t="s">
        <v>2228</v>
      </c>
    </row>
    <row r="499" spans="1:14" ht="33.75">
      <c r="A499" s="6" t="s">
        <v>898</v>
      </c>
      <c r="B499" s="6" t="s">
        <v>899</v>
      </c>
      <c r="C499" s="6" t="s">
        <v>900</v>
      </c>
      <c r="D499" s="6" t="s">
        <v>901</v>
      </c>
      <c r="E499" s="11" t="s">
        <v>55</v>
      </c>
      <c r="F499" s="11" t="s">
        <v>902</v>
      </c>
      <c r="G499" s="11" t="s">
        <v>893</v>
      </c>
      <c r="H499" s="11" t="s">
        <v>393</v>
      </c>
      <c r="I499" s="20">
        <v>7798.7</v>
      </c>
      <c r="J499" s="20" t="s">
        <v>665</v>
      </c>
      <c r="K499" s="20">
        <f>I499/60/0.25*1.5</f>
        <v>779.86999999999989</v>
      </c>
      <c r="L499" s="14">
        <v>50</v>
      </c>
      <c r="M499" s="6" t="s">
        <v>2232</v>
      </c>
      <c r="N499" s="6" t="s">
        <v>2231</v>
      </c>
    </row>
    <row r="500" spans="1:14" ht="33.75">
      <c r="A500" s="6" t="s">
        <v>903</v>
      </c>
      <c r="B500" s="6" t="s">
        <v>899</v>
      </c>
      <c r="C500" s="6" t="s">
        <v>900</v>
      </c>
      <c r="D500" s="6" t="s">
        <v>901</v>
      </c>
      <c r="E500" s="11" t="s">
        <v>55</v>
      </c>
      <c r="F500" s="11" t="s">
        <v>904</v>
      </c>
      <c r="G500" s="11" t="s">
        <v>893</v>
      </c>
      <c r="H500" s="11" t="s">
        <v>393</v>
      </c>
      <c r="I500" s="20">
        <v>15537.6</v>
      </c>
      <c r="J500" s="20" t="s">
        <v>665</v>
      </c>
      <c r="K500" s="20">
        <f>I500/60/0.5*1.5</f>
        <v>776.87999999999988</v>
      </c>
      <c r="L500" s="14">
        <v>50</v>
      </c>
      <c r="M500" s="6" t="s">
        <v>2232</v>
      </c>
      <c r="N500" s="6" t="s">
        <v>2231</v>
      </c>
    </row>
    <row r="501" spans="1:14" ht="33.75">
      <c r="A501" s="6" t="s">
        <v>1962</v>
      </c>
      <c r="B501" s="6" t="s">
        <v>905</v>
      </c>
      <c r="C501" s="6" t="s">
        <v>2382</v>
      </c>
      <c r="D501" s="6" t="s">
        <v>906</v>
      </c>
      <c r="E501" s="11" t="s">
        <v>622</v>
      </c>
      <c r="F501" s="11" t="s">
        <v>907</v>
      </c>
      <c r="G501" s="11" t="s">
        <v>2140</v>
      </c>
      <c r="H501" s="11" t="s">
        <v>2141</v>
      </c>
      <c r="I501" s="20">
        <v>2662.8</v>
      </c>
      <c r="J501" s="20" t="s">
        <v>908</v>
      </c>
      <c r="K501" s="14">
        <f>I501/50/25*250</f>
        <v>532.56000000000006</v>
      </c>
      <c r="L501" s="14">
        <v>50</v>
      </c>
      <c r="M501" s="6" t="s">
        <v>2233</v>
      </c>
      <c r="N501" s="6" t="s">
        <v>2228</v>
      </c>
    </row>
    <row r="502" spans="1:14" ht="33.75">
      <c r="A502" s="6" t="s">
        <v>1963</v>
      </c>
      <c r="B502" s="6" t="s">
        <v>905</v>
      </c>
      <c r="C502" s="6" t="s">
        <v>2382</v>
      </c>
      <c r="D502" s="6" t="s">
        <v>906</v>
      </c>
      <c r="E502" s="11" t="s">
        <v>622</v>
      </c>
      <c r="F502" s="11" t="s">
        <v>909</v>
      </c>
      <c r="G502" s="11" t="s">
        <v>2140</v>
      </c>
      <c r="H502" s="11" t="s">
        <v>2141</v>
      </c>
      <c r="I502" s="20">
        <v>5104.2</v>
      </c>
      <c r="J502" s="20" t="s">
        <v>908</v>
      </c>
      <c r="K502" s="14">
        <f>I502/50/50*250</f>
        <v>510.41999999999996</v>
      </c>
      <c r="L502" s="14">
        <v>50</v>
      </c>
      <c r="M502" s="6" t="s">
        <v>2233</v>
      </c>
      <c r="N502" s="6" t="s">
        <v>2228</v>
      </c>
    </row>
    <row r="503" spans="1:14" ht="33.75">
      <c r="A503" s="6" t="s">
        <v>1964</v>
      </c>
      <c r="B503" s="6" t="s">
        <v>905</v>
      </c>
      <c r="C503" s="6" t="s">
        <v>2382</v>
      </c>
      <c r="D503" s="6" t="s">
        <v>906</v>
      </c>
      <c r="E503" s="11" t="s">
        <v>622</v>
      </c>
      <c r="F503" s="11" t="s">
        <v>910</v>
      </c>
      <c r="G503" s="11" t="s">
        <v>2140</v>
      </c>
      <c r="H503" s="11" t="s">
        <v>2141</v>
      </c>
      <c r="I503" s="20">
        <v>9940.2999999999993</v>
      </c>
      <c r="J503" s="20" t="s">
        <v>908</v>
      </c>
      <c r="K503" s="14">
        <f>I503/50/100*250</f>
        <v>497.01499999999999</v>
      </c>
      <c r="L503" s="14">
        <v>50</v>
      </c>
      <c r="M503" s="6" t="s">
        <v>2233</v>
      </c>
      <c r="N503" s="6" t="s">
        <v>2228</v>
      </c>
    </row>
    <row r="504" spans="1:14" ht="33.75">
      <c r="A504" s="6" t="s">
        <v>1965</v>
      </c>
      <c r="B504" s="6" t="s">
        <v>905</v>
      </c>
      <c r="C504" s="6" t="s">
        <v>2382</v>
      </c>
      <c r="D504" s="6" t="s">
        <v>906</v>
      </c>
      <c r="E504" s="11" t="s">
        <v>57</v>
      </c>
      <c r="F504" s="11" t="s">
        <v>2138</v>
      </c>
      <c r="G504" s="11" t="s">
        <v>911</v>
      </c>
      <c r="H504" s="11" t="s">
        <v>50</v>
      </c>
      <c r="I504" s="20">
        <v>13117.1</v>
      </c>
      <c r="J504" s="20" t="s">
        <v>908</v>
      </c>
      <c r="K504" s="14">
        <f>I504/5000*250</f>
        <v>655.85500000000002</v>
      </c>
      <c r="L504" s="14">
        <v>50</v>
      </c>
      <c r="M504" s="6" t="s">
        <v>2233</v>
      </c>
      <c r="N504" s="6" t="s">
        <v>2228</v>
      </c>
    </row>
    <row r="505" spans="1:14" ht="33.75">
      <c r="A505" s="6" t="s">
        <v>2381</v>
      </c>
      <c r="B505" s="6" t="s">
        <v>905</v>
      </c>
      <c r="C505" s="6" t="s">
        <v>2382</v>
      </c>
      <c r="D505" s="6" t="s">
        <v>2383</v>
      </c>
      <c r="E505" s="11" t="s">
        <v>622</v>
      </c>
      <c r="F505" s="11" t="s">
        <v>907</v>
      </c>
      <c r="G505" s="11" t="s">
        <v>2384</v>
      </c>
      <c r="H505" s="11" t="s">
        <v>2371</v>
      </c>
      <c r="I505" s="20">
        <v>1082.5999999999999</v>
      </c>
      <c r="J505" s="20" t="s">
        <v>908</v>
      </c>
      <c r="K505" s="14">
        <f>I505/50/25*250</f>
        <v>216.51999999999995</v>
      </c>
      <c r="L505" s="14">
        <v>50</v>
      </c>
      <c r="M505" s="6" t="s">
        <v>2233</v>
      </c>
      <c r="N505" s="6" t="s">
        <v>2228</v>
      </c>
    </row>
    <row r="506" spans="1:14" ht="33.75">
      <c r="A506" s="6" t="s">
        <v>2385</v>
      </c>
      <c r="B506" s="6" t="s">
        <v>905</v>
      </c>
      <c r="C506" s="6" t="s">
        <v>2382</v>
      </c>
      <c r="D506" s="6" t="s">
        <v>2383</v>
      </c>
      <c r="E506" s="11" t="s">
        <v>622</v>
      </c>
      <c r="F506" s="11" t="s">
        <v>909</v>
      </c>
      <c r="G506" s="11" t="s">
        <v>2384</v>
      </c>
      <c r="H506" s="11" t="s">
        <v>2371</v>
      </c>
      <c r="I506" s="20">
        <v>2109</v>
      </c>
      <c r="J506" s="20" t="s">
        <v>908</v>
      </c>
      <c r="K506" s="14">
        <f>I506/50/50*250</f>
        <v>210.9</v>
      </c>
      <c r="L506" s="14">
        <v>50</v>
      </c>
      <c r="M506" s="6" t="s">
        <v>2233</v>
      </c>
      <c r="N506" s="6" t="s">
        <v>2228</v>
      </c>
    </row>
    <row r="507" spans="1:14" ht="33.75">
      <c r="A507" s="6" t="s">
        <v>2386</v>
      </c>
      <c r="B507" s="6" t="s">
        <v>905</v>
      </c>
      <c r="C507" s="6" t="s">
        <v>2382</v>
      </c>
      <c r="D507" s="6" t="s">
        <v>2383</v>
      </c>
      <c r="E507" s="11" t="s">
        <v>622</v>
      </c>
      <c r="F507" s="11" t="s">
        <v>910</v>
      </c>
      <c r="G507" s="11" t="s">
        <v>2384</v>
      </c>
      <c r="H507" s="11" t="s">
        <v>2371</v>
      </c>
      <c r="I507" s="20">
        <v>4093.8</v>
      </c>
      <c r="J507" s="20" t="s">
        <v>908</v>
      </c>
      <c r="K507" s="14">
        <f>I507/50/100*250</f>
        <v>204.69</v>
      </c>
      <c r="L507" s="14">
        <v>50</v>
      </c>
      <c r="M507" s="6" t="s">
        <v>2233</v>
      </c>
      <c r="N507" s="6" t="s">
        <v>2228</v>
      </c>
    </row>
    <row r="508" spans="1:14" ht="33.75">
      <c r="A508" s="7" t="s">
        <v>2391</v>
      </c>
      <c r="B508" s="7" t="s">
        <v>905</v>
      </c>
      <c r="C508" s="6" t="s">
        <v>2382</v>
      </c>
      <c r="D508" s="7" t="s">
        <v>2383</v>
      </c>
      <c r="E508" s="12" t="s">
        <v>57</v>
      </c>
      <c r="F508" s="12" t="s">
        <v>2392</v>
      </c>
      <c r="G508" s="12" t="s">
        <v>2384</v>
      </c>
      <c r="H508" s="12" t="s">
        <v>2371</v>
      </c>
      <c r="I508" s="20">
        <v>4836.3</v>
      </c>
      <c r="J508" s="5" t="s">
        <v>908</v>
      </c>
      <c r="K508" s="18">
        <f>I508/100/50*250</f>
        <v>241.815</v>
      </c>
      <c r="L508" s="14">
        <v>50</v>
      </c>
      <c r="M508" s="6" t="s">
        <v>2233</v>
      </c>
      <c r="N508" s="6" t="s">
        <v>2228</v>
      </c>
    </row>
    <row r="509" spans="1:14" ht="33.75">
      <c r="A509" s="6" t="s">
        <v>1966</v>
      </c>
      <c r="B509" s="6" t="s">
        <v>912</v>
      </c>
      <c r="C509" s="6" t="s">
        <v>913</v>
      </c>
      <c r="D509" s="6" t="s">
        <v>914</v>
      </c>
      <c r="E509" s="11" t="s">
        <v>87</v>
      </c>
      <c r="F509" s="11" t="s">
        <v>915</v>
      </c>
      <c r="G509" s="11" t="s">
        <v>916</v>
      </c>
      <c r="H509" s="11" t="s">
        <v>917</v>
      </c>
      <c r="I509" s="20">
        <v>5977.9</v>
      </c>
      <c r="J509" s="20" t="s">
        <v>410</v>
      </c>
      <c r="K509" s="14">
        <f>I509/60/1*5</f>
        <v>498.1583333333333</v>
      </c>
      <c r="L509" s="14">
        <v>50</v>
      </c>
      <c r="M509" s="6" t="s">
        <v>2234</v>
      </c>
      <c r="N509" s="6" t="s">
        <v>2228</v>
      </c>
    </row>
    <row r="510" spans="1:14" ht="33.75">
      <c r="A510" s="6" t="s">
        <v>1967</v>
      </c>
      <c r="B510" s="6" t="s">
        <v>912</v>
      </c>
      <c r="C510" s="6" t="s">
        <v>913</v>
      </c>
      <c r="D510" s="6" t="s">
        <v>914</v>
      </c>
      <c r="E510" s="11" t="s">
        <v>87</v>
      </c>
      <c r="F510" s="11" t="s">
        <v>918</v>
      </c>
      <c r="G510" s="11" t="s">
        <v>916</v>
      </c>
      <c r="H510" s="11" t="s">
        <v>917</v>
      </c>
      <c r="I510" s="20">
        <v>13907.8</v>
      </c>
      <c r="J510" s="20" t="s">
        <v>410</v>
      </c>
      <c r="K510" s="14">
        <f>I510/30/5*5</f>
        <v>463.59333333333331</v>
      </c>
      <c r="L510" s="14">
        <v>50</v>
      </c>
      <c r="M510" s="6" t="s">
        <v>2234</v>
      </c>
      <c r="N510" s="6" t="s">
        <v>2228</v>
      </c>
    </row>
    <row r="511" spans="1:14" ht="33.75">
      <c r="A511" s="6" t="s">
        <v>1968</v>
      </c>
      <c r="B511" s="6" t="s">
        <v>912</v>
      </c>
      <c r="C511" s="6" t="s">
        <v>913</v>
      </c>
      <c r="D511" s="6" t="s">
        <v>914</v>
      </c>
      <c r="E511" s="11" t="s">
        <v>87</v>
      </c>
      <c r="F511" s="11" t="s">
        <v>919</v>
      </c>
      <c r="G511" s="11" t="s">
        <v>916</v>
      </c>
      <c r="H511" s="11" t="s">
        <v>917</v>
      </c>
      <c r="I511" s="20">
        <v>1382.6</v>
      </c>
      <c r="J511" s="20" t="s">
        <v>410</v>
      </c>
      <c r="K511" s="14">
        <f>I511/30/0.5*5</f>
        <v>460.86666666666667</v>
      </c>
      <c r="L511" s="14">
        <v>50</v>
      </c>
      <c r="M511" s="6" t="s">
        <v>2234</v>
      </c>
      <c r="N511" s="6" t="s">
        <v>2228</v>
      </c>
    </row>
    <row r="512" spans="1:14" ht="45">
      <c r="A512" s="9" t="s">
        <v>1438</v>
      </c>
      <c r="B512" s="6" t="s">
        <v>912</v>
      </c>
      <c r="C512" s="6" t="s">
        <v>913</v>
      </c>
      <c r="D512" s="6" t="s">
        <v>920</v>
      </c>
      <c r="E512" s="11" t="s">
        <v>309</v>
      </c>
      <c r="F512" s="11" t="s">
        <v>1439</v>
      </c>
      <c r="G512" s="11" t="s">
        <v>921</v>
      </c>
      <c r="H512" s="11" t="s">
        <v>826</v>
      </c>
      <c r="I512" s="20">
        <v>1445.8</v>
      </c>
      <c r="J512" s="20" t="s">
        <v>410</v>
      </c>
      <c r="K512" s="14">
        <f>I512/30/0.5*5</f>
        <v>481.93333333333334</v>
      </c>
      <c r="L512" s="14">
        <v>50</v>
      </c>
      <c r="M512" s="6" t="s">
        <v>2234</v>
      </c>
      <c r="N512" s="6" t="s">
        <v>2228</v>
      </c>
    </row>
    <row r="513" spans="1:14" ht="45">
      <c r="A513" s="9" t="s">
        <v>1440</v>
      </c>
      <c r="B513" s="6" t="s">
        <v>912</v>
      </c>
      <c r="C513" s="6" t="s">
        <v>913</v>
      </c>
      <c r="D513" s="6" t="s">
        <v>920</v>
      </c>
      <c r="E513" s="11" t="s">
        <v>309</v>
      </c>
      <c r="F513" s="11" t="s">
        <v>245</v>
      </c>
      <c r="G513" s="11" t="s">
        <v>921</v>
      </c>
      <c r="H513" s="11" t="s">
        <v>826</v>
      </c>
      <c r="I513" s="20">
        <v>3243.2</v>
      </c>
      <c r="J513" s="20" t="s">
        <v>410</v>
      </c>
      <c r="K513" s="14">
        <f>I513/30/1*5</f>
        <v>540.5333333333333</v>
      </c>
      <c r="L513" s="14">
        <v>50</v>
      </c>
      <c r="M513" s="6" t="s">
        <v>2234</v>
      </c>
      <c r="N513" s="6" t="s">
        <v>2228</v>
      </c>
    </row>
    <row r="514" spans="1:14" ht="45">
      <c r="A514" s="9" t="s">
        <v>922</v>
      </c>
      <c r="B514" s="6" t="s">
        <v>912</v>
      </c>
      <c r="C514" s="6" t="s">
        <v>913</v>
      </c>
      <c r="D514" s="6" t="s">
        <v>920</v>
      </c>
      <c r="E514" s="11" t="s">
        <v>309</v>
      </c>
      <c r="F514" s="11" t="s">
        <v>239</v>
      </c>
      <c r="G514" s="11" t="s">
        <v>921</v>
      </c>
      <c r="H514" s="11" t="s">
        <v>826</v>
      </c>
      <c r="I514" s="20">
        <v>8914.1</v>
      </c>
      <c r="J514" s="20" t="s">
        <v>410</v>
      </c>
      <c r="K514" s="14">
        <f>I514/30/3*5</f>
        <v>495.22777777777776</v>
      </c>
      <c r="L514" s="14">
        <v>50</v>
      </c>
      <c r="M514" s="6" t="s">
        <v>2234</v>
      </c>
      <c r="N514" s="6" t="s">
        <v>2228</v>
      </c>
    </row>
    <row r="515" spans="1:14" ht="45">
      <c r="A515" s="9" t="s">
        <v>1441</v>
      </c>
      <c r="B515" s="6" t="s">
        <v>912</v>
      </c>
      <c r="C515" s="6" t="s">
        <v>913</v>
      </c>
      <c r="D515" s="6" t="s">
        <v>920</v>
      </c>
      <c r="E515" s="11" t="s">
        <v>309</v>
      </c>
      <c r="F515" s="11" t="s">
        <v>266</v>
      </c>
      <c r="G515" s="11" t="s">
        <v>921</v>
      </c>
      <c r="H515" s="11" t="s">
        <v>826</v>
      </c>
      <c r="I515" s="20">
        <v>15046.7</v>
      </c>
      <c r="J515" s="20" t="s">
        <v>410</v>
      </c>
      <c r="K515" s="14">
        <f>I515/30/5*5</f>
        <v>501.55666666666667</v>
      </c>
      <c r="L515" s="14">
        <v>50</v>
      </c>
      <c r="M515" s="6" t="s">
        <v>2234</v>
      </c>
      <c r="N515" s="6" t="s">
        <v>2228</v>
      </c>
    </row>
    <row r="516" spans="1:14" ht="45">
      <c r="A516" s="6" t="s">
        <v>1961</v>
      </c>
      <c r="B516" s="6" t="s">
        <v>2996</v>
      </c>
      <c r="C516" s="6" t="s">
        <v>895</v>
      </c>
      <c r="D516" s="6" t="s">
        <v>896</v>
      </c>
      <c r="E516" s="11" t="s">
        <v>436</v>
      </c>
      <c r="F516" s="5" t="s">
        <v>2661</v>
      </c>
      <c r="G516" s="11" t="s">
        <v>2997</v>
      </c>
      <c r="H516" s="11" t="s">
        <v>2662</v>
      </c>
      <c r="I516" s="20">
        <v>10988</v>
      </c>
      <c r="J516" s="20" t="s">
        <v>897</v>
      </c>
      <c r="K516" s="20">
        <f>I516/30/1*3</f>
        <v>1098.8</v>
      </c>
      <c r="L516" s="14">
        <v>50</v>
      </c>
      <c r="M516" s="6" t="s">
        <v>2230</v>
      </c>
      <c r="N516" s="6" t="s">
        <v>2231</v>
      </c>
    </row>
    <row r="517" spans="1:14" ht="22.5">
      <c r="A517" s="6" t="s">
        <v>1969</v>
      </c>
      <c r="B517" s="6" t="s">
        <v>923</v>
      </c>
      <c r="C517" s="6" t="s">
        <v>924</v>
      </c>
      <c r="D517" s="6" t="s">
        <v>925</v>
      </c>
      <c r="E517" s="11" t="s">
        <v>65</v>
      </c>
      <c r="F517" s="11" t="s">
        <v>926</v>
      </c>
      <c r="G517" s="11" t="s">
        <v>1879</v>
      </c>
      <c r="H517" s="11" t="s">
        <v>50</v>
      </c>
      <c r="I517" s="20">
        <v>2012.2</v>
      </c>
      <c r="J517" s="20" t="s">
        <v>360</v>
      </c>
      <c r="K517" s="14">
        <f>I517/100/50*150</f>
        <v>60.366</v>
      </c>
      <c r="L517" s="14">
        <v>50</v>
      </c>
      <c r="M517" s="6"/>
      <c r="N517" s="6"/>
    </row>
    <row r="518" spans="1:14">
      <c r="A518" s="8">
        <v>1014035</v>
      </c>
      <c r="B518" s="8" t="s">
        <v>923</v>
      </c>
      <c r="C518" s="8" t="s">
        <v>924</v>
      </c>
      <c r="D518" s="8" t="s">
        <v>2873</v>
      </c>
      <c r="E518" s="5" t="s">
        <v>65</v>
      </c>
      <c r="F518" s="5" t="s">
        <v>2874</v>
      </c>
      <c r="G518" s="5" t="s">
        <v>2875</v>
      </c>
      <c r="H518" s="5" t="s">
        <v>50</v>
      </c>
      <c r="I518" s="19">
        <v>1408.5</v>
      </c>
      <c r="J518" s="5" t="s">
        <v>360</v>
      </c>
      <c r="K518" s="19">
        <f>+(I518/50/ 100)*150</f>
        <v>42.255000000000003</v>
      </c>
      <c r="L518" s="14">
        <v>50</v>
      </c>
      <c r="M518" s="6"/>
      <c r="N518" s="6"/>
    </row>
    <row r="519" spans="1:14" ht="33.75">
      <c r="A519" s="6" t="s">
        <v>1971</v>
      </c>
      <c r="B519" s="6" t="s">
        <v>929</v>
      </c>
      <c r="C519" s="6" t="s">
        <v>930</v>
      </c>
      <c r="D519" s="6" t="s">
        <v>931</v>
      </c>
      <c r="E519" s="11" t="s">
        <v>94</v>
      </c>
      <c r="F519" s="11" t="s">
        <v>932</v>
      </c>
      <c r="G519" s="11" t="s">
        <v>933</v>
      </c>
      <c r="H519" s="11" t="s">
        <v>242</v>
      </c>
      <c r="I519" s="20">
        <v>189.3</v>
      </c>
      <c r="J519" s="20" t="s">
        <v>807</v>
      </c>
      <c r="K519" s="14">
        <f>I519/20/100*1200</f>
        <v>113.58</v>
      </c>
      <c r="L519" s="14">
        <v>50</v>
      </c>
      <c r="M519" s="6"/>
      <c r="N519" s="6" t="s">
        <v>2235</v>
      </c>
    </row>
    <row r="520" spans="1:14" ht="22.5">
      <c r="A520" s="9" t="s">
        <v>934</v>
      </c>
      <c r="B520" s="6" t="s">
        <v>929</v>
      </c>
      <c r="C520" s="6" t="s">
        <v>930</v>
      </c>
      <c r="D520" s="6" t="s">
        <v>935</v>
      </c>
      <c r="E520" s="11" t="s">
        <v>99</v>
      </c>
      <c r="F520" s="11" t="s">
        <v>748</v>
      </c>
      <c r="G520" s="11" t="s">
        <v>936</v>
      </c>
      <c r="H520" s="11" t="s">
        <v>82</v>
      </c>
      <c r="I520" s="20">
        <v>146.19999999999999</v>
      </c>
      <c r="J520" s="20" t="s">
        <v>807</v>
      </c>
      <c r="K520" s="14">
        <f>I520/20/100*1200</f>
        <v>87.72</v>
      </c>
      <c r="L520" s="14">
        <v>50</v>
      </c>
      <c r="M520" s="6"/>
      <c r="N520" s="6" t="s">
        <v>2235</v>
      </c>
    </row>
    <row r="521" spans="1:14" ht="33.75">
      <c r="A521" s="9" t="s">
        <v>1423</v>
      </c>
      <c r="B521" s="6" t="s">
        <v>929</v>
      </c>
      <c r="C521" s="6" t="s">
        <v>930</v>
      </c>
      <c r="D521" s="6" t="s">
        <v>1424</v>
      </c>
      <c r="E521" s="11" t="s">
        <v>99</v>
      </c>
      <c r="F521" s="11" t="s">
        <v>1425</v>
      </c>
      <c r="G521" s="11" t="s">
        <v>1426</v>
      </c>
      <c r="H521" s="11" t="s">
        <v>819</v>
      </c>
      <c r="I521" s="20">
        <v>174.4</v>
      </c>
      <c r="J521" s="20" t="s">
        <v>722</v>
      </c>
      <c r="K521" s="14">
        <f>I521/20/100*1200</f>
        <v>104.64</v>
      </c>
      <c r="L521" s="14">
        <v>50</v>
      </c>
      <c r="M521" s="9"/>
      <c r="N521" s="6" t="s">
        <v>2235</v>
      </c>
    </row>
    <row r="522" spans="1:14" ht="33.75">
      <c r="A522" s="6" t="s">
        <v>1972</v>
      </c>
      <c r="B522" s="40" t="s">
        <v>929</v>
      </c>
      <c r="C522" s="40" t="s">
        <v>930</v>
      </c>
      <c r="D522" s="40" t="s">
        <v>1517</v>
      </c>
      <c r="E522" s="14" t="s">
        <v>99</v>
      </c>
      <c r="F522" s="14" t="s">
        <v>2915</v>
      </c>
      <c r="G522" s="14" t="s">
        <v>1476</v>
      </c>
      <c r="H522" s="11" t="s">
        <v>2673</v>
      </c>
      <c r="I522" s="20">
        <v>174.4</v>
      </c>
      <c r="J522" s="14" t="s">
        <v>722</v>
      </c>
      <c r="K522" s="14">
        <f>I522/100/20*1200</f>
        <v>104.64</v>
      </c>
      <c r="L522" s="14">
        <v>50</v>
      </c>
      <c r="M522" s="6"/>
      <c r="N522" s="6" t="s">
        <v>2235</v>
      </c>
    </row>
    <row r="523" spans="1:14" ht="33.75">
      <c r="A523" s="6" t="s">
        <v>1973</v>
      </c>
      <c r="B523" s="40" t="s">
        <v>929</v>
      </c>
      <c r="C523" s="40" t="s">
        <v>930</v>
      </c>
      <c r="D523" s="40" t="s">
        <v>1752</v>
      </c>
      <c r="E523" s="14" t="s">
        <v>99</v>
      </c>
      <c r="F523" s="14" t="s">
        <v>1691</v>
      </c>
      <c r="G523" s="14" t="s">
        <v>1739</v>
      </c>
      <c r="H523" s="11" t="s">
        <v>2673</v>
      </c>
      <c r="I523" s="20">
        <v>113.5</v>
      </c>
      <c r="J523" s="14" t="s">
        <v>807</v>
      </c>
      <c r="K523" s="14">
        <f>I523/60/20*1200</f>
        <v>113.49999999999999</v>
      </c>
      <c r="L523" s="14">
        <v>50</v>
      </c>
      <c r="M523" s="6"/>
      <c r="N523" s="6" t="s">
        <v>2235</v>
      </c>
    </row>
    <row r="524" spans="1:14" ht="67.5">
      <c r="A524" s="6" t="s">
        <v>1974</v>
      </c>
      <c r="B524" s="6" t="s">
        <v>929</v>
      </c>
      <c r="C524" s="6" t="s">
        <v>930</v>
      </c>
      <c r="D524" s="6" t="s">
        <v>1656</v>
      </c>
      <c r="E524" s="11" t="s">
        <v>99</v>
      </c>
      <c r="F524" s="11" t="s">
        <v>2916</v>
      </c>
      <c r="G524" s="11" t="s">
        <v>2731</v>
      </c>
      <c r="H524" s="11" t="s">
        <v>2732</v>
      </c>
      <c r="I524" s="20">
        <v>465.4</v>
      </c>
      <c r="J524" s="20" t="s">
        <v>807</v>
      </c>
      <c r="K524" s="14">
        <f>I524/(150/5)/200*1200</f>
        <v>93.079999999999984</v>
      </c>
      <c r="L524" s="14">
        <v>50</v>
      </c>
      <c r="M524" s="6"/>
      <c r="N524" s="6" t="s">
        <v>2235</v>
      </c>
    </row>
    <row r="525" spans="1:14" s="83" customFormat="1" ht="33.75">
      <c r="A525" s="6" t="s">
        <v>1975</v>
      </c>
      <c r="B525" s="6" t="s">
        <v>929</v>
      </c>
      <c r="C525" s="6" t="s">
        <v>930</v>
      </c>
      <c r="D525" s="6" t="s">
        <v>1711</v>
      </c>
      <c r="E525" s="11" t="s">
        <v>99</v>
      </c>
      <c r="F525" s="11" t="s">
        <v>2917</v>
      </c>
      <c r="G525" s="11" t="s">
        <v>1426</v>
      </c>
      <c r="H525" s="11" t="s">
        <v>819</v>
      </c>
      <c r="I525" s="20">
        <v>281.89999999999998</v>
      </c>
      <c r="J525" s="20" t="s">
        <v>807</v>
      </c>
      <c r="K525" s="14">
        <f>+I525/1/4000*1200</f>
        <v>84.57</v>
      </c>
      <c r="L525" s="14">
        <v>50</v>
      </c>
      <c r="M525" s="6"/>
      <c r="N525" s="6" t="s">
        <v>2235</v>
      </c>
    </row>
    <row r="526" spans="1:14" s="83" customFormat="1" ht="22.5">
      <c r="A526" s="37" t="s">
        <v>2398</v>
      </c>
      <c r="B526" s="8" t="s">
        <v>929</v>
      </c>
      <c r="C526" s="8" t="s">
        <v>930</v>
      </c>
      <c r="D526" s="8" t="s">
        <v>2399</v>
      </c>
      <c r="E526" s="5" t="s">
        <v>99</v>
      </c>
      <c r="F526" s="5" t="s">
        <v>2919</v>
      </c>
      <c r="G526" s="5" t="s">
        <v>2400</v>
      </c>
      <c r="H526" s="5" t="s">
        <v>12</v>
      </c>
      <c r="I526" s="20">
        <v>251.6</v>
      </c>
      <c r="J526" s="5" t="s">
        <v>2401</v>
      </c>
      <c r="K526" s="19">
        <f>I526/40/100*1200</f>
        <v>75.48</v>
      </c>
      <c r="L526" s="14">
        <v>50</v>
      </c>
      <c r="M526" s="6"/>
      <c r="N526" s="6" t="s">
        <v>2235</v>
      </c>
    </row>
    <row r="527" spans="1:14" s="83" customFormat="1" ht="33.75">
      <c r="A527" s="35" t="s">
        <v>2733</v>
      </c>
      <c r="B527" s="37" t="s">
        <v>929</v>
      </c>
      <c r="C527" s="29" t="s">
        <v>930</v>
      </c>
      <c r="D527" s="29" t="s">
        <v>2734</v>
      </c>
      <c r="E527" s="15" t="s">
        <v>99</v>
      </c>
      <c r="F527" s="15" t="s">
        <v>2918</v>
      </c>
      <c r="G527" s="15" t="s">
        <v>2735</v>
      </c>
      <c r="H527" s="15" t="s">
        <v>2520</v>
      </c>
      <c r="I527" s="21">
        <v>251.6</v>
      </c>
      <c r="J527" s="15" t="s">
        <v>2736</v>
      </c>
      <c r="K527" s="14">
        <f>+I527/1/4000*1200</f>
        <v>75.48</v>
      </c>
      <c r="L527" s="14">
        <v>50</v>
      </c>
      <c r="M527" s="6"/>
      <c r="N527" s="6" t="s">
        <v>2235</v>
      </c>
    </row>
    <row r="528" spans="1:14" s="83" customFormat="1" ht="33.75">
      <c r="A528" s="37" t="s">
        <v>2876</v>
      </c>
      <c r="B528" s="29" t="s">
        <v>2877</v>
      </c>
      <c r="C528" s="8" t="s">
        <v>2878</v>
      </c>
      <c r="D528" s="8" t="s">
        <v>2879</v>
      </c>
      <c r="E528" s="5" t="s">
        <v>55</v>
      </c>
      <c r="F528" s="5" t="s">
        <v>1141</v>
      </c>
      <c r="G528" s="5" t="s">
        <v>2880</v>
      </c>
      <c r="H528" s="5" t="s">
        <v>39</v>
      </c>
      <c r="I528" s="19">
        <v>673</v>
      </c>
      <c r="J528" s="19" t="s">
        <v>2881</v>
      </c>
      <c r="K528" s="19">
        <f>+(I528/ 50/ 10)*50</f>
        <v>67.300000000000011</v>
      </c>
      <c r="L528" s="14">
        <v>50</v>
      </c>
      <c r="M528" s="6" t="s">
        <v>2882</v>
      </c>
      <c r="N528" s="6" t="s">
        <v>2883</v>
      </c>
    </row>
    <row r="529" spans="1:14" s="83" customFormat="1" ht="33.75">
      <c r="A529" s="37">
        <v>1082001</v>
      </c>
      <c r="B529" s="29" t="s">
        <v>2877</v>
      </c>
      <c r="C529" s="8" t="s">
        <v>2878</v>
      </c>
      <c r="D529" s="8" t="s">
        <v>2879</v>
      </c>
      <c r="E529" s="5" t="s">
        <v>55</v>
      </c>
      <c r="F529" s="5" t="s">
        <v>907</v>
      </c>
      <c r="G529" s="5" t="s">
        <v>2880</v>
      </c>
      <c r="H529" s="5" t="s">
        <v>39</v>
      </c>
      <c r="I529" s="19">
        <v>960.1</v>
      </c>
      <c r="J529" s="19" t="s">
        <v>2881</v>
      </c>
      <c r="K529" s="19">
        <f>+(I529/ 50/ 25)*50</f>
        <v>38.404000000000003</v>
      </c>
      <c r="L529" s="14">
        <v>50</v>
      </c>
      <c r="M529" s="6" t="s">
        <v>2882</v>
      </c>
      <c r="N529" s="6" t="s">
        <v>2883</v>
      </c>
    </row>
    <row r="530" spans="1:14" ht="33.75">
      <c r="A530" s="6" t="s">
        <v>1976</v>
      </c>
      <c r="B530" s="6" t="s">
        <v>937</v>
      </c>
      <c r="C530" s="6" t="s">
        <v>938</v>
      </c>
      <c r="D530" s="6" t="s">
        <v>939</v>
      </c>
      <c r="E530" s="11" t="s">
        <v>55</v>
      </c>
      <c r="F530" s="11" t="s">
        <v>241</v>
      </c>
      <c r="G530" s="11" t="s">
        <v>940</v>
      </c>
      <c r="H530" s="11" t="s">
        <v>941</v>
      </c>
      <c r="I530" s="20">
        <v>352.7</v>
      </c>
      <c r="J530" s="20" t="s">
        <v>942</v>
      </c>
      <c r="K530" s="14">
        <f>I530/30/4*12</f>
        <v>35.269999999999996</v>
      </c>
      <c r="L530" s="14">
        <v>50</v>
      </c>
      <c r="M530" s="6" t="s">
        <v>2236</v>
      </c>
      <c r="N530" s="6" t="s">
        <v>2237</v>
      </c>
    </row>
    <row r="531" spans="1:14" ht="33.75">
      <c r="A531" s="45" t="s">
        <v>1977</v>
      </c>
      <c r="B531" s="46" t="s">
        <v>937</v>
      </c>
      <c r="C531" s="46" t="s">
        <v>938</v>
      </c>
      <c r="D531" s="46" t="s">
        <v>1427</v>
      </c>
      <c r="E531" s="13" t="s">
        <v>416</v>
      </c>
      <c r="F531" s="13" t="s">
        <v>241</v>
      </c>
      <c r="G531" s="13" t="s">
        <v>1428</v>
      </c>
      <c r="H531" s="13" t="s">
        <v>12</v>
      </c>
      <c r="I531" s="20">
        <v>352.7</v>
      </c>
      <c r="J531" s="20" t="s">
        <v>942</v>
      </c>
      <c r="K531" s="14">
        <f>I531/30/4*12</f>
        <v>35.269999999999996</v>
      </c>
      <c r="L531" s="14">
        <v>50</v>
      </c>
      <c r="M531" s="6" t="s">
        <v>2236</v>
      </c>
      <c r="N531" s="6" t="s">
        <v>2237</v>
      </c>
    </row>
    <row r="532" spans="1:14" ht="22.5">
      <c r="A532" s="6" t="s">
        <v>1978</v>
      </c>
      <c r="B532" s="6" t="s">
        <v>943</v>
      </c>
      <c r="C532" s="6" t="s">
        <v>944</v>
      </c>
      <c r="D532" s="6" t="s">
        <v>3038</v>
      </c>
      <c r="E532" s="11" t="s">
        <v>55</v>
      </c>
      <c r="F532" s="11" t="s">
        <v>945</v>
      </c>
      <c r="G532" s="11" t="s">
        <v>24</v>
      </c>
      <c r="H532" s="11" t="s">
        <v>12</v>
      </c>
      <c r="I532" s="20">
        <v>102.2</v>
      </c>
      <c r="J532" s="20" t="s">
        <v>750</v>
      </c>
      <c r="K532" s="14">
        <f>I532/40/100*400</f>
        <v>10.220000000000001</v>
      </c>
      <c r="L532" s="14">
        <v>50</v>
      </c>
      <c r="M532" s="6"/>
      <c r="N532" s="6"/>
    </row>
    <row r="533" spans="1:14" ht="56.25">
      <c r="A533" s="37" t="s">
        <v>2561</v>
      </c>
      <c r="B533" s="37" t="s">
        <v>2562</v>
      </c>
      <c r="C533" s="37" t="s">
        <v>2563</v>
      </c>
      <c r="D533" s="37" t="s">
        <v>2564</v>
      </c>
      <c r="E533" s="65" t="s">
        <v>2565</v>
      </c>
      <c r="F533" s="65" t="s">
        <v>2566</v>
      </c>
      <c r="G533" s="65" t="s">
        <v>2567</v>
      </c>
      <c r="H533" s="65" t="s">
        <v>527</v>
      </c>
      <c r="I533" s="20">
        <v>16862.8</v>
      </c>
      <c r="J533" s="65" t="s">
        <v>2568</v>
      </c>
      <c r="K533" s="84">
        <f>I533/60*0.33</f>
        <v>92.745400000000004</v>
      </c>
      <c r="L533" s="14">
        <v>50</v>
      </c>
      <c r="M533" s="92" t="s">
        <v>2569</v>
      </c>
      <c r="N533" s="92" t="s">
        <v>2570</v>
      </c>
    </row>
    <row r="534" spans="1:14" ht="33.75">
      <c r="A534" s="6" t="s">
        <v>950</v>
      </c>
      <c r="B534" s="6" t="s">
        <v>946</v>
      </c>
      <c r="C534" s="6" t="s">
        <v>947</v>
      </c>
      <c r="D534" s="6" t="s">
        <v>948</v>
      </c>
      <c r="E534" s="11" t="s">
        <v>618</v>
      </c>
      <c r="F534" s="11" t="s">
        <v>951</v>
      </c>
      <c r="G534" s="11" t="s">
        <v>949</v>
      </c>
      <c r="H534" s="11" t="s">
        <v>242</v>
      </c>
      <c r="I534" s="20">
        <v>557.6</v>
      </c>
      <c r="J534" s="11" t="s">
        <v>575</v>
      </c>
      <c r="K534" s="14">
        <f>I534/20/20*100</f>
        <v>139.4</v>
      </c>
      <c r="L534" s="14">
        <v>50</v>
      </c>
      <c r="M534" s="6" t="s">
        <v>2238</v>
      </c>
      <c r="N534" s="6"/>
    </row>
    <row r="535" spans="1:14" ht="22.5">
      <c r="A535" s="8">
        <v>1087448</v>
      </c>
      <c r="B535" s="8" t="s">
        <v>2116</v>
      </c>
      <c r="C535" s="8" t="s">
        <v>2117</v>
      </c>
      <c r="D535" s="8" t="s">
        <v>2118</v>
      </c>
      <c r="E535" s="5" t="s">
        <v>1745</v>
      </c>
      <c r="F535" s="5" t="s">
        <v>266</v>
      </c>
      <c r="G535" s="5" t="s">
        <v>2610</v>
      </c>
      <c r="H535" s="5" t="s">
        <v>542</v>
      </c>
      <c r="I535" s="20">
        <v>376</v>
      </c>
      <c r="J535" s="85" t="s">
        <v>347</v>
      </c>
      <c r="K535" s="76">
        <f>I535/30/5*75</f>
        <v>188</v>
      </c>
      <c r="L535" s="2">
        <v>50</v>
      </c>
      <c r="M535" s="6" t="s">
        <v>2327</v>
      </c>
      <c r="N535" s="6"/>
    </row>
    <row r="536" spans="1:14" ht="22.5">
      <c r="A536" s="8">
        <v>1087449</v>
      </c>
      <c r="B536" s="8" t="s">
        <v>2116</v>
      </c>
      <c r="C536" s="8" t="s">
        <v>2117</v>
      </c>
      <c r="D536" s="8" t="s">
        <v>2118</v>
      </c>
      <c r="E536" s="5" t="s">
        <v>1745</v>
      </c>
      <c r="F536" s="5" t="s">
        <v>56</v>
      </c>
      <c r="G536" s="5" t="s">
        <v>2610</v>
      </c>
      <c r="H536" s="5" t="s">
        <v>542</v>
      </c>
      <c r="I536" s="20">
        <v>589.29999999999995</v>
      </c>
      <c r="J536" s="85" t="s">
        <v>347</v>
      </c>
      <c r="K536" s="76">
        <f>I536/30/10*75</f>
        <v>147.32499999999999</v>
      </c>
      <c r="L536" s="2">
        <v>50</v>
      </c>
      <c r="M536" s="6" t="s">
        <v>2327</v>
      </c>
      <c r="N536" s="6"/>
    </row>
    <row r="537" spans="1:14" ht="22.5">
      <c r="A537" s="8">
        <v>1087450</v>
      </c>
      <c r="B537" s="8" t="s">
        <v>2116</v>
      </c>
      <c r="C537" s="8" t="s">
        <v>2117</v>
      </c>
      <c r="D537" s="8" t="s">
        <v>2118</v>
      </c>
      <c r="E537" s="5" t="s">
        <v>1745</v>
      </c>
      <c r="F537" s="5" t="s">
        <v>319</v>
      </c>
      <c r="G537" s="5" t="s">
        <v>2610</v>
      </c>
      <c r="H537" s="5" t="s">
        <v>542</v>
      </c>
      <c r="I537" s="20">
        <v>969.5</v>
      </c>
      <c r="J537" s="85" t="s">
        <v>347</v>
      </c>
      <c r="K537" s="76">
        <f>I537/30/20*75</f>
        <v>121.18750000000001</v>
      </c>
      <c r="L537" s="2">
        <v>50</v>
      </c>
      <c r="M537" s="6" t="s">
        <v>2327</v>
      </c>
      <c r="N537" s="6"/>
    </row>
    <row r="538" spans="1:14" ht="45">
      <c r="A538" s="8">
        <v>1087660</v>
      </c>
      <c r="B538" s="8" t="s">
        <v>2123</v>
      </c>
      <c r="C538" s="8" t="s">
        <v>2124</v>
      </c>
      <c r="D538" s="8" t="s">
        <v>2125</v>
      </c>
      <c r="E538" s="5" t="s">
        <v>427</v>
      </c>
      <c r="F538" s="5" t="s">
        <v>2945</v>
      </c>
      <c r="G538" s="5" t="s">
        <v>2126</v>
      </c>
      <c r="H538" s="5" t="s">
        <v>2127</v>
      </c>
      <c r="I538" s="19">
        <v>574.5</v>
      </c>
      <c r="J538" s="85" t="s">
        <v>347</v>
      </c>
      <c r="K538" s="76">
        <f>I538/5/30*75</f>
        <v>287.25</v>
      </c>
      <c r="L538" s="2">
        <v>50</v>
      </c>
      <c r="M538" s="6" t="s">
        <v>2238</v>
      </c>
      <c r="N538" s="6"/>
    </row>
    <row r="539" spans="1:14" ht="45">
      <c r="A539" s="8">
        <v>1087662</v>
      </c>
      <c r="B539" s="8" t="s">
        <v>2123</v>
      </c>
      <c r="C539" s="8" t="s">
        <v>2124</v>
      </c>
      <c r="D539" s="8" t="s">
        <v>2125</v>
      </c>
      <c r="E539" s="5" t="s">
        <v>427</v>
      </c>
      <c r="F539" s="5" t="s">
        <v>2946</v>
      </c>
      <c r="G539" s="5" t="s">
        <v>2126</v>
      </c>
      <c r="H539" s="5" t="s">
        <v>2127</v>
      </c>
      <c r="I539" s="20">
        <v>993.2</v>
      </c>
      <c r="J539" s="85" t="s">
        <v>347</v>
      </c>
      <c r="K539" s="76">
        <f>I539/10/30*75</f>
        <v>248.30000000000004</v>
      </c>
      <c r="L539" s="2">
        <v>50</v>
      </c>
      <c r="M539" s="6" t="s">
        <v>2238</v>
      </c>
      <c r="N539" s="6"/>
    </row>
    <row r="540" spans="1:14" ht="45">
      <c r="A540" s="8">
        <v>1087664</v>
      </c>
      <c r="B540" s="8" t="s">
        <v>2123</v>
      </c>
      <c r="C540" s="8" t="s">
        <v>2124</v>
      </c>
      <c r="D540" s="8" t="s">
        <v>2125</v>
      </c>
      <c r="E540" s="5" t="s">
        <v>427</v>
      </c>
      <c r="F540" s="5" t="s">
        <v>2947</v>
      </c>
      <c r="G540" s="5" t="s">
        <v>2126</v>
      </c>
      <c r="H540" s="5" t="s">
        <v>2127</v>
      </c>
      <c r="I540" s="20">
        <v>1766.8</v>
      </c>
      <c r="J540" s="85" t="s">
        <v>347</v>
      </c>
      <c r="K540" s="76">
        <f>I540/20/30*75</f>
        <v>220.85000000000002</v>
      </c>
      <c r="L540" s="2">
        <v>50</v>
      </c>
      <c r="M540" s="6" t="s">
        <v>2238</v>
      </c>
      <c r="N540" s="6"/>
    </row>
    <row r="541" spans="1:14" ht="45">
      <c r="A541" s="8">
        <v>1087666</v>
      </c>
      <c r="B541" s="8" t="s">
        <v>2123</v>
      </c>
      <c r="C541" s="8" t="s">
        <v>2124</v>
      </c>
      <c r="D541" s="8" t="s">
        <v>2125</v>
      </c>
      <c r="E541" s="5" t="s">
        <v>427</v>
      </c>
      <c r="F541" s="5" t="s">
        <v>2948</v>
      </c>
      <c r="G541" s="5" t="s">
        <v>2126</v>
      </c>
      <c r="H541" s="5" t="s">
        <v>2127</v>
      </c>
      <c r="I541" s="74">
        <v>3003</v>
      </c>
      <c r="J541" s="85" t="s">
        <v>347</v>
      </c>
      <c r="K541" s="76">
        <f>I541/40/30*75</f>
        <v>187.6875</v>
      </c>
      <c r="L541" s="2">
        <v>50</v>
      </c>
      <c r="M541" s="6" t="s">
        <v>2238</v>
      </c>
      <c r="N541" s="6"/>
    </row>
    <row r="542" spans="1:14" ht="33.75">
      <c r="A542" s="8">
        <v>1087668</v>
      </c>
      <c r="B542" s="8" t="s">
        <v>2123</v>
      </c>
      <c r="C542" s="8" t="s">
        <v>2124</v>
      </c>
      <c r="D542" s="8" t="s">
        <v>2739</v>
      </c>
      <c r="E542" s="5" t="s">
        <v>427</v>
      </c>
      <c r="F542" s="5" t="s">
        <v>2737</v>
      </c>
      <c r="G542" s="5" t="s">
        <v>1857</v>
      </c>
      <c r="H542" s="5" t="s">
        <v>12</v>
      </c>
      <c r="I542" s="19">
        <v>574.5</v>
      </c>
      <c r="J542" s="19" t="s">
        <v>2738</v>
      </c>
      <c r="K542" s="76">
        <f>I542/5/30*75</f>
        <v>287.25</v>
      </c>
      <c r="L542" s="3">
        <v>50</v>
      </c>
      <c r="M542" s="6" t="s">
        <v>2238</v>
      </c>
      <c r="N542" s="6"/>
    </row>
    <row r="543" spans="1:14" ht="33.75">
      <c r="A543" s="8">
        <v>1087669</v>
      </c>
      <c r="B543" s="8" t="s">
        <v>2123</v>
      </c>
      <c r="C543" s="8" t="s">
        <v>2124</v>
      </c>
      <c r="D543" s="8" t="s">
        <v>2739</v>
      </c>
      <c r="E543" s="5" t="s">
        <v>427</v>
      </c>
      <c r="F543" s="5" t="s">
        <v>2971</v>
      </c>
      <c r="G543" s="5" t="s">
        <v>1857</v>
      </c>
      <c r="H543" s="5" t="s">
        <v>12</v>
      </c>
      <c r="I543" s="19">
        <v>1986.3</v>
      </c>
      <c r="J543" s="19" t="s">
        <v>2738</v>
      </c>
      <c r="K543" s="76">
        <f>I543/10/60*75</f>
        <v>248.28749999999999</v>
      </c>
      <c r="L543" s="3">
        <v>50</v>
      </c>
      <c r="M543" s="6" t="s">
        <v>2238</v>
      </c>
      <c r="N543" s="6"/>
    </row>
    <row r="544" spans="1:14" ht="33.75">
      <c r="A544" s="8">
        <v>1087670</v>
      </c>
      <c r="B544" s="8" t="s">
        <v>2123</v>
      </c>
      <c r="C544" s="8" t="s">
        <v>2124</v>
      </c>
      <c r="D544" s="8" t="s">
        <v>2739</v>
      </c>
      <c r="E544" s="5" t="s">
        <v>427</v>
      </c>
      <c r="F544" s="5" t="s">
        <v>2972</v>
      </c>
      <c r="G544" s="5" t="s">
        <v>1857</v>
      </c>
      <c r="H544" s="5" t="s">
        <v>12</v>
      </c>
      <c r="I544" s="19">
        <v>3533.6</v>
      </c>
      <c r="J544" s="19" t="s">
        <v>2738</v>
      </c>
      <c r="K544" s="76">
        <f>I544/20/60*75</f>
        <v>220.85000000000002</v>
      </c>
      <c r="L544" s="3">
        <v>50</v>
      </c>
      <c r="M544" s="6" t="s">
        <v>2238</v>
      </c>
      <c r="N544" s="6"/>
    </row>
    <row r="545" spans="1:14" ht="157.5">
      <c r="A545" s="6" t="s">
        <v>1979</v>
      </c>
      <c r="B545" s="6" t="s">
        <v>953</v>
      </c>
      <c r="C545" s="6" t="s">
        <v>954</v>
      </c>
      <c r="D545" s="6" t="s">
        <v>955</v>
      </c>
      <c r="E545" s="11" t="s">
        <v>956</v>
      </c>
      <c r="F545" s="11" t="s">
        <v>2605</v>
      </c>
      <c r="G545" s="11" t="s">
        <v>952</v>
      </c>
      <c r="H545" s="11" t="s">
        <v>643</v>
      </c>
      <c r="I545" s="20">
        <v>721.1</v>
      </c>
      <c r="J545" s="11" t="s">
        <v>957</v>
      </c>
      <c r="K545" s="14">
        <f>I545/5/4.2*1.2</f>
        <v>41.205714285714279</v>
      </c>
      <c r="L545" s="14">
        <v>50</v>
      </c>
      <c r="M545" s="6" t="s">
        <v>2239</v>
      </c>
      <c r="N545" s="6" t="s">
        <v>2240</v>
      </c>
    </row>
    <row r="546" spans="1:14" ht="157.5">
      <c r="A546" s="6" t="s">
        <v>1980</v>
      </c>
      <c r="B546" s="6" t="s">
        <v>953</v>
      </c>
      <c r="C546" s="6" t="s">
        <v>954</v>
      </c>
      <c r="D546" s="6" t="s">
        <v>955</v>
      </c>
      <c r="E546" s="11" t="s">
        <v>956</v>
      </c>
      <c r="F546" s="11" t="s">
        <v>2606</v>
      </c>
      <c r="G546" s="11" t="s">
        <v>952</v>
      </c>
      <c r="H546" s="11" t="s">
        <v>643</v>
      </c>
      <c r="I546" s="20">
        <v>1442</v>
      </c>
      <c r="J546" s="11" t="s">
        <v>957</v>
      </c>
      <c r="K546" s="14">
        <f>I546/5/8.4*1.2</f>
        <v>41.199999999999996</v>
      </c>
      <c r="L546" s="14">
        <v>50</v>
      </c>
      <c r="M546" s="6" t="s">
        <v>2239</v>
      </c>
      <c r="N546" s="6" t="s">
        <v>2240</v>
      </c>
    </row>
    <row r="547" spans="1:14" ht="157.5">
      <c r="A547" s="6" t="s">
        <v>958</v>
      </c>
      <c r="B547" s="6" t="s">
        <v>953</v>
      </c>
      <c r="C547" s="6" t="s">
        <v>954</v>
      </c>
      <c r="D547" s="6" t="s">
        <v>955</v>
      </c>
      <c r="E547" s="11" t="s">
        <v>956</v>
      </c>
      <c r="F547" s="11" t="s">
        <v>1846</v>
      </c>
      <c r="G547" s="11" t="s">
        <v>959</v>
      </c>
      <c r="H547" s="11" t="s">
        <v>643</v>
      </c>
      <c r="I547" s="20">
        <v>2446.6</v>
      </c>
      <c r="J547" s="11" t="s">
        <v>957</v>
      </c>
      <c r="K547" s="14">
        <f>I547/5/12.6*1.2</f>
        <v>46.601904761904763</v>
      </c>
      <c r="L547" s="14">
        <v>50</v>
      </c>
      <c r="M547" s="6" t="s">
        <v>2239</v>
      </c>
      <c r="N547" s="6" t="s">
        <v>2240</v>
      </c>
    </row>
    <row r="548" spans="1:14" ht="157.5">
      <c r="A548" s="6" t="s">
        <v>1981</v>
      </c>
      <c r="B548" s="6" t="s">
        <v>953</v>
      </c>
      <c r="C548" s="6" t="s">
        <v>954</v>
      </c>
      <c r="D548" s="6" t="s">
        <v>955</v>
      </c>
      <c r="E548" s="11" t="s">
        <v>956</v>
      </c>
      <c r="F548" s="11" t="s">
        <v>2607</v>
      </c>
      <c r="G548" s="11" t="s">
        <v>952</v>
      </c>
      <c r="H548" s="11" t="s">
        <v>643</v>
      </c>
      <c r="I548" s="20">
        <v>2416.5</v>
      </c>
      <c r="J548" s="11" t="s">
        <v>957</v>
      </c>
      <c r="K548" s="14">
        <f>I548/5/16.8*1.2</f>
        <v>34.521428571428572</v>
      </c>
      <c r="L548" s="14">
        <v>50</v>
      </c>
      <c r="M548" s="6" t="s">
        <v>2239</v>
      </c>
      <c r="N548" s="6" t="s">
        <v>2240</v>
      </c>
    </row>
    <row r="549" spans="1:14" ht="157.5">
      <c r="A549" s="9" t="s">
        <v>960</v>
      </c>
      <c r="B549" s="6" t="s">
        <v>953</v>
      </c>
      <c r="C549" s="6" t="s">
        <v>954</v>
      </c>
      <c r="D549" s="6" t="s">
        <v>961</v>
      </c>
      <c r="E549" s="11" t="s">
        <v>956</v>
      </c>
      <c r="F549" s="11" t="s">
        <v>962</v>
      </c>
      <c r="G549" s="11" t="s">
        <v>2663</v>
      </c>
      <c r="H549" s="11" t="s">
        <v>2664</v>
      </c>
      <c r="I549" s="20">
        <v>721.1</v>
      </c>
      <c r="J549" s="11" t="s">
        <v>957</v>
      </c>
      <c r="K549" s="14">
        <f>I549/5/4.125*1.2</f>
        <v>41.954909090909091</v>
      </c>
      <c r="L549" s="14">
        <v>50</v>
      </c>
      <c r="M549" s="6" t="s">
        <v>2239</v>
      </c>
      <c r="N549" s="6" t="s">
        <v>2240</v>
      </c>
    </row>
    <row r="550" spans="1:14" ht="157.5">
      <c r="A550" s="9" t="s">
        <v>963</v>
      </c>
      <c r="B550" s="6" t="s">
        <v>953</v>
      </c>
      <c r="C550" s="6" t="s">
        <v>954</v>
      </c>
      <c r="D550" s="6" t="s">
        <v>961</v>
      </c>
      <c r="E550" s="11" t="s">
        <v>956</v>
      </c>
      <c r="F550" s="11" t="s">
        <v>964</v>
      </c>
      <c r="G550" s="11" t="s">
        <v>2663</v>
      </c>
      <c r="H550" s="11" t="s">
        <v>2664</v>
      </c>
      <c r="I550" s="20">
        <v>1442</v>
      </c>
      <c r="J550" s="11" t="s">
        <v>957</v>
      </c>
      <c r="K550" s="14">
        <f>I550/5/8.25*1.2</f>
        <v>41.949090909090906</v>
      </c>
      <c r="L550" s="14">
        <v>50</v>
      </c>
      <c r="M550" s="6" t="s">
        <v>2239</v>
      </c>
      <c r="N550" s="6" t="s">
        <v>2240</v>
      </c>
    </row>
    <row r="551" spans="1:14" ht="157.5">
      <c r="A551" s="9" t="s">
        <v>965</v>
      </c>
      <c r="B551" s="6" t="s">
        <v>953</v>
      </c>
      <c r="C551" s="6" t="s">
        <v>954</v>
      </c>
      <c r="D551" s="6" t="s">
        <v>961</v>
      </c>
      <c r="E551" s="11" t="s">
        <v>956</v>
      </c>
      <c r="F551" s="11" t="s">
        <v>966</v>
      </c>
      <c r="G551" s="11" t="s">
        <v>2663</v>
      </c>
      <c r="H551" s="11" t="s">
        <v>2664</v>
      </c>
      <c r="I551" s="20">
        <v>2379.6999999999998</v>
      </c>
      <c r="J551" s="11" t="s">
        <v>957</v>
      </c>
      <c r="K551" s="14">
        <f>I551/5/12.375*1.2</f>
        <v>46.151757575757571</v>
      </c>
      <c r="L551" s="14">
        <v>50</v>
      </c>
      <c r="M551" s="6" t="s">
        <v>2239</v>
      </c>
      <c r="N551" s="6" t="s">
        <v>2240</v>
      </c>
    </row>
    <row r="552" spans="1:14" ht="157.5">
      <c r="A552" s="6" t="s">
        <v>967</v>
      </c>
      <c r="B552" s="6" t="s">
        <v>953</v>
      </c>
      <c r="C552" s="6" t="s">
        <v>954</v>
      </c>
      <c r="D552" s="6" t="s">
        <v>961</v>
      </c>
      <c r="E552" s="11" t="s">
        <v>956</v>
      </c>
      <c r="F552" s="11" t="s">
        <v>968</v>
      </c>
      <c r="G552" s="11" t="s">
        <v>2663</v>
      </c>
      <c r="H552" s="11" t="s">
        <v>2664</v>
      </c>
      <c r="I552" s="20">
        <v>2416.5</v>
      </c>
      <c r="J552" s="11" t="s">
        <v>957</v>
      </c>
      <c r="K552" s="14">
        <f>I552/5/16.5*1.2</f>
        <v>35.149090909090908</v>
      </c>
      <c r="L552" s="14">
        <v>50</v>
      </c>
      <c r="M552" s="6" t="s">
        <v>2239</v>
      </c>
      <c r="N552" s="6" t="s">
        <v>2240</v>
      </c>
    </row>
    <row r="553" spans="1:14" ht="22.5">
      <c r="A553" s="6" t="s">
        <v>1982</v>
      </c>
      <c r="B553" s="6" t="s">
        <v>969</v>
      </c>
      <c r="C553" s="6" t="s">
        <v>970</v>
      </c>
      <c r="D553" s="6" t="s">
        <v>971</v>
      </c>
      <c r="E553" s="11" t="s">
        <v>81</v>
      </c>
      <c r="F553" s="11" t="s">
        <v>972</v>
      </c>
      <c r="G553" s="11" t="s">
        <v>24</v>
      </c>
      <c r="H553" s="11" t="s">
        <v>12</v>
      </c>
      <c r="I553" s="20">
        <v>181.6</v>
      </c>
      <c r="J553" s="11" t="s">
        <v>297</v>
      </c>
      <c r="K553" s="14">
        <f>I553/20/50*300</f>
        <v>54.480000000000004</v>
      </c>
      <c r="L553" s="14">
        <v>50</v>
      </c>
      <c r="M553" s="6"/>
      <c r="N553" s="6"/>
    </row>
    <row r="554" spans="1:14" ht="33.75">
      <c r="A554" s="9" t="s">
        <v>973</v>
      </c>
      <c r="B554" s="6" t="s">
        <v>969</v>
      </c>
      <c r="C554" s="6" t="s">
        <v>970</v>
      </c>
      <c r="D554" s="6" t="s">
        <v>974</v>
      </c>
      <c r="E554" s="11" t="s">
        <v>427</v>
      </c>
      <c r="F554" s="11" t="s">
        <v>975</v>
      </c>
      <c r="G554" s="11" t="s">
        <v>23</v>
      </c>
      <c r="H554" s="11" t="s">
        <v>12</v>
      </c>
      <c r="I554" s="20">
        <v>294</v>
      </c>
      <c r="J554" s="11" t="s">
        <v>297</v>
      </c>
      <c r="K554" s="14">
        <f>I554/20/100*300</f>
        <v>44.099999999999994</v>
      </c>
      <c r="L554" s="14">
        <v>50</v>
      </c>
      <c r="M554" s="6"/>
      <c r="N554" s="6"/>
    </row>
    <row r="555" spans="1:14" ht="33.75">
      <c r="A555" s="9" t="s">
        <v>976</v>
      </c>
      <c r="B555" s="6" t="s">
        <v>969</v>
      </c>
      <c r="C555" s="6" t="s">
        <v>970</v>
      </c>
      <c r="D555" s="6" t="s">
        <v>974</v>
      </c>
      <c r="E555" s="11" t="s">
        <v>427</v>
      </c>
      <c r="F555" s="11" t="s">
        <v>977</v>
      </c>
      <c r="G555" s="11" t="s">
        <v>23</v>
      </c>
      <c r="H555" s="11" t="s">
        <v>12</v>
      </c>
      <c r="I555" s="20">
        <v>406.2</v>
      </c>
      <c r="J555" s="11" t="s">
        <v>297</v>
      </c>
      <c r="K555" s="14">
        <f>I555/20/150*300</f>
        <v>40.619999999999997</v>
      </c>
      <c r="L555" s="14">
        <v>50</v>
      </c>
      <c r="M555" s="6"/>
      <c r="N555" s="6"/>
    </row>
    <row r="556" spans="1:14" ht="33.75">
      <c r="A556" s="9" t="s">
        <v>979</v>
      </c>
      <c r="B556" s="6" t="s">
        <v>969</v>
      </c>
      <c r="C556" s="6" t="s">
        <v>970</v>
      </c>
      <c r="D556" s="6" t="s">
        <v>971</v>
      </c>
      <c r="E556" s="11" t="s">
        <v>427</v>
      </c>
      <c r="F556" s="11" t="s">
        <v>851</v>
      </c>
      <c r="G556" s="11" t="s">
        <v>24</v>
      </c>
      <c r="H556" s="11" t="s">
        <v>12</v>
      </c>
      <c r="I556" s="20">
        <v>160.9</v>
      </c>
      <c r="J556" s="11" t="s">
        <v>297</v>
      </c>
      <c r="K556" s="14">
        <f>I556/10/100*300</f>
        <v>48.269999999999996</v>
      </c>
      <c r="L556" s="14">
        <v>50</v>
      </c>
      <c r="M556" s="6"/>
      <c r="N556" s="6"/>
    </row>
    <row r="557" spans="1:14" ht="33.75">
      <c r="A557" s="37" t="s">
        <v>2462</v>
      </c>
      <c r="B557" s="8" t="s">
        <v>2463</v>
      </c>
      <c r="C557" s="8" t="s">
        <v>2464</v>
      </c>
      <c r="D557" s="8" t="s">
        <v>2465</v>
      </c>
      <c r="E557" s="5" t="s">
        <v>427</v>
      </c>
      <c r="F557" s="5" t="s">
        <v>363</v>
      </c>
      <c r="G557" s="5" t="s">
        <v>2466</v>
      </c>
      <c r="H557" s="5" t="s">
        <v>50</v>
      </c>
      <c r="I557" s="20">
        <v>1498.1</v>
      </c>
      <c r="J557" s="5" t="s">
        <v>750</v>
      </c>
      <c r="K557" s="14">
        <f>I557/30/50*400</f>
        <v>399.49333333333328</v>
      </c>
      <c r="L557" s="3">
        <v>50</v>
      </c>
      <c r="M557" s="8" t="s">
        <v>2238</v>
      </c>
      <c r="N557" s="8"/>
    </row>
    <row r="558" spans="1:14" ht="33.75">
      <c r="A558" s="37" t="s">
        <v>2467</v>
      </c>
      <c r="B558" s="8" t="s">
        <v>2463</v>
      </c>
      <c r="C558" s="8" t="s">
        <v>2464</v>
      </c>
      <c r="D558" s="8" t="s">
        <v>2465</v>
      </c>
      <c r="E558" s="5" t="s">
        <v>427</v>
      </c>
      <c r="F558" s="5" t="s">
        <v>348</v>
      </c>
      <c r="G558" s="5" t="s">
        <v>2466</v>
      </c>
      <c r="H558" s="5" t="s">
        <v>50</v>
      </c>
      <c r="I558" s="20">
        <v>2603.5</v>
      </c>
      <c r="J558" s="5" t="s">
        <v>750</v>
      </c>
      <c r="K558" s="14">
        <f>I558/30/100*400</f>
        <v>347.13333333333333</v>
      </c>
      <c r="L558" s="3">
        <v>50</v>
      </c>
      <c r="M558" s="8" t="s">
        <v>2238</v>
      </c>
      <c r="N558" s="8"/>
    </row>
    <row r="559" spans="1:14" ht="33.75">
      <c r="A559" s="37" t="s">
        <v>2468</v>
      </c>
      <c r="B559" s="8" t="s">
        <v>2463</v>
      </c>
      <c r="C559" s="8" t="s">
        <v>2464</v>
      </c>
      <c r="D559" s="8" t="s">
        <v>2465</v>
      </c>
      <c r="E559" s="5" t="s">
        <v>427</v>
      </c>
      <c r="F559" s="5" t="s">
        <v>2469</v>
      </c>
      <c r="G559" s="5" t="s">
        <v>2466</v>
      </c>
      <c r="H559" s="5" t="s">
        <v>50</v>
      </c>
      <c r="I559" s="20">
        <v>3801.5</v>
      </c>
      <c r="J559" s="5" t="s">
        <v>750</v>
      </c>
      <c r="K559" s="14">
        <f>I559/30/150*400</f>
        <v>337.9111111111111</v>
      </c>
      <c r="L559" s="3">
        <v>50</v>
      </c>
      <c r="M559" s="8" t="s">
        <v>2238</v>
      </c>
      <c r="N559" s="8"/>
    </row>
    <row r="560" spans="1:14" ht="33.75">
      <c r="A560" s="9" t="s">
        <v>983</v>
      </c>
      <c r="B560" s="6" t="s">
        <v>981</v>
      </c>
      <c r="C560" s="6" t="s">
        <v>982</v>
      </c>
      <c r="D560" s="6" t="s">
        <v>984</v>
      </c>
      <c r="E560" s="11" t="s">
        <v>94</v>
      </c>
      <c r="F560" s="11" t="s">
        <v>985</v>
      </c>
      <c r="G560" s="11" t="s">
        <v>1790</v>
      </c>
      <c r="H560" s="11" t="s">
        <v>542</v>
      </c>
      <c r="I560" s="20">
        <v>158.19999999999999</v>
      </c>
      <c r="J560" s="11" t="s">
        <v>261</v>
      </c>
      <c r="K560" s="14">
        <f>I560/120/25*3000</f>
        <v>158.19999999999999</v>
      </c>
      <c r="L560" s="14">
        <v>50</v>
      </c>
      <c r="M560" s="6"/>
      <c r="N560" s="6" t="s">
        <v>2235</v>
      </c>
    </row>
    <row r="561" spans="1:14" ht="22.5">
      <c r="A561" s="6" t="s">
        <v>1983</v>
      </c>
      <c r="B561" s="6" t="s">
        <v>986</v>
      </c>
      <c r="C561" s="6" t="s">
        <v>987</v>
      </c>
      <c r="D561" s="6" t="s">
        <v>988</v>
      </c>
      <c r="E561" s="11" t="s">
        <v>55</v>
      </c>
      <c r="F561" s="11" t="s">
        <v>989</v>
      </c>
      <c r="G561" s="11" t="s">
        <v>24</v>
      </c>
      <c r="H561" s="11" t="s">
        <v>12</v>
      </c>
      <c r="I561" s="20">
        <v>74.900000000000006</v>
      </c>
      <c r="J561" s="11" t="s">
        <v>575</v>
      </c>
      <c r="K561" s="14">
        <f>I561/30/15*100</f>
        <v>16.644444444444449</v>
      </c>
      <c r="L561" s="14">
        <v>50</v>
      </c>
      <c r="M561" s="6"/>
      <c r="N561" s="6"/>
    </row>
    <row r="562" spans="1:14" ht="22.5">
      <c r="A562" s="6" t="s">
        <v>1984</v>
      </c>
      <c r="B562" s="6" t="s">
        <v>986</v>
      </c>
      <c r="C562" s="6" t="s">
        <v>987</v>
      </c>
      <c r="D562" s="6" t="s">
        <v>988</v>
      </c>
      <c r="E562" s="11" t="s">
        <v>55</v>
      </c>
      <c r="F562" s="11" t="s">
        <v>348</v>
      </c>
      <c r="G562" s="11" t="s">
        <v>24</v>
      </c>
      <c r="H562" s="11" t="s">
        <v>12</v>
      </c>
      <c r="I562" s="20">
        <v>166.9</v>
      </c>
      <c r="J562" s="11" t="s">
        <v>575</v>
      </c>
      <c r="K562" s="14">
        <f>I562/30/100*100</f>
        <v>5.5633333333333335</v>
      </c>
      <c r="L562" s="14">
        <v>50</v>
      </c>
      <c r="M562" s="6"/>
      <c r="N562" s="6"/>
    </row>
    <row r="563" spans="1:14" ht="33.75">
      <c r="A563" s="6" t="s">
        <v>1985</v>
      </c>
      <c r="B563" s="6" t="s">
        <v>990</v>
      </c>
      <c r="C563" s="6" t="s">
        <v>991</v>
      </c>
      <c r="D563" s="6" t="s">
        <v>992</v>
      </c>
      <c r="E563" s="11" t="s">
        <v>94</v>
      </c>
      <c r="F563" s="11" t="s">
        <v>993</v>
      </c>
      <c r="G563" s="11" t="s">
        <v>994</v>
      </c>
      <c r="H563" s="11" t="s">
        <v>136</v>
      </c>
      <c r="I563" s="20">
        <v>2202</v>
      </c>
      <c r="J563" s="11" t="s">
        <v>995</v>
      </c>
      <c r="K563" s="14">
        <f>I563/40/250*1250</f>
        <v>275.25</v>
      </c>
      <c r="L563" s="14">
        <v>50</v>
      </c>
      <c r="M563" s="6" t="s">
        <v>2336</v>
      </c>
      <c r="N563" s="6" t="s">
        <v>2241</v>
      </c>
    </row>
    <row r="564" spans="1:14" ht="45">
      <c r="A564" s="6" t="s">
        <v>1986</v>
      </c>
      <c r="B564" s="6" t="s">
        <v>996</v>
      </c>
      <c r="C564" s="6" t="s">
        <v>997</v>
      </c>
      <c r="D564" s="6" t="s">
        <v>998</v>
      </c>
      <c r="E564" s="11" t="s">
        <v>55</v>
      </c>
      <c r="F564" s="11" t="s">
        <v>237</v>
      </c>
      <c r="G564" s="5" t="s">
        <v>1518</v>
      </c>
      <c r="H564" s="11" t="s">
        <v>12</v>
      </c>
      <c r="I564" s="20">
        <v>148.69999999999999</v>
      </c>
      <c r="J564" s="14" t="s">
        <v>999</v>
      </c>
      <c r="K564" s="14">
        <f>I564/30/2*8</f>
        <v>19.826666666666664</v>
      </c>
      <c r="L564" s="14">
        <v>50</v>
      </c>
      <c r="M564" s="6"/>
      <c r="N564" s="6"/>
    </row>
    <row r="565" spans="1:14" ht="22.5">
      <c r="A565" s="9" t="s">
        <v>1000</v>
      </c>
      <c r="B565" s="6" t="s">
        <v>996</v>
      </c>
      <c r="C565" s="6" t="s">
        <v>997</v>
      </c>
      <c r="D565" s="6" t="s">
        <v>1794</v>
      </c>
      <c r="E565" s="11" t="s">
        <v>55</v>
      </c>
      <c r="F565" s="11" t="s">
        <v>237</v>
      </c>
      <c r="G565" s="11" t="s">
        <v>1001</v>
      </c>
      <c r="H565" s="11" t="s">
        <v>1002</v>
      </c>
      <c r="I565" s="20">
        <v>104.1</v>
      </c>
      <c r="J565" s="11" t="s">
        <v>999</v>
      </c>
      <c r="K565" s="14">
        <f>I565/30/2*8</f>
        <v>13.879999999999999</v>
      </c>
      <c r="L565" s="14">
        <v>50</v>
      </c>
      <c r="M565" s="6"/>
      <c r="N565" s="6"/>
    </row>
    <row r="566" spans="1:14" ht="22.5">
      <c r="A566" s="6" t="s">
        <v>1987</v>
      </c>
      <c r="B566" s="6" t="s">
        <v>1003</v>
      </c>
      <c r="C566" s="6" t="s">
        <v>1004</v>
      </c>
      <c r="D566" s="6" t="s">
        <v>1005</v>
      </c>
      <c r="E566" s="11" t="s">
        <v>55</v>
      </c>
      <c r="F566" s="11" t="s">
        <v>302</v>
      </c>
      <c r="G566" s="11" t="s">
        <v>11</v>
      </c>
      <c r="H566" s="11" t="s">
        <v>12</v>
      </c>
      <c r="I566" s="20">
        <v>258.39999999999998</v>
      </c>
      <c r="J566" s="11" t="s">
        <v>702</v>
      </c>
      <c r="K566" s="14">
        <f>I566/50/200*1000</f>
        <v>25.839999999999996</v>
      </c>
      <c r="L566" s="14">
        <v>50</v>
      </c>
      <c r="M566" s="6"/>
      <c r="N566" s="6"/>
    </row>
    <row r="567" spans="1:14" ht="22.5">
      <c r="A567" s="6" t="s">
        <v>1988</v>
      </c>
      <c r="B567" s="6" t="s">
        <v>1003</v>
      </c>
      <c r="C567" s="6" t="s">
        <v>1004</v>
      </c>
      <c r="D567" s="6" t="s">
        <v>1006</v>
      </c>
      <c r="E567" s="11" t="s">
        <v>55</v>
      </c>
      <c r="F567" s="11" t="s">
        <v>1007</v>
      </c>
      <c r="G567" s="11" t="s">
        <v>24</v>
      </c>
      <c r="H567" s="11" t="s">
        <v>12</v>
      </c>
      <c r="I567" s="20">
        <v>258.39999999999998</v>
      </c>
      <c r="J567" s="11" t="s">
        <v>702</v>
      </c>
      <c r="K567" s="14">
        <f>I567/50/200*1000</f>
        <v>25.839999999999996</v>
      </c>
      <c r="L567" s="14">
        <v>50</v>
      </c>
      <c r="M567" s="6"/>
      <c r="N567" s="6"/>
    </row>
    <row r="568" spans="1:14" ht="22.5">
      <c r="A568" s="6" t="s">
        <v>1989</v>
      </c>
      <c r="B568" s="6" t="s">
        <v>1003</v>
      </c>
      <c r="C568" s="6" t="s">
        <v>1004</v>
      </c>
      <c r="D568" s="6" t="s">
        <v>1008</v>
      </c>
      <c r="E568" s="11" t="s">
        <v>99</v>
      </c>
      <c r="F568" s="11" t="s">
        <v>1884</v>
      </c>
      <c r="G568" s="11" t="s">
        <v>1880</v>
      </c>
      <c r="H568" s="11" t="s">
        <v>50</v>
      </c>
      <c r="I568" s="20">
        <v>410.4</v>
      </c>
      <c r="J568" s="11" t="s">
        <v>702</v>
      </c>
      <c r="K568" s="14">
        <f>I568/2/2.5*1</f>
        <v>82.08</v>
      </c>
      <c r="L568" s="14">
        <v>50</v>
      </c>
      <c r="M568" s="6"/>
      <c r="N568" s="6" t="s">
        <v>2235</v>
      </c>
    </row>
    <row r="569" spans="1:14" ht="33.75">
      <c r="A569" s="6" t="s">
        <v>1990</v>
      </c>
      <c r="B569" s="6" t="s">
        <v>1003</v>
      </c>
      <c r="C569" s="6" t="s">
        <v>1004</v>
      </c>
      <c r="D569" s="6" t="s">
        <v>1009</v>
      </c>
      <c r="E569" s="11" t="s">
        <v>1010</v>
      </c>
      <c r="F569" s="11" t="s">
        <v>1011</v>
      </c>
      <c r="G569" s="11" t="s">
        <v>2142</v>
      </c>
      <c r="H569" s="11" t="s">
        <v>2143</v>
      </c>
      <c r="I569" s="20">
        <v>479.8</v>
      </c>
      <c r="J569" s="11" t="s">
        <v>702</v>
      </c>
      <c r="K569" s="14">
        <f>I569/30/400*1000</f>
        <v>39.983333333333334</v>
      </c>
      <c r="L569" s="14">
        <v>50</v>
      </c>
      <c r="M569" s="6"/>
      <c r="N569" s="6"/>
    </row>
    <row r="570" spans="1:14" ht="45">
      <c r="A570" s="6" t="s">
        <v>1991</v>
      </c>
      <c r="B570" s="6" t="s">
        <v>1012</v>
      </c>
      <c r="C570" s="6" t="s">
        <v>2973</v>
      </c>
      <c r="D570" s="6" t="s">
        <v>1013</v>
      </c>
      <c r="E570" s="11" t="s">
        <v>94</v>
      </c>
      <c r="F570" s="11" t="s">
        <v>3010</v>
      </c>
      <c r="G570" s="11" t="s">
        <v>3001</v>
      </c>
      <c r="H570" s="11" t="s">
        <v>3008</v>
      </c>
      <c r="I570" s="20">
        <v>397.1</v>
      </c>
      <c r="J570" s="11" t="s">
        <v>123</v>
      </c>
      <c r="K570" s="14">
        <f>I570/150/50*1500</f>
        <v>79.42</v>
      </c>
      <c r="L570" s="14">
        <v>50</v>
      </c>
      <c r="M570" s="6"/>
      <c r="N570" s="6"/>
    </row>
    <row r="571" spans="1:14" ht="33.75">
      <c r="A571" s="6" t="s">
        <v>1992</v>
      </c>
      <c r="B571" s="6" t="s">
        <v>1012</v>
      </c>
      <c r="C571" s="6" t="s">
        <v>2974</v>
      </c>
      <c r="D571" s="6" t="s">
        <v>1013</v>
      </c>
      <c r="E571" s="11" t="s">
        <v>1014</v>
      </c>
      <c r="F571" s="11" t="s">
        <v>3009</v>
      </c>
      <c r="G571" s="11" t="s">
        <v>304</v>
      </c>
      <c r="H571" s="11" t="s">
        <v>136</v>
      </c>
      <c r="I571" s="20">
        <v>339.8</v>
      </c>
      <c r="J571" s="11" t="s">
        <v>123</v>
      </c>
      <c r="K571" s="14">
        <f>I571/30/478*1500</f>
        <v>35.543933054393307</v>
      </c>
      <c r="L571" s="14">
        <v>50</v>
      </c>
      <c r="M571" s="6"/>
      <c r="N571" s="6"/>
    </row>
    <row r="572" spans="1:14" ht="33.75">
      <c r="A572" s="9" t="s">
        <v>1015</v>
      </c>
      <c r="B572" s="6" t="s">
        <v>1012</v>
      </c>
      <c r="C572" s="6" t="s">
        <v>1016</v>
      </c>
      <c r="D572" s="6" t="s">
        <v>1017</v>
      </c>
      <c r="E572" s="11" t="s">
        <v>427</v>
      </c>
      <c r="F572" s="11" t="s">
        <v>1018</v>
      </c>
      <c r="G572" s="11" t="s">
        <v>23</v>
      </c>
      <c r="H572" s="11" t="s">
        <v>12</v>
      </c>
      <c r="I572" s="20">
        <v>339.8</v>
      </c>
      <c r="J572" s="11" t="s">
        <v>123</v>
      </c>
      <c r="K572" s="14">
        <f>I572/30/478*1500</f>
        <v>35.543933054393307</v>
      </c>
      <c r="L572" s="14">
        <v>50</v>
      </c>
      <c r="M572" s="6"/>
      <c r="N572" s="6"/>
    </row>
    <row r="573" spans="1:14" ht="56.25">
      <c r="A573" s="6" t="s">
        <v>1993</v>
      </c>
      <c r="B573" s="6" t="s">
        <v>1019</v>
      </c>
      <c r="C573" s="6" t="s">
        <v>1020</v>
      </c>
      <c r="D573" s="6" t="s">
        <v>1021</v>
      </c>
      <c r="E573" s="11" t="s">
        <v>55</v>
      </c>
      <c r="F573" s="11" t="s">
        <v>401</v>
      </c>
      <c r="G573" s="5" t="s">
        <v>2994</v>
      </c>
      <c r="H573" s="11" t="s">
        <v>829</v>
      </c>
      <c r="I573" s="20">
        <v>142.69999999999999</v>
      </c>
      <c r="J573" s="11" t="s">
        <v>297</v>
      </c>
      <c r="K573" s="14">
        <f>I573/30/25*300</f>
        <v>57.079999999999991</v>
      </c>
      <c r="L573" s="14">
        <v>50</v>
      </c>
      <c r="M573" s="6" t="s">
        <v>2242</v>
      </c>
      <c r="N573" s="6" t="s">
        <v>2243</v>
      </c>
    </row>
    <row r="574" spans="1:14" ht="56.25">
      <c r="A574" s="6" t="s">
        <v>1994</v>
      </c>
      <c r="B574" s="6" t="s">
        <v>1019</v>
      </c>
      <c r="C574" s="6" t="s">
        <v>1020</v>
      </c>
      <c r="D574" s="6" t="s">
        <v>1021</v>
      </c>
      <c r="E574" s="11" t="s">
        <v>55</v>
      </c>
      <c r="F574" s="11" t="s">
        <v>363</v>
      </c>
      <c r="G574" s="5" t="s">
        <v>2994</v>
      </c>
      <c r="H574" s="11" t="s">
        <v>829</v>
      </c>
      <c r="I574" s="20">
        <v>304.89999999999998</v>
      </c>
      <c r="J574" s="11" t="s">
        <v>297</v>
      </c>
      <c r="K574" s="14">
        <f>I574/30/50*300</f>
        <v>60.98</v>
      </c>
      <c r="L574" s="14">
        <v>50</v>
      </c>
      <c r="M574" s="6" t="s">
        <v>2242</v>
      </c>
      <c r="N574" s="6" t="s">
        <v>2243</v>
      </c>
    </row>
    <row r="575" spans="1:14" ht="56.25">
      <c r="A575" s="6" t="s">
        <v>1995</v>
      </c>
      <c r="B575" s="6" t="s">
        <v>1019</v>
      </c>
      <c r="C575" s="6" t="s">
        <v>1020</v>
      </c>
      <c r="D575" s="6" t="s">
        <v>1021</v>
      </c>
      <c r="E575" s="11" t="s">
        <v>55</v>
      </c>
      <c r="F575" s="11" t="s">
        <v>348</v>
      </c>
      <c r="G575" s="5" t="s">
        <v>2994</v>
      </c>
      <c r="H575" s="11" t="s">
        <v>829</v>
      </c>
      <c r="I575" s="20">
        <v>432.3</v>
      </c>
      <c r="J575" s="11" t="s">
        <v>297</v>
      </c>
      <c r="K575" s="14">
        <f>I575/30/100*300</f>
        <v>43.230000000000004</v>
      </c>
      <c r="L575" s="14">
        <v>50</v>
      </c>
      <c r="M575" s="6" t="s">
        <v>2242</v>
      </c>
      <c r="N575" s="6" t="s">
        <v>2243</v>
      </c>
    </row>
    <row r="576" spans="1:14" ht="56.25">
      <c r="A576" s="9" t="s">
        <v>1996</v>
      </c>
      <c r="B576" s="6" t="s">
        <v>1019</v>
      </c>
      <c r="C576" s="6" t="s">
        <v>1020</v>
      </c>
      <c r="D576" s="6" t="s">
        <v>1022</v>
      </c>
      <c r="E576" s="11" t="s">
        <v>55</v>
      </c>
      <c r="F576" s="11" t="s">
        <v>401</v>
      </c>
      <c r="G576" s="13" t="s">
        <v>2408</v>
      </c>
      <c r="H576" s="11" t="s">
        <v>2674</v>
      </c>
      <c r="I576" s="20">
        <v>142.69999999999999</v>
      </c>
      <c r="J576" s="11" t="s">
        <v>297</v>
      </c>
      <c r="K576" s="14">
        <f>I576/30/25*300</f>
        <v>57.079999999999991</v>
      </c>
      <c r="L576" s="14">
        <v>50</v>
      </c>
      <c r="M576" s="6" t="s">
        <v>2242</v>
      </c>
      <c r="N576" s="6" t="s">
        <v>2243</v>
      </c>
    </row>
    <row r="577" spans="1:14" ht="56.25">
      <c r="A577" s="9" t="s">
        <v>1997</v>
      </c>
      <c r="B577" s="6" t="s">
        <v>1019</v>
      </c>
      <c r="C577" s="6" t="s">
        <v>1020</v>
      </c>
      <c r="D577" s="6" t="s">
        <v>1022</v>
      </c>
      <c r="E577" s="11" t="s">
        <v>55</v>
      </c>
      <c r="F577" s="11" t="s">
        <v>363</v>
      </c>
      <c r="G577" s="13" t="s">
        <v>2408</v>
      </c>
      <c r="H577" s="11" t="s">
        <v>2674</v>
      </c>
      <c r="I577" s="20">
        <v>304.89999999999998</v>
      </c>
      <c r="J577" s="11" t="s">
        <v>297</v>
      </c>
      <c r="K577" s="14">
        <f>I577/30/50*300</f>
        <v>60.98</v>
      </c>
      <c r="L577" s="14">
        <v>50</v>
      </c>
      <c r="M577" s="6" t="s">
        <v>2242</v>
      </c>
      <c r="N577" s="6" t="s">
        <v>2243</v>
      </c>
    </row>
    <row r="578" spans="1:14" ht="56.25">
      <c r="A578" s="9" t="s">
        <v>1998</v>
      </c>
      <c r="B578" s="6" t="s">
        <v>1019</v>
      </c>
      <c r="C578" s="6" t="s">
        <v>1020</v>
      </c>
      <c r="D578" s="6" t="s">
        <v>1022</v>
      </c>
      <c r="E578" s="11" t="s">
        <v>55</v>
      </c>
      <c r="F578" s="11" t="s">
        <v>348</v>
      </c>
      <c r="G578" s="13" t="s">
        <v>2408</v>
      </c>
      <c r="H578" s="11" t="s">
        <v>2674</v>
      </c>
      <c r="I578" s="20">
        <v>432.3</v>
      </c>
      <c r="J578" s="11" t="s">
        <v>297</v>
      </c>
      <c r="K578" s="14">
        <f>I578/30/100*300</f>
        <v>43.230000000000004</v>
      </c>
      <c r="L578" s="14">
        <v>50</v>
      </c>
      <c r="M578" s="6" t="s">
        <v>2242</v>
      </c>
      <c r="N578" s="6" t="s">
        <v>2243</v>
      </c>
    </row>
    <row r="579" spans="1:14" ht="56.25">
      <c r="A579" s="9" t="s">
        <v>1999</v>
      </c>
      <c r="B579" s="6" t="s">
        <v>1019</v>
      </c>
      <c r="C579" s="6" t="s">
        <v>1020</v>
      </c>
      <c r="D579" s="6" t="s">
        <v>1022</v>
      </c>
      <c r="E579" s="11" t="s">
        <v>55</v>
      </c>
      <c r="F579" s="11" t="s">
        <v>303</v>
      </c>
      <c r="G579" s="13" t="s">
        <v>2408</v>
      </c>
      <c r="H579" s="11" t="s">
        <v>2674</v>
      </c>
      <c r="I579" s="20">
        <v>867.1</v>
      </c>
      <c r="J579" s="11" t="s">
        <v>297</v>
      </c>
      <c r="K579" s="14">
        <f>I579/30/200*300</f>
        <v>43.354999999999997</v>
      </c>
      <c r="L579" s="14">
        <v>50</v>
      </c>
      <c r="M579" s="6" t="s">
        <v>2242</v>
      </c>
      <c r="N579" s="6" t="s">
        <v>2243</v>
      </c>
    </row>
    <row r="580" spans="1:14" ht="56.25">
      <c r="A580" s="6" t="s">
        <v>2000</v>
      </c>
      <c r="B580" s="40" t="s">
        <v>1019</v>
      </c>
      <c r="C580" s="40" t="s">
        <v>1020</v>
      </c>
      <c r="D580" s="40" t="s">
        <v>1499</v>
      </c>
      <c r="E580" s="14" t="s">
        <v>55</v>
      </c>
      <c r="F580" s="14" t="s">
        <v>401</v>
      </c>
      <c r="G580" s="14" t="s">
        <v>3039</v>
      </c>
      <c r="H580" s="14" t="s">
        <v>3040</v>
      </c>
      <c r="I580" s="20">
        <v>142.69999999999999</v>
      </c>
      <c r="J580" s="14" t="s">
        <v>1500</v>
      </c>
      <c r="K580" s="14">
        <f>I580/30/25*300</f>
        <v>57.079999999999991</v>
      </c>
      <c r="L580" s="14">
        <v>50</v>
      </c>
      <c r="M580" s="6" t="s">
        <v>2242</v>
      </c>
      <c r="N580" s="6" t="s">
        <v>2243</v>
      </c>
    </row>
    <row r="581" spans="1:14" ht="56.25">
      <c r="A581" s="6" t="s">
        <v>2001</v>
      </c>
      <c r="B581" s="40" t="s">
        <v>1019</v>
      </c>
      <c r="C581" s="40" t="s">
        <v>1020</v>
      </c>
      <c r="D581" s="40" t="s">
        <v>1499</v>
      </c>
      <c r="E581" s="14" t="s">
        <v>55</v>
      </c>
      <c r="F581" s="14" t="s">
        <v>363</v>
      </c>
      <c r="G581" s="14" t="s">
        <v>3039</v>
      </c>
      <c r="H581" s="14" t="s">
        <v>3040</v>
      </c>
      <c r="I581" s="20">
        <v>304.89999999999998</v>
      </c>
      <c r="J581" s="14" t="s">
        <v>1500</v>
      </c>
      <c r="K581" s="14">
        <f>I581/30/50*300</f>
        <v>60.98</v>
      </c>
      <c r="L581" s="14">
        <v>50</v>
      </c>
      <c r="M581" s="6" t="s">
        <v>2242</v>
      </c>
      <c r="N581" s="6" t="s">
        <v>2243</v>
      </c>
    </row>
    <row r="582" spans="1:14" ht="56.25">
      <c r="A582" s="6" t="s">
        <v>2002</v>
      </c>
      <c r="B582" s="40" t="s">
        <v>1019</v>
      </c>
      <c r="C582" s="40" t="s">
        <v>1020</v>
      </c>
      <c r="D582" s="40" t="s">
        <v>1499</v>
      </c>
      <c r="E582" s="14" t="s">
        <v>55</v>
      </c>
      <c r="F582" s="14" t="s">
        <v>348</v>
      </c>
      <c r="G582" s="14" t="s">
        <v>3039</v>
      </c>
      <c r="H582" s="14" t="s">
        <v>3040</v>
      </c>
      <c r="I582" s="20">
        <v>432.3</v>
      </c>
      <c r="J582" s="14" t="s">
        <v>1500</v>
      </c>
      <c r="K582" s="14">
        <f>I582/30/100*300</f>
        <v>43.230000000000004</v>
      </c>
      <c r="L582" s="14">
        <v>50</v>
      </c>
      <c r="M582" s="6" t="s">
        <v>2242</v>
      </c>
      <c r="N582" s="6" t="s">
        <v>2243</v>
      </c>
    </row>
    <row r="583" spans="1:14" ht="56.25">
      <c r="A583" s="6" t="s">
        <v>2003</v>
      </c>
      <c r="B583" s="40" t="s">
        <v>1019</v>
      </c>
      <c r="C583" s="40" t="s">
        <v>1020</v>
      </c>
      <c r="D583" s="40" t="s">
        <v>1499</v>
      </c>
      <c r="E583" s="14" t="s">
        <v>55</v>
      </c>
      <c r="F583" s="14" t="s">
        <v>303</v>
      </c>
      <c r="G583" s="14" t="s">
        <v>3039</v>
      </c>
      <c r="H583" s="14" t="s">
        <v>3040</v>
      </c>
      <c r="I583" s="20">
        <v>867.1</v>
      </c>
      <c r="J583" s="14" t="s">
        <v>1500</v>
      </c>
      <c r="K583" s="14">
        <f>I583/30/200*300</f>
        <v>43.354999999999997</v>
      </c>
      <c r="L583" s="14">
        <v>50</v>
      </c>
      <c r="M583" s="6" t="s">
        <v>2242</v>
      </c>
      <c r="N583" s="6" t="s">
        <v>2243</v>
      </c>
    </row>
    <row r="584" spans="1:14" ht="33.75">
      <c r="A584" s="6" t="s">
        <v>2004</v>
      </c>
      <c r="B584" s="6" t="s">
        <v>1024</v>
      </c>
      <c r="C584" s="6" t="s">
        <v>1025</v>
      </c>
      <c r="D584" s="6" t="s">
        <v>1026</v>
      </c>
      <c r="E584" s="11" t="s">
        <v>65</v>
      </c>
      <c r="F584" s="11" t="s">
        <v>394</v>
      </c>
      <c r="G584" s="11" t="s">
        <v>2350</v>
      </c>
      <c r="H584" s="11" t="s">
        <v>2143</v>
      </c>
      <c r="I584" s="20">
        <v>275.39999999999998</v>
      </c>
      <c r="J584" s="11" t="s">
        <v>297</v>
      </c>
      <c r="K584" s="14">
        <f>I584/28/25*300</f>
        <v>118.02857142857142</v>
      </c>
      <c r="L584" s="14">
        <v>50</v>
      </c>
      <c r="M584" s="6" t="s">
        <v>2244</v>
      </c>
      <c r="N584" s="6" t="s">
        <v>2245</v>
      </c>
    </row>
    <row r="585" spans="1:14" ht="33.75">
      <c r="A585" s="6" t="s">
        <v>2005</v>
      </c>
      <c r="B585" s="6" t="s">
        <v>1024</v>
      </c>
      <c r="C585" s="6" t="s">
        <v>1025</v>
      </c>
      <c r="D585" s="6" t="s">
        <v>1026</v>
      </c>
      <c r="E585" s="11" t="s">
        <v>65</v>
      </c>
      <c r="F585" s="11" t="s">
        <v>361</v>
      </c>
      <c r="G585" s="11" t="s">
        <v>2350</v>
      </c>
      <c r="H585" s="11" t="s">
        <v>2143</v>
      </c>
      <c r="I585" s="20">
        <v>638.79999999999995</v>
      </c>
      <c r="J585" s="11" t="s">
        <v>297</v>
      </c>
      <c r="K585" s="14">
        <f>I585/28/50*300</f>
        <v>136.88571428571427</v>
      </c>
      <c r="L585" s="14">
        <v>50</v>
      </c>
      <c r="M585" s="6" t="s">
        <v>2244</v>
      </c>
      <c r="N585" s="6" t="s">
        <v>2245</v>
      </c>
    </row>
    <row r="586" spans="1:14" ht="33.75">
      <c r="A586" s="6" t="s">
        <v>2006</v>
      </c>
      <c r="B586" s="6" t="s">
        <v>1024</v>
      </c>
      <c r="C586" s="6" t="s">
        <v>1025</v>
      </c>
      <c r="D586" s="6" t="s">
        <v>1026</v>
      </c>
      <c r="E586" s="11" t="s">
        <v>65</v>
      </c>
      <c r="F586" s="11" t="s">
        <v>1027</v>
      </c>
      <c r="G586" s="11" t="s">
        <v>2350</v>
      </c>
      <c r="H586" s="11" t="s">
        <v>2143</v>
      </c>
      <c r="I586" s="20">
        <v>1133.2</v>
      </c>
      <c r="J586" s="11" t="s">
        <v>297</v>
      </c>
      <c r="K586" s="14">
        <f>I586/28/100*300</f>
        <v>121.41428571428573</v>
      </c>
      <c r="L586" s="14">
        <v>50</v>
      </c>
      <c r="M586" s="6" t="s">
        <v>2244</v>
      </c>
      <c r="N586" s="6" t="s">
        <v>2245</v>
      </c>
    </row>
    <row r="587" spans="1:14">
      <c r="A587" s="6" t="s">
        <v>1028</v>
      </c>
      <c r="B587" s="6" t="s">
        <v>1029</v>
      </c>
      <c r="C587" s="6" t="s">
        <v>1030</v>
      </c>
      <c r="D587" s="6" t="s">
        <v>1031</v>
      </c>
      <c r="E587" s="11" t="s">
        <v>81</v>
      </c>
      <c r="F587" s="11" t="s">
        <v>298</v>
      </c>
      <c r="G587" s="11" t="s">
        <v>2976</v>
      </c>
      <c r="H587" s="11" t="s">
        <v>39</v>
      </c>
      <c r="I587" s="20">
        <v>595.20000000000005</v>
      </c>
      <c r="J587" s="11" t="s">
        <v>806</v>
      </c>
      <c r="K587" s="14">
        <f>I587/50/300*1800</f>
        <v>71.424000000000007</v>
      </c>
      <c r="L587" s="14">
        <v>50</v>
      </c>
      <c r="M587" s="6" t="s">
        <v>2244</v>
      </c>
      <c r="N587" s="51"/>
    </row>
    <row r="588" spans="1:14" ht="22.5">
      <c r="A588" s="9" t="s">
        <v>1032</v>
      </c>
      <c r="B588" s="6" t="s">
        <v>1029</v>
      </c>
      <c r="C588" s="6" t="s">
        <v>1030</v>
      </c>
      <c r="D588" s="6" t="s">
        <v>1033</v>
      </c>
      <c r="E588" s="11" t="s">
        <v>81</v>
      </c>
      <c r="F588" s="11" t="s">
        <v>298</v>
      </c>
      <c r="G588" s="11" t="s">
        <v>545</v>
      </c>
      <c r="H588" s="11" t="s">
        <v>50</v>
      </c>
      <c r="I588" s="20">
        <v>595.20000000000005</v>
      </c>
      <c r="J588" s="11" t="s">
        <v>806</v>
      </c>
      <c r="K588" s="14">
        <f>I588/50/300*1800</f>
        <v>71.424000000000007</v>
      </c>
      <c r="L588" s="14">
        <v>50</v>
      </c>
      <c r="M588" s="6" t="s">
        <v>2244</v>
      </c>
      <c r="N588" s="51"/>
    </row>
    <row r="589" spans="1:14" ht="112.5">
      <c r="A589" s="6" t="s">
        <v>1040</v>
      </c>
      <c r="B589" s="6" t="s">
        <v>1034</v>
      </c>
      <c r="C589" s="6" t="s">
        <v>1035</v>
      </c>
      <c r="D589" s="6" t="s">
        <v>1036</v>
      </c>
      <c r="E589" s="11" t="s">
        <v>57</v>
      </c>
      <c r="F589" s="11" t="s">
        <v>1041</v>
      </c>
      <c r="G589" s="11" t="s">
        <v>1042</v>
      </c>
      <c r="H589" s="11" t="s">
        <v>136</v>
      </c>
      <c r="I589" s="20">
        <v>2553.1</v>
      </c>
      <c r="J589" s="11" t="s">
        <v>123</v>
      </c>
      <c r="K589" s="14">
        <f>I589/1/30000*1500</f>
        <v>127.655</v>
      </c>
      <c r="L589" s="14">
        <v>50</v>
      </c>
      <c r="M589" s="6" t="s">
        <v>2246</v>
      </c>
      <c r="N589" s="6" t="s">
        <v>2571</v>
      </c>
    </row>
    <row r="590" spans="1:14" ht="112.5">
      <c r="A590" s="6" t="s">
        <v>2007</v>
      </c>
      <c r="B590" s="6" t="s">
        <v>1034</v>
      </c>
      <c r="C590" s="6" t="s">
        <v>1035</v>
      </c>
      <c r="D590" s="6" t="s">
        <v>1043</v>
      </c>
      <c r="E590" s="11" t="s">
        <v>65</v>
      </c>
      <c r="F590" s="11" t="s">
        <v>1038</v>
      </c>
      <c r="G590" s="11" t="s">
        <v>23</v>
      </c>
      <c r="H590" s="11" t="s">
        <v>12</v>
      </c>
      <c r="I590" s="20">
        <v>1234.5</v>
      </c>
      <c r="J590" s="11" t="s">
        <v>123</v>
      </c>
      <c r="K590" s="14">
        <f>I590/60/500*1500</f>
        <v>61.725000000000001</v>
      </c>
      <c r="L590" s="14">
        <v>50</v>
      </c>
      <c r="M590" s="6" t="s">
        <v>2247</v>
      </c>
      <c r="N590" s="6" t="s">
        <v>2571</v>
      </c>
    </row>
    <row r="591" spans="1:14" ht="112.5">
      <c r="A591" s="6" t="s">
        <v>2008</v>
      </c>
      <c r="B591" s="6" t="s">
        <v>1034</v>
      </c>
      <c r="C591" s="6" t="s">
        <v>1035</v>
      </c>
      <c r="D591" s="6" t="s">
        <v>1043</v>
      </c>
      <c r="E591" s="11" t="s">
        <v>65</v>
      </c>
      <c r="F591" s="11" t="s">
        <v>1039</v>
      </c>
      <c r="G591" s="11" t="s">
        <v>23</v>
      </c>
      <c r="H591" s="11" t="s">
        <v>12</v>
      </c>
      <c r="I591" s="20">
        <v>2386.9</v>
      </c>
      <c r="J591" s="11" t="s">
        <v>123</v>
      </c>
      <c r="K591" s="14">
        <f>I591/60/1000*1500</f>
        <v>59.672499999999999</v>
      </c>
      <c r="L591" s="14">
        <v>50</v>
      </c>
      <c r="M591" s="6" t="s">
        <v>2247</v>
      </c>
      <c r="N591" s="6" t="s">
        <v>2571</v>
      </c>
    </row>
    <row r="592" spans="1:14" ht="112.5">
      <c r="A592" s="6" t="s">
        <v>2009</v>
      </c>
      <c r="B592" s="40" t="s">
        <v>1034</v>
      </c>
      <c r="C592" s="40" t="s">
        <v>1035</v>
      </c>
      <c r="D592" s="40" t="s">
        <v>1044</v>
      </c>
      <c r="E592" s="14" t="s">
        <v>65</v>
      </c>
      <c r="F592" s="14" t="s">
        <v>1037</v>
      </c>
      <c r="G592" s="13" t="s">
        <v>2408</v>
      </c>
      <c r="H592" s="11" t="s">
        <v>2674</v>
      </c>
      <c r="I592" s="20">
        <v>674.5</v>
      </c>
      <c r="J592" s="14" t="s">
        <v>123</v>
      </c>
      <c r="K592" s="14">
        <f>I592/60/250*1500</f>
        <v>67.45</v>
      </c>
      <c r="L592" s="14">
        <v>50</v>
      </c>
      <c r="M592" s="6" t="s">
        <v>2247</v>
      </c>
      <c r="N592" s="6" t="s">
        <v>2571</v>
      </c>
    </row>
    <row r="593" spans="1:14" ht="112.5">
      <c r="A593" s="6" t="s">
        <v>2010</v>
      </c>
      <c r="B593" s="40" t="s">
        <v>1034</v>
      </c>
      <c r="C593" s="40" t="s">
        <v>1035</v>
      </c>
      <c r="D593" s="40" t="s">
        <v>1044</v>
      </c>
      <c r="E593" s="14" t="s">
        <v>65</v>
      </c>
      <c r="F593" s="14" t="s">
        <v>1038</v>
      </c>
      <c r="G593" s="13" t="s">
        <v>2408</v>
      </c>
      <c r="H593" s="11" t="s">
        <v>2674</v>
      </c>
      <c r="I593" s="20">
        <v>1234.5</v>
      </c>
      <c r="J593" s="14" t="s">
        <v>123</v>
      </c>
      <c r="K593" s="14">
        <f>I593/60/500*1500</f>
        <v>61.725000000000001</v>
      </c>
      <c r="L593" s="14">
        <v>50</v>
      </c>
      <c r="M593" s="6" t="s">
        <v>2247</v>
      </c>
      <c r="N593" s="6" t="s">
        <v>2571</v>
      </c>
    </row>
    <row r="594" spans="1:14" ht="112.5">
      <c r="A594" s="6" t="s">
        <v>2011</v>
      </c>
      <c r="B594" s="40" t="s">
        <v>1034</v>
      </c>
      <c r="C594" s="40" t="s">
        <v>1035</v>
      </c>
      <c r="D594" s="40" t="s">
        <v>1044</v>
      </c>
      <c r="E594" s="14" t="s">
        <v>65</v>
      </c>
      <c r="F594" s="14" t="s">
        <v>1039</v>
      </c>
      <c r="G594" s="13" t="s">
        <v>2408</v>
      </c>
      <c r="H594" s="11" t="s">
        <v>2674</v>
      </c>
      <c r="I594" s="20">
        <v>2386.9</v>
      </c>
      <c r="J594" s="14" t="s">
        <v>123</v>
      </c>
      <c r="K594" s="14">
        <f>I594/60/1000*1500</f>
        <v>59.672499999999999</v>
      </c>
      <c r="L594" s="14">
        <v>50</v>
      </c>
      <c r="M594" s="6" t="s">
        <v>2247</v>
      </c>
      <c r="N594" s="6" t="s">
        <v>2571</v>
      </c>
    </row>
    <row r="595" spans="1:14" ht="112.5">
      <c r="A595" s="9" t="s">
        <v>1429</v>
      </c>
      <c r="B595" s="6" t="s">
        <v>1034</v>
      </c>
      <c r="C595" s="6" t="s">
        <v>1035</v>
      </c>
      <c r="D595" s="6" t="s">
        <v>2992</v>
      </c>
      <c r="E595" s="11" t="s">
        <v>65</v>
      </c>
      <c r="F595" s="11" t="s">
        <v>1037</v>
      </c>
      <c r="G595" s="11" t="s">
        <v>1422</v>
      </c>
      <c r="H595" s="11" t="s">
        <v>12</v>
      </c>
      <c r="I595" s="20">
        <v>674.5</v>
      </c>
      <c r="J595" s="11" t="s">
        <v>123</v>
      </c>
      <c r="K595" s="14">
        <f>I595/60/250*1500</f>
        <v>67.45</v>
      </c>
      <c r="L595" s="14">
        <v>50</v>
      </c>
      <c r="M595" s="6" t="s">
        <v>2247</v>
      </c>
      <c r="N595" s="6" t="s">
        <v>2571</v>
      </c>
    </row>
    <row r="596" spans="1:14" ht="112.5">
      <c r="A596" s="9" t="s">
        <v>1430</v>
      </c>
      <c r="B596" s="6" t="s">
        <v>1034</v>
      </c>
      <c r="C596" s="6" t="s">
        <v>1035</v>
      </c>
      <c r="D596" s="6" t="s">
        <v>2992</v>
      </c>
      <c r="E596" s="11" t="s">
        <v>65</v>
      </c>
      <c r="F596" s="11" t="s">
        <v>1038</v>
      </c>
      <c r="G596" s="11" t="s">
        <v>1422</v>
      </c>
      <c r="H596" s="11" t="s">
        <v>12</v>
      </c>
      <c r="I596" s="20">
        <v>1234.5</v>
      </c>
      <c r="J596" s="11" t="s">
        <v>123</v>
      </c>
      <c r="K596" s="14">
        <f>I596/60/500*1500</f>
        <v>61.725000000000001</v>
      </c>
      <c r="L596" s="14">
        <v>50</v>
      </c>
      <c r="M596" s="6" t="s">
        <v>2247</v>
      </c>
      <c r="N596" s="6" t="s">
        <v>2571</v>
      </c>
    </row>
    <row r="597" spans="1:14" ht="112.5">
      <c r="A597" s="9" t="s">
        <v>1431</v>
      </c>
      <c r="B597" s="6" t="s">
        <v>1034</v>
      </c>
      <c r="C597" s="6" t="s">
        <v>1035</v>
      </c>
      <c r="D597" s="6" t="s">
        <v>2992</v>
      </c>
      <c r="E597" s="11" t="s">
        <v>65</v>
      </c>
      <c r="F597" s="11" t="s">
        <v>1039</v>
      </c>
      <c r="G597" s="11" t="s">
        <v>1422</v>
      </c>
      <c r="H597" s="11" t="s">
        <v>12</v>
      </c>
      <c r="I597" s="20">
        <v>2386.9</v>
      </c>
      <c r="J597" s="11" t="s">
        <v>123</v>
      </c>
      <c r="K597" s="14">
        <f>I597/60/1000*1500</f>
        <v>59.672499999999999</v>
      </c>
      <c r="L597" s="14">
        <v>50</v>
      </c>
      <c r="M597" s="6" t="s">
        <v>2247</v>
      </c>
      <c r="N597" s="6" t="s">
        <v>2571</v>
      </c>
    </row>
    <row r="598" spans="1:14" ht="112.5">
      <c r="A598" s="6" t="s">
        <v>1509</v>
      </c>
      <c r="B598" s="40" t="s">
        <v>1034</v>
      </c>
      <c r="C598" s="40" t="s">
        <v>1035</v>
      </c>
      <c r="D598" s="40" t="s">
        <v>1510</v>
      </c>
      <c r="E598" s="14" t="s">
        <v>65</v>
      </c>
      <c r="F598" s="14" t="s">
        <v>1037</v>
      </c>
      <c r="G598" s="14" t="s">
        <v>1801</v>
      </c>
      <c r="H598" s="14" t="s">
        <v>1802</v>
      </c>
      <c r="I598" s="20">
        <v>674.5</v>
      </c>
      <c r="J598" s="14" t="s">
        <v>123</v>
      </c>
      <c r="K598" s="14">
        <f>I598/60/250*1500</f>
        <v>67.45</v>
      </c>
      <c r="L598" s="14">
        <v>50</v>
      </c>
      <c r="M598" s="6" t="s">
        <v>2247</v>
      </c>
      <c r="N598" s="6" t="s">
        <v>2571</v>
      </c>
    </row>
    <row r="599" spans="1:14" ht="112.5">
      <c r="A599" s="6" t="s">
        <v>2012</v>
      </c>
      <c r="B599" s="40" t="s">
        <v>1034</v>
      </c>
      <c r="C599" s="40" t="s">
        <v>1035</v>
      </c>
      <c r="D599" s="40" t="s">
        <v>1508</v>
      </c>
      <c r="E599" s="14" t="s">
        <v>65</v>
      </c>
      <c r="F599" s="14" t="s">
        <v>1038</v>
      </c>
      <c r="G599" s="14" t="s">
        <v>1801</v>
      </c>
      <c r="H599" s="14" t="s">
        <v>1802</v>
      </c>
      <c r="I599" s="20">
        <v>1234.5</v>
      </c>
      <c r="J599" s="14" t="s">
        <v>123</v>
      </c>
      <c r="K599" s="14">
        <f>I599/60/500*1500</f>
        <v>61.725000000000001</v>
      </c>
      <c r="L599" s="14">
        <v>50</v>
      </c>
      <c r="M599" s="6" t="s">
        <v>2247</v>
      </c>
      <c r="N599" s="6" t="s">
        <v>2571</v>
      </c>
    </row>
    <row r="600" spans="1:14" ht="112.5">
      <c r="A600" s="6" t="s">
        <v>2013</v>
      </c>
      <c r="B600" s="40" t="s">
        <v>1034</v>
      </c>
      <c r="C600" s="40" t="s">
        <v>1035</v>
      </c>
      <c r="D600" s="40" t="s">
        <v>1511</v>
      </c>
      <c r="E600" s="14" t="s">
        <v>65</v>
      </c>
      <c r="F600" s="14" t="s">
        <v>1039</v>
      </c>
      <c r="G600" s="14" t="s">
        <v>1801</v>
      </c>
      <c r="H600" s="14" t="s">
        <v>1802</v>
      </c>
      <c r="I600" s="20">
        <v>2386.9</v>
      </c>
      <c r="J600" s="14" t="s">
        <v>123</v>
      </c>
      <c r="K600" s="14">
        <f>I600/60/1000*1500</f>
        <v>59.672499999999999</v>
      </c>
      <c r="L600" s="14">
        <v>50</v>
      </c>
      <c r="M600" s="6" t="s">
        <v>2247</v>
      </c>
      <c r="N600" s="6" t="s">
        <v>2571</v>
      </c>
    </row>
    <row r="601" spans="1:14" ht="45">
      <c r="A601" s="37" t="s">
        <v>2687</v>
      </c>
      <c r="B601" s="37" t="s">
        <v>2572</v>
      </c>
      <c r="C601" s="37" t="s">
        <v>2573</v>
      </c>
      <c r="D601" s="37" t="s">
        <v>2688</v>
      </c>
      <c r="E601" s="39" t="s">
        <v>81</v>
      </c>
      <c r="F601" s="39" t="s">
        <v>394</v>
      </c>
      <c r="G601" s="39" t="s">
        <v>2689</v>
      </c>
      <c r="H601" s="39" t="s">
        <v>82</v>
      </c>
      <c r="I601" s="19">
        <v>789.8</v>
      </c>
      <c r="J601" s="39" t="s">
        <v>13</v>
      </c>
      <c r="K601" s="19">
        <f>(I601/28)/25*200</f>
        <v>225.65714285714282</v>
      </c>
      <c r="L601" s="19">
        <v>50</v>
      </c>
      <c r="M601" s="92" t="s">
        <v>2574</v>
      </c>
      <c r="N601" s="92" t="s">
        <v>2575</v>
      </c>
    </row>
    <row r="602" spans="1:14" ht="45">
      <c r="A602" s="37">
        <v>1084871</v>
      </c>
      <c r="B602" s="37" t="s">
        <v>2572</v>
      </c>
      <c r="C602" s="37" t="s">
        <v>2573</v>
      </c>
      <c r="D602" s="37" t="s">
        <v>2688</v>
      </c>
      <c r="E602" s="39" t="s">
        <v>81</v>
      </c>
      <c r="F602" s="39" t="s">
        <v>361</v>
      </c>
      <c r="G602" s="39" t="s">
        <v>2689</v>
      </c>
      <c r="H602" s="39" t="s">
        <v>82</v>
      </c>
      <c r="I602" s="19">
        <v>1123.8</v>
      </c>
      <c r="J602" s="39" t="s">
        <v>13</v>
      </c>
      <c r="K602" s="19">
        <f>(I602/28)/50*200</f>
        <v>160.54285714285714</v>
      </c>
      <c r="L602" s="19">
        <v>50</v>
      </c>
      <c r="M602" s="92" t="s">
        <v>2574</v>
      </c>
      <c r="N602" s="92" t="s">
        <v>2575</v>
      </c>
    </row>
    <row r="603" spans="1:14" ht="45">
      <c r="A603" s="37">
        <v>1084872</v>
      </c>
      <c r="B603" s="37" t="s">
        <v>2572</v>
      </c>
      <c r="C603" s="37" t="s">
        <v>2573</v>
      </c>
      <c r="D603" s="37" t="s">
        <v>2688</v>
      </c>
      <c r="E603" s="39" t="s">
        <v>81</v>
      </c>
      <c r="F603" s="39" t="s">
        <v>2576</v>
      </c>
      <c r="G603" s="39" t="s">
        <v>2689</v>
      </c>
      <c r="H603" s="39" t="s">
        <v>82</v>
      </c>
      <c r="I603" s="19">
        <v>5267.8</v>
      </c>
      <c r="J603" s="39" t="s">
        <v>13</v>
      </c>
      <c r="K603" s="19">
        <f>(I603/98)/100*200</f>
        <v>107.5061224489796</v>
      </c>
      <c r="L603" s="19">
        <v>50</v>
      </c>
      <c r="M603" s="92" t="s">
        <v>2574</v>
      </c>
      <c r="N603" s="92" t="s">
        <v>2575</v>
      </c>
    </row>
    <row r="604" spans="1:14" ht="67.5">
      <c r="A604" s="6" t="s">
        <v>1775</v>
      </c>
      <c r="B604" s="6" t="s">
        <v>2993</v>
      </c>
      <c r="C604" s="6" t="s">
        <v>1047</v>
      </c>
      <c r="D604" s="6" t="s">
        <v>1048</v>
      </c>
      <c r="E604" s="11" t="s">
        <v>1745</v>
      </c>
      <c r="F604" s="11" t="s">
        <v>2405</v>
      </c>
      <c r="G604" s="11" t="s">
        <v>3066</v>
      </c>
      <c r="H604" s="11" t="s">
        <v>3067</v>
      </c>
      <c r="I604" s="20">
        <v>275.3</v>
      </c>
      <c r="J604" s="11" t="s">
        <v>297</v>
      </c>
      <c r="K604" s="14">
        <f>+I604/56/25*300</f>
        <v>58.992857142857147</v>
      </c>
      <c r="L604" s="14">
        <v>50</v>
      </c>
      <c r="M604" s="51" t="s">
        <v>2248</v>
      </c>
      <c r="N604" s="51" t="s">
        <v>2249</v>
      </c>
    </row>
    <row r="605" spans="1:14" ht="67.5">
      <c r="A605" s="6" t="s">
        <v>1045</v>
      </c>
      <c r="B605" s="6" t="s">
        <v>2993</v>
      </c>
      <c r="C605" s="6" t="s">
        <v>1047</v>
      </c>
      <c r="D605" s="6" t="s">
        <v>1048</v>
      </c>
      <c r="E605" s="11" t="s">
        <v>81</v>
      </c>
      <c r="F605" s="11" t="s">
        <v>1049</v>
      </c>
      <c r="G605" s="11" t="s">
        <v>3066</v>
      </c>
      <c r="H605" s="11" t="s">
        <v>3067</v>
      </c>
      <c r="I605" s="19">
        <v>670.1</v>
      </c>
      <c r="J605" s="5" t="s">
        <v>297</v>
      </c>
      <c r="K605" s="19">
        <f>+(I605/56)/75*300</f>
        <v>47.864285714285714</v>
      </c>
      <c r="L605" s="14">
        <v>50</v>
      </c>
      <c r="M605" s="51" t="s">
        <v>2248</v>
      </c>
      <c r="N605" s="51" t="s">
        <v>2249</v>
      </c>
    </row>
    <row r="606" spans="1:14" ht="67.5">
      <c r="A606" s="6" t="s">
        <v>1050</v>
      </c>
      <c r="B606" s="6" t="s">
        <v>2993</v>
      </c>
      <c r="C606" s="8" t="s">
        <v>1047</v>
      </c>
      <c r="D606" s="8" t="s">
        <v>1048</v>
      </c>
      <c r="E606" s="11" t="s">
        <v>81</v>
      </c>
      <c r="F606" s="11" t="s">
        <v>1051</v>
      </c>
      <c r="G606" s="11" t="s">
        <v>3066</v>
      </c>
      <c r="H606" s="11" t="s">
        <v>3067</v>
      </c>
      <c r="I606" s="19">
        <v>1149.5</v>
      </c>
      <c r="J606" s="5" t="s">
        <v>297</v>
      </c>
      <c r="K606" s="18">
        <f>I606/56/150*300</f>
        <v>41.053571428571431</v>
      </c>
      <c r="L606" s="14">
        <v>50</v>
      </c>
      <c r="M606" s="51" t="s">
        <v>2248</v>
      </c>
      <c r="N606" s="51" t="s">
        <v>2249</v>
      </c>
    </row>
    <row r="607" spans="1:14" ht="67.5">
      <c r="A607" s="6" t="s">
        <v>1052</v>
      </c>
      <c r="B607" s="6" t="s">
        <v>2993</v>
      </c>
      <c r="C607" s="6" t="s">
        <v>1047</v>
      </c>
      <c r="D607" s="6" t="s">
        <v>1048</v>
      </c>
      <c r="E607" s="11" t="s">
        <v>81</v>
      </c>
      <c r="F607" s="11" t="s">
        <v>1053</v>
      </c>
      <c r="G607" s="11" t="s">
        <v>3066</v>
      </c>
      <c r="H607" s="11" t="s">
        <v>3067</v>
      </c>
      <c r="I607" s="19">
        <v>2209.6</v>
      </c>
      <c r="J607" s="11" t="s">
        <v>297</v>
      </c>
      <c r="K607" s="14">
        <f>I607/56/300*300</f>
        <v>39.457142857142856</v>
      </c>
      <c r="L607" s="14">
        <v>50</v>
      </c>
      <c r="M607" s="51" t="s">
        <v>2248</v>
      </c>
      <c r="N607" s="51" t="s">
        <v>2249</v>
      </c>
    </row>
    <row r="608" spans="1:14" ht="45">
      <c r="A608" s="8" t="s">
        <v>1433</v>
      </c>
      <c r="B608" s="8" t="s">
        <v>2993</v>
      </c>
      <c r="C608" s="8" t="s">
        <v>1047</v>
      </c>
      <c r="D608" s="8" t="s">
        <v>1432</v>
      </c>
      <c r="E608" s="5" t="s">
        <v>81</v>
      </c>
      <c r="F608" s="5" t="s">
        <v>2436</v>
      </c>
      <c r="G608" s="5" t="s">
        <v>2610</v>
      </c>
      <c r="H608" s="5" t="s">
        <v>542</v>
      </c>
      <c r="I608" s="20">
        <v>717.9</v>
      </c>
      <c r="J608" s="5" t="s">
        <v>297</v>
      </c>
      <c r="K608" s="18">
        <f>I608/60/75*300</f>
        <v>47.86</v>
      </c>
      <c r="L608" s="14">
        <v>50</v>
      </c>
      <c r="M608" s="51" t="s">
        <v>2248</v>
      </c>
      <c r="N608" s="51" t="s">
        <v>2249</v>
      </c>
    </row>
    <row r="609" spans="1:14" ht="45">
      <c r="A609" s="8" t="s">
        <v>1434</v>
      </c>
      <c r="B609" s="8" t="s">
        <v>2993</v>
      </c>
      <c r="C609" s="8" t="s">
        <v>1047</v>
      </c>
      <c r="D609" s="8" t="s">
        <v>1432</v>
      </c>
      <c r="E609" s="5" t="s">
        <v>81</v>
      </c>
      <c r="F609" s="5" t="s">
        <v>845</v>
      </c>
      <c r="G609" s="5" t="s">
        <v>2610</v>
      </c>
      <c r="H609" s="5" t="s">
        <v>542</v>
      </c>
      <c r="I609" s="20">
        <v>1231.5999999999999</v>
      </c>
      <c r="J609" s="5" t="s">
        <v>297</v>
      </c>
      <c r="K609" s="18">
        <f>I609/60/150*300</f>
        <v>41.053333333333327</v>
      </c>
      <c r="L609" s="14">
        <v>50</v>
      </c>
      <c r="M609" s="51" t="s">
        <v>2248</v>
      </c>
      <c r="N609" s="51" t="s">
        <v>2249</v>
      </c>
    </row>
    <row r="610" spans="1:14" ht="45">
      <c r="A610" s="8" t="s">
        <v>2014</v>
      </c>
      <c r="B610" s="8" t="s">
        <v>2993</v>
      </c>
      <c r="C610" s="8" t="s">
        <v>1047</v>
      </c>
      <c r="D610" s="8" t="s">
        <v>1432</v>
      </c>
      <c r="E610" s="5" t="s">
        <v>81</v>
      </c>
      <c r="F610" s="5" t="s">
        <v>2754</v>
      </c>
      <c r="G610" s="5" t="s">
        <v>2610</v>
      </c>
      <c r="H610" s="5" t="s">
        <v>542</v>
      </c>
      <c r="I610" s="20">
        <v>1760.8</v>
      </c>
      <c r="J610" s="5" t="s">
        <v>297</v>
      </c>
      <c r="K610" s="18">
        <f>I610/90/50*300</f>
        <v>117.38666666666666</v>
      </c>
      <c r="L610" s="14">
        <v>50</v>
      </c>
      <c r="M610" s="51" t="s">
        <v>2248</v>
      </c>
      <c r="N610" s="51" t="s">
        <v>2249</v>
      </c>
    </row>
    <row r="611" spans="1:14" ht="45">
      <c r="A611" s="8" t="s">
        <v>1747</v>
      </c>
      <c r="B611" s="8" t="s">
        <v>2993</v>
      </c>
      <c r="C611" s="8" t="s">
        <v>1047</v>
      </c>
      <c r="D611" s="8" t="s">
        <v>1744</v>
      </c>
      <c r="E611" s="5" t="s">
        <v>1745</v>
      </c>
      <c r="F611" s="5" t="s">
        <v>362</v>
      </c>
      <c r="G611" s="5" t="s">
        <v>3007</v>
      </c>
      <c r="H611" s="5" t="s">
        <v>1746</v>
      </c>
      <c r="I611" s="19">
        <v>1095.5999999999999</v>
      </c>
      <c r="J611" s="5" t="s">
        <v>297</v>
      </c>
      <c r="K611" s="18">
        <f>I611/56/50*300</f>
        <v>117.38571428571427</v>
      </c>
      <c r="L611" s="14">
        <v>50</v>
      </c>
      <c r="M611" s="51" t="s">
        <v>2248</v>
      </c>
      <c r="N611" s="51" t="s">
        <v>2249</v>
      </c>
    </row>
    <row r="612" spans="1:14" ht="45">
      <c r="A612" s="8" t="s">
        <v>1748</v>
      </c>
      <c r="B612" s="8" t="s">
        <v>2993</v>
      </c>
      <c r="C612" s="8" t="s">
        <v>1047</v>
      </c>
      <c r="D612" s="8" t="s">
        <v>1744</v>
      </c>
      <c r="E612" s="5" t="s">
        <v>1745</v>
      </c>
      <c r="F612" s="5" t="s">
        <v>2743</v>
      </c>
      <c r="G612" s="5" t="s">
        <v>3007</v>
      </c>
      <c r="H612" s="5" t="s">
        <v>1746</v>
      </c>
      <c r="I612" s="19">
        <v>670.1</v>
      </c>
      <c r="J612" s="5" t="s">
        <v>297</v>
      </c>
      <c r="K612" s="19">
        <f>+(I612/56)/75*300</f>
        <v>47.864285714285714</v>
      </c>
      <c r="L612" s="14">
        <v>50</v>
      </c>
      <c r="M612" s="51" t="s">
        <v>2248</v>
      </c>
      <c r="N612" s="51" t="s">
        <v>2249</v>
      </c>
    </row>
    <row r="613" spans="1:14" ht="45">
      <c r="A613" s="8" t="s">
        <v>1749</v>
      </c>
      <c r="B613" s="8" t="s">
        <v>2993</v>
      </c>
      <c r="C613" s="8" t="s">
        <v>1047</v>
      </c>
      <c r="D613" s="8" t="s">
        <v>1744</v>
      </c>
      <c r="E613" s="5" t="s">
        <v>1745</v>
      </c>
      <c r="F613" s="5" t="s">
        <v>1750</v>
      </c>
      <c r="G613" s="5" t="s">
        <v>3007</v>
      </c>
      <c r="H613" s="5" t="s">
        <v>1746</v>
      </c>
      <c r="I613" s="19">
        <v>1149.5</v>
      </c>
      <c r="J613" s="5" t="s">
        <v>297</v>
      </c>
      <c r="K613" s="18">
        <f>I613/56/150*300</f>
        <v>41.053571428571431</v>
      </c>
      <c r="L613" s="14">
        <v>50</v>
      </c>
      <c r="M613" s="51" t="s">
        <v>2248</v>
      </c>
      <c r="N613" s="51" t="s">
        <v>2249</v>
      </c>
    </row>
    <row r="614" spans="1:14" ht="45">
      <c r="A614" s="8" t="s">
        <v>1751</v>
      </c>
      <c r="B614" s="8" t="s">
        <v>2993</v>
      </c>
      <c r="C614" s="8" t="s">
        <v>1047</v>
      </c>
      <c r="D614" s="8" t="s">
        <v>1744</v>
      </c>
      <c r="E614" s="5" t="s">
        <v>1745</v>
      </c>
      <c r="F614" s="5" t="s">
        <v>2407</v>
      </c>
      <c r="G614" s="5" t="s">
        <v>3007</v>
      </c>
      <c r="H614" s="5" t="s">
        <v>1746</v>
      </c>
      <c r="I614" s="19">
        <v>2080</v>
      </c>
      <c r="J614" s="5" t="s">
        <v>297</v>
      </c>
      <c r="K614" s="18">
        <f>I614/56/300*300</f>
        <v>37.142857142857146</v>
      </c>
      <c r="L614" s="14">
        <v>50</v>
      </c>
      <c r="M614" s="51" t="s">
        <v>2248</v>
      </c>
      <c r="N614" s="51" t="s">
        <v>2249</v>
      </c>
    </row>
    <row r="615" spans="1:14" ht="56.25">
      <c r="A615" s="8" t="s">
        <v>2015</v>
      </c>
      <c r="B615" s="8" t="s">
        <v>2993</v>
      </c>
      <c r="C615" s="8" t="s">
        <v>1047</v>
      </c>
      <c r="D615" s="8" t="s">
        <v>3068</v>
      </c>
      <c r="E615" s="5" t="s">
        <v>81</v>
      </c>
      <c r="F615" s="5" t="s">
        <v>1863</v>
      </c>
      <c r="G615" s="5" t="s">
        <v>3069</v>
      </c>
      <c r="H615" s="5" t="s">
        <v>3070</v>
      </c>
      <c r="I615" s="19">
        <v>670.1</v>
      </c>
      <c r="J615" s="5" t="s">
        <v>297</v>
      </c>
      <c r="K615" s="19">
        <f>+(I615/56)/75*300</f>
        <v>47.864285714285714</v>
      </c>
      <c r="L615" s="14">
        <v>50</v>
      </c>
      <c r="M615" s="51" t="s">
        <v>2330</v>
      </c>
      <c r="N615" s="51" t="s">
        <v>2331</v>
      </c>
    </row>
    <row r="616" spans="1:14" ht="56.25">
      <c r="A616" s="8" t="s">
        <v>2016</v>
      </c>
      <c r="B616" s="8" t="s">
        <v>2993</v>
      </c>
      <c r="C616" s="8" t="s">
        <v>1047</v>
      </c>
      <c r="D616" s="8" t="s">
        <v>3068</v>
      </c>
      <c r="E616" s="5" t="s">
        <v>81</v>
      </c>
      <c r="F616" s="5" t="s">
        <v>1864</v>
      </c>
      <c r="G616" s="5" t="s">
        <v>3069</v>
      </c>
      <c r="H616" s="5" t="s">
        <v>3070</v>
      </c>
      <c r="I616" s="19">
        <v>1149.5</v>
      </c>
      <c r="J616" s="5" t="s">
        <v>297</v>
      </c>
      <c r="K616" s="19">
        <f>+(I616/56)/150*300</f>
        <v>41.053571428571431</v>
      </c>
      <c r="L616" s="14">
        <v>50</v>
      </c>
      <c r="M616" s="51" t="s">
        <v>2330</v>
      </c>
      <c r="N616" s="51" t="s">
        <v>2331</v>
      </c>
    </row>
    <row r="617" spans="1:14" ht="45">
      <c r="A617" s="37" t="s">
        <v>2740</v>
      </c>
      <c r="B617" s="8" t="s">
        <v>1046</v>
      </c>
      <c r="C617" s="8" t="s">
        <v>1047</v>
      </c>
      <c r="D617" s="8" t="s">
        <v>2741</v>
      </c>
      <c r="E617" s="5" t="s">
        <v>81</v>
      </c>
      <c r="F617" s="5" t="s">
        <v>362</v>
      </c>
      <c r="G617" s="5" t="s">
        <v>24</v>
      </c>
      <c r="H617" s="5" t="s">
        <v>12</v>
      </c>
      <c r="I617" s="19">
        <v>1095.5999999999999</v>
      </c>
      <c r="J617" s="15" t="s">
        <v>297</v>
      </c>
      <c r="K617" s="18">
        <f>I617/56/50*300</f>
        <v>117.38571428571427</v>
      </c>
      <c r="L617" s="14">
        <v>50</v>
      </c>
      <c r="M617" s="51" t="s">
        <v>2330</v>
      </c>
      <c r="N617" s="51" t="s">
        <v>2331</v>
      </c>
    </row>
    <row r="618" spans="1:14" ht="45">
      <c r="A618" s="37" t="s">
        <v>2742</v>
      </c>
      <c r="B618" s="8" t="s">
        <v>1046</v>
      </c>
      <c r="C618" s="8" t="s">
        <v>1047</v>
      </c>
      <c r="D618" s="8" t="s">
        <v>2741</v>
      </c>
      <c r="E618" s="5" t="s">
        <v>81</v>
      </c>
      <c r="F618" s="5" t="s">
        <v>2743</v>
      </c>
      <c r="G618" s="5" t="s">
        <v>24</v>
      </c>
      <c r="H618" s="5" t="s">
        <v>12</v>
      </c>
      <c r="I618" s="19">
        <v>670.1</v>
      </c>
      <c r="J618" s="15" t="s">
        <v>297</v>
      </c>
      <c r="K618" s="19">
        <f>+(I618/56)/75*300</f>
        <v>47.864285714285714</v>
      </c>
      <c r="L618" s="14">
        <v>50</v>
      </c>
      <c r="M618" s="51" t="s">
        <v>2330</v>
      </c>
      <c r="N618" s="51" t="s">
        <v>2331</v>
      </c>
    </row>
    <row r="619" spans="1:14" ht="45">
      <c r="A619" s="37" t="s">
        <v>2744</v>
      </c>
      <c r="B619" s="8" t="s">
        <v>1046</v>
      </c>
      <c r="C619" s="8" t="s">
        <v>1047</v>
      </c>
      <c r="D619" s="8" t="s">
        <v>2741</v>
      </c>
      <c r="E619" s="5" t="s">
        <v>81</v>
      </c>
      <c r="F619" s="5" t="s">
        <v>1750</v>
      </c>
      <c r="G619" s="5" t="s">
        <v>24</v>
      </c>
      <c r="H619" s="5" t="s">
        <v>12</v>
      </c>
      <c r="I619" s="19">
        <v>1149.5</v>
      </c>
      <c r="J619" s="15" t="s">
        <v>297</v>
      </c>
      <c r="K619" s="18">
        <f>I619/56/150*300</f>
        <v>41.053571428571431</v>
      </c>
      <c r="L619" s="14">
        <v>50</v>
      </c>
      <c r="M619" s="51" t="s">
        <v>2330</v>
      </c>
      <c r="N619" s="51" t="s">
        <v>2331</v>
      </c>
    </row>
    <row r="620" spans="1:14" ht="45">
      <c r="A620" s="37" t="s">
        <v>2745</v>
      </c>
      <c r="B620" s="8" t="s">
        <v>1046</v>
      </c>
      <c r="C620" s="8" t="s">
        <v>1047</v>
      </c>
      <c r="D620" s="8" t="s">
        <v>2741</v>
      </c>
      <c r="E620" s="5" t="s">
        <v>81</v>
      </c>
      <c r="F620" s="5" t="s">
        <v>2407</v>
      </c>
      <c r="G620" s="5" t="s">
        <v>24</v>
      </c>
      <c r="H620" s="5" t="s">
        <v>12</v>
      </c>
      <c r="I620" s="19">
        <v>2080</v>
      </c>
      <c r="J620" s="15" t="s">
        <v>297</v>
      </c>
      <c r="K620" s="18">
        <f>I620/56/300*300</f>
        <v>37.142857142857146</v>
      </c>
      <c r="L620" s="14">
        <v>50</v>
      </c>
      <c r="M620" s="51" t="s">
        <v>2330</v>
      </c>
      <c r="N620" s="51" t="s">
        <v>2331</v>
      </c>
    </row>
    <row r="621" spans="1:14" ht="45">
      <c r="A621" s="72" t="s">
        <v>2746</v>
      </c>
      <c r="B621" s="10" t="s">
        <v>1046</v>
      </c>
      <c r="C621" s="10" t="s">
        <v>1047</v>
      </c>
      <c r="D621" s="10" t="s">
        <v>2747</v>
      </c>
      <c r="E621" s="27" t="s">
        <v>81</v>
      </c>
      <c r="F621" s="27" t="s">
        <v>362</v>
      </c>
      <c r="G621" s="27" t="s">
        <v>2748</v>
      </c>
      <c r="H621" s="27" t="s">
        <v>2749</v>
      </c>
      <c r="I621" s="19">
        <v>1095.5999999999999</v>
      </c>
      <c r="J621" s="15" t="s">
        <v>297</v>
      </c>
      <c r="K621" s="18">
        <f>I621/56/50*300</f>
        <v>117.38571428571427</v>
      </c>
      <c r="L621" s="14">
        <v>50</v>
      </c>
      <c r="M621" s="51" t="s">
        <v>2330</v>
      </c>
      <c r="N621" s="51" t="s">
        <v>2331</v>
      </c>
    </row>
    <row r="622" spans="1:14" ht="45">
      <c r="A622" s="72" t="s">
        <v>2750</v>
      </c>
      <c r="B622" s="10" t="s">
        <v>1046</v>
      </c>
      <c r="C622" s="10" t="s">
        <v>1047</v>
      </c>
      <c r="D622" s="10" t="s">
        <v>2747</v>
      </c>
      <c r="E622" s="27" t="s">
        <v>81</v>
      </c>
      <c r="F622" s="27" t="s">
        <v>2743</v>
      </c>
      <c r="G622" s="27" t="s">
        <v>2748</v>
      </c>
      <c r="H622" s="27" t="s">
        <v>2749</v>
      </c>
      <c r="I622" s="19">
        <v>670.1</v>
      </c>
      <c r="J622" s="15" t="s">
        <v>297</v>
      </c>
      <c r="K622" s="19">
        <f>+(I622/56)/75*300</f>
        <v>47.864285714285714</v>
      </c>
      <c r="L622" s="14">
        <v>50</v>
      </c>
      <c r="M622" s="51" t="s">
        <v>2330</v>
      </c>
      <c r="N622" s="51" t="s">
        <v>2331</v>
      </c>
    </row>
    <row r="623" spans="1:14" ht="45">
      <c r="A623" s="72" t="s">
        <v>2751</v>
      </c>
      <c r="B623" s="10" t="s">
        <v>1046</v>
      </c>
      <c r="C623" s="10" t="s">
        <v>1047</v>
      </c>
      <c r="D623" s="10" t="s">
        <v>2747</v>
      </c>
      <c r="E623" s="27" t="s">
        <v>81</v>
      </c>
      <c r="F623" s="27" t="s">
        <v>1750</v>
      </c>
      <c r="G623" s="27" t="s">
        <v>2748</v>
      </c>
      <c r="H623" s="27" t="s">
        <v>2749</v>
      </c>
      <c r="I623" s="19">
        <v>1149.5</v>
      </c>
      <c r="J623" s="15" t="s">
        <v>297</v>
      </c>
      <c r="K623" s="18">
        <f>I623/56/150*300</f>
        <v>41.053571428571431</v>
      </c>
      <c r="L623" s="14">
        <v>50</v>
      </c>
      <c r="M623" s="51" t="s">
        <v>2330</v>
      </c>
      <c r="N623" s="51" t="s">
        <v>2331</v>
      </c>
    </row>
    <row r="624" spans="1:14" ht="45">
      <c r="A624" s="37" t="s">
        <v>2752</v>
      </c>
      <c r="B624" s="8" t="s">
        <v>1046</v>
      </c>
      <c r="C624" s="8" t="s">
        <v>1047</v>
      </c>
      <c r="D624" s="8" t="s">
        <v>2753</v>
      </c>
      <c r="E624" s="5" t="s">
        <v>81</v>
      </c>
      <c r="F624" s="5" t="s">
        <v>2754</v>
      </c>
      <c r="G624" s="5" t="s">
        <v>2755</v>
      </c>
      <c r="H624" s="5" t="s">
        <v>1319</v>
      </c>
      <c r="I624" s="20">
        <v>1760.8</v>
      </c>
      <c r="J624" s="5" t="s">
        <v>297</v>
      </c>
      <c r="K624" s="18">
        <f>I624/90/50*300</f>
        <v>117.38666666666666</v>
      </c>
      <c r="L624" s="66">
        <v>50</v>
      </c>
      <c r="M624" s="51" t="s">
        <v>2330</v>
      </c>
      <c r="N624" s="51" t="s">
        <v>2331</v>
      </c>
    </row>
    <row r="625" spans="1:14" ht="45">
      <c r="A625" s="37" t="s">
        <v>2756</v>
      </c>
      <c r="B625" s="8" t="s">
        <v>1046</v>
      </c>
      <c r="C625" s="8" t="s">
        <v>1047</v>
      </c>
      <c r="D625" s="8" t="s">
        <v>2753</v>
      </c>
      <c r="E625" s="5" t="s">
        <v>81</v>
      </c>
      <c r="F625" s="5" t="s">
        <v>2743</v>
      </c>
      <c r="G625" s="5" t="s">
        <v>2755</v>
      </c>
      <c r="H625" s="5" t="s">
        <v>1319</v>
      </c>
      <c r="I625" s="84">
        <v>670.1</v>
      </c>
      <c r="J625" s="15" t="s">
        <v>297</v>
      </c>
      <c r="K625" s="19">
        <f>+(I625/56)/75*300</f>
        <v>47.864285714285714</v>
      </c>
      <c r="L625" s="66">
        <v>50</v>
      </c>
      <c r="M625" s="51" t="s">
        <v>2330</v>
      </c>
      <c r="N625" s="51" t="s">
        <v>2331</v>
      </c>
    </row>
    <row r="626" spans="1:14" ht="45">
      <c r="A626" s="37" t="s">
        <v>2757</v>
      </c>
      <c r="B626" s="8" t="s">
        <v>1046</v>
      </c>
      <c r="C626" s="8" t="s">
        <v>1047</v>
      </c>
      <c r="D626" s="8" t="s">
        <v>2753</v>
      </c>
      <c r="E626" s="5" t="s">
        <v>81</v>
      </c>
      <c r="F626" s="5" t="s">
        <v>1750</v>
      </c>
      <c r="G626" s="5" t="s">
        <v>2755</v>
      </c>
      <c r="H626" s="5" t="s">
        <v>1319</v>
      </c>
      <c r="I626" s="19">
        <v>1149.5</v>
      </c>
      <c r="J626" s="15" t="s">
        <v>297</v>
      </c>
      <c r="K626" s="18">
        <f>I626/56/150*300</f>
        <v>41.053571428571431</v>
      </c>
      <c r="L626" s="66">
        <v>50</v>
      </c>
      <c r="M626" s="51" t="s">
        <v>2330</v>
      </c>
      <c r="N626" s="51" t="s">
        <v>2331</v>
      </c>
    </row>
    <row r="627" spans="1:14" ht="45">
      <c r="A627" s="37" t="s">
        <v>2577</v>
      </c>
      <c r="B627" s="37" t="s">
        <v>2578</v>
      </c>
      <c r="C627" s="37" t="s">
        <v>2579</v>
      </c>
      <c r="D627" s="37" t="s">
        <v>2580</v>
      </c>
      <c r="E627" s="39" t="s">
        <v>65</v>
      </c>
      <c r="F627" s="65" t="s">
        <v>362</v>
      </c>
      <c r="G627" s="39" t="s">
        <v>2608</v>
      </c>
      <c r="H627" s="39" t="s">
        <v>2609</v>
      </c>
      <c r="I627" s="19">
        <v>1410.2</v>
      </c>
      <c r="J627" s="65" t="s">
        <v>297</v>
      </c>
      <c r="K627" s="84">
        <f>I627/56/50*300</f>
        <v>151.09285714285716</v>
      </c>
      <c r="L627" s="84">
        <v>50</v>
      </c>
      <c r="M627" s="92" t="s">
        <v>2581</v>
      </c>
      <c r="N627" s="92" t="s">
        <v>2582</v>
      </c>
    </row>
    <row r="628" spans="1:14" ht="45">
      <c r="A628" s="37" t="s">
        <v>2583</v>
      </c>
      <c r="B628" s="37" t="s">
        <v>2578</v>
      </c>
      <c r="C628" s="37" t="s">
        <v>2579</v>
      </c>
      <c r="D628" s="37" t="s">
        <v>2580</v>
      </c>
      <c r="E628" s="39" t="s">
        <v>65</v>
      </c>
      <c r="F628" s="65" t="s">
        <v>2406</v>
      </c>
      <c r="G628" s="39" t="s">
        <v>2608</v>
      </c>
      <c r="H628" s="39" t="s">
        <v>2609</v>
      </c>
      <c r="I628" s="19">
        <v>2839.3</v>
      </c>
      <c r="J628" s="39" t="s">
        <v>297</v>
      </c>
      <c r="K628" s="19">
        <f>I628/56/100*300</f>
        <v>152.10535714285714</v>
      </c>
      <c r="L628" s="19">
        <v>50</v>
      </c>
      <c r="M628" s="92" t="s">
        <v>2581</v>
      </c>
      <c r="N628" s="92" t="s">
        <v>2582</v>
      </c>
    </row>
    <row r="629" spans="1:14" ht="45">
      <c r="A629" s="37" t="s">
        <v>2584</v>
      </c>
      <c r="B629" s="37" t="s">
        <v>2578</v>
      </c>
      <c r="C629" s="37" t="s">
        <v>2579</v>
      </c>
      <c r="D629" s="37" t="s">
        <v>2580</v>
      </c>
      <c r="E629" s="39" t="s">
        <v>65</v>
      </c>
      <c r="F629" s="65" t="s">
        <v>2585</v>
      </c>
      <c r="G629" s="39" t="s">
        <v>2608</v>
      </c>
      <c r="H629" s="39" t="s">
        <v>2609</v>
      </c>
      <c r="I629" s="19">
        <v>5654</v>
      </c>
      <c r="J629" s="39" t="s">
        <v>297</v>
      </c>
      <c r="K629" s="19">
        <f>I629/56/200*300</f>
        <v>151.44642857142856</v>
      </c>
      <c r="L629" s="19">
        <v>50</v>
      </c>
      <c r="M629" s="92" t="s">
        <v>2581</v>
      </c>
      <c r="N629" s="92" t="s">
        <v>2582</v>
      </c>
    </row>
    <row r="630" spans="1:14" ht="45">
      <c r="A630" s="37">
        <v>1084563</v>
      </c>
      <c r="B630" s="37" t="s">
        <v>2578</v>
      </c>
      <c r="C630" s="29" t="s">
        <v>2579</v>
      </c>
      <c r="D630" s="29" t="s">
        <v>2758</v>
      </c>
      <c r="E630" s="15" t="s">
        <v>65</v>
      </c>
      <c r="F630" s="15" t="s">
        <v>362</v>
      </c>
      <c r="G630" s="5" t="s">
        <v>2759</v>
      </c>
      <c r="H630" s="5" t="s">
        <v>1319</v>
      </c>
      <c r="I630" s="19">
        <v>1410.2</v>
      </c>
      <c r="J630" s="65" t="s">
        <v>297</v>
      </c>
      <c r="K630" s="84">
        <f>I630/56/50*300</f>
        <v>151.09285714285716</v>
      </c>
      <c r="L630" s="19">
        <v>50</v>
      </c>
      <c r="M630" s="92" t="s">
        <v>2581</v>
      </c>
      <c r="N630" s="92" t="s">
        <v>2582</v>
      </c>
    </row>
    <row r="631" spans="1:14" ht="45">
      <c r="A631" s="37">
        <v>1084562</v>
      </c>
      <c r="B631" s="37" t="s">
        <v>2578</v>
      </c>
      <c r="C631" s="29" t="s">
        <v>2579</v>
      </c>
      <c r="D631" s="29" t="s">
        <v>2758</v>
      </c>
      <c r="E631" s="15" t="s">
        <v>65</v>
      </c>
      <c r="F631" s="15" t="s">
        <v>2406</v>
      </c>
      <c r="G631" s="5" t="s">
        <v>2759</v>
      </c>
      <c r="H631" s="5" t="s">
        <v>1319</v>
      </c>
      <c r="I631" s="19">
        <v>2839.3</v>
      </c>
      <c r="J631" s="39" t="s">
        <v>297</v>
      </c>
      <c r="K631" s="19">
        <f>I631/56/100*300</f>
        <v>152.10535714285714</v>
      </c>
      <c r="L631" s="19">
        <v>50</v>
      </c>
      <c r="M631" s="92" t="s">
        <v>2581</v>
      </c>
      <c r="N631" s="92" t="s">
        <v>2582</v>
      </c>
    </row>
    <row r="632" spans="1:14" ht="45">
      <c r="A632" s="37">
        <v>1084561</v>
      </c>
      <c r="B632" s="37" t="s">
        <v>2578</v>
      </c>
      <c r="C632" s="29" t="s">
        <v>2579</v>
      </c>
      <c r="D632" s="29" t="s">
        <v>2758</v>
      </c>
      <c r="E632" s="15" t="s">
        <v>65</v>
      </c>
      <c r="F632" s="15" t="s">
        <v>1750</v>
      </c>
      <c r="G632" s="5" t="s">
        <v>2759</v>
      </c>
      <c r="H632" s="5" t="s">
        <v>1319</v>
      </c>
      <c r="I632" s="19">
        <v>4247.2</v>
      </c>
      <c r="J632" s="39" t="s">
        <v>297</v>
      </c>
      <c r="K632" s="19">
        <f>(I632/56)/150*300</f>
        <v>151.68571428571428</v>
      </c>
      <c r="L632" s="19">
        <v>50</v>
      </c>
      <c r="M632" s="92" t="s">
        <v>2581</v>
      </c>
      <c r="N632" s="92" t="s">
        <v>2582</v>
      </c>
    </row>
    <row r="633" spans="1:14" ht="45">
      <c r="A633" s="37">
        <v>1084560</v>
      </c>
      <c r="B633" s="37" t="s">
        <v>2578</v>
      </c>
      <c r="C633" s="29" t="s">
        <v>2579</v>
      </c>
      <c r="D633" s="29" t="s">
        <v>2758</v>
      </c>
      <c r="E633" s="15" t="s">
        <v>65</v>
      </c>
      <c r="F633" s="15" t="s">
        <v>2585</v>
      </c>
      <c r="G633" s="5" t="s">
        <v>2759</v>
      </c>
      <c r="H633" s="5" t="s">
        <v>1319</v>
      </c>
      <c r="I633" s="19">
        <v>5654</v>
      </c>
      <c r="J633" s="65" t="s">
        <v>297</v>
      </c>
      <c r="K633" s="19">
        <f>I633/56/200*300</f>
        <v>151.44642857142856</v>
      </c>
      <c r="L633" s="19">
        <v>50</v>
      </c>
      <c r="M633" s="92" t="s">
        <v>2581</v>
      </c>
      <c r="N633" s="92" t="s">
        <v>2582</v>
      </c>
    </row>
    <row r="634" spans="1:14" ht="45">
      <c r="A634" s="37" t="s">
        <v>2760</v>
      </c>
      <c r="B634" s="8" t="s">
        <v>2578</v>
      </c>
      <c r="C634" s="4" t="s">
        <v>2579</v>
      </c>
      <c r="D634" s="8" t="s">
        <v>2761</v>
      </c>
      <c r="E634" s="5" t="s">
        <v>65</v>
      </c>
      <c r="F634" s="5" t="s">
        <v>362</v>
      </c>
      <c r="G634" s="5" t="s">
        <v>1739</v>
      </c>
      <c r="H634" s="5" t="s">
        <v>2520</v>
      </c>
      <c r="I634" s="19">
        <v>1410.2</v>
      </c>
      <c r="J634" s="65" t="s">
        <v>297</v>
      </c>
      <c r="K634" s="84">
        <f>I634/56/50*300</f>
        <v>151.09285714285716</v>
      </c>
      <c r="L634" s="19">
        <v>50</v>
      </c>
      <c r="M634" s="92" t="s">
        <v>2581</v>
      </c>
      <c r="N634" s="92" t="s">
        <v>2582</v>
      </c>
    </row>
    <row r="635" spans="1:14" ht="45">
      <c r="A635" s="37" t="s">
        <v>2762</v>
      </c>
      <c r="B635" s="8" t="s">
        <v>2578</v>
      </c>
      <c r="C635" s="4" t="s">
        <v>2579</v>
      </c>
      <c r="D635" s="8" t="s">
        <v>2761</v>
      </c>
      <c r="E635" s="5" t="s">
        <v>65</v>
      </c>
      <c r="F635" s="5" t="s">
        <v>2406</v>
      </c>
      <c r="G635" s="5" t="s">
        <v>1739</v>
      </c>
      <c r="H635" s="5" t="s">
        <v>2520</v>
      </c>
      <c r="I635" s="19">
        <v>2839.3</v>
      </c>
      <c r="J635" s="39" t="s">
        <v>297</v>
      </c>
      <c r="K635" s="19">
        <f>I635/56/100*300</f>
        <v>152.10535714285714</v>
      </c>
      <c r="L635" s="19">
        <v>50</v>
      </c>
      <c r="M635" s="92" t="s">
        <v>2581</v>
      </c>
      <c r="N635" s="92" t="s">
        <v>2582</v>
      </c>
    </row>
    <row r="636" spans="1:14" ht="45">
      <c r="A636" s="37" t="s">
        <v>2763</v>
      </c>
      <c r="B636" s="8" t="s">
        <v>2578</v>
      </c>
      <c r="C636" s="4" t="s">
        <v>2579</v>
      </c>
      <c r="D636" s="8" t="s">
        <v>2761</v>
      </c>
      <c r="E636" s="5" t="s">
        <v>65</v>
      </c>
      <c r="F636" s="5" t="s">
        <v>1750</v>
      </c>
      <c r="G636" s="5" t="s">
        <v>1739</v>
      </c>
      <c r="H636" s="5" t="s">
        <v>2520</v>
      </c>
      <c r="I636" s="19">
        <v>4247.2</v>
      </c>
      <c r="J636" s="39" t="s">
        <v>297</v>
      </c>
      <c r="K636" s="19">
        <f>(I636/56)/150*300</f>
        <v>151.68571428571428</v>
      </c>
      <c r="L636" s="19">
        <v>50</v>
      </c>
      <c r="M636" s="92" t="s">
        <v>2581</v>
      </c>
      <c r="N636" s="92" t="s">
        <v>2582</v>
      </c>
    </row>
    <row r="637" spans="1:14" ht="45">
      <c r="A637" s="37" t="s">
        <v>2764</v>
      </c>
      <c r="B637" s="8" t="s">
        <v>2578</v>
      </c>
      <c r="C637" s="4" t="s">
        <v>2579</v>
      </c>
      <c r="D637" s="8" t="s">
        <v>2761</v>
      </c>
      <c r="E637" s="5" t="s">
        <v>65</v>
      </c>
      <c r="F637" s="5" t="s">
        <v>2585</v>
      </c>
      <c r="G637" s="5" t="s">
        <v>1739</v>
      </c>
      <c r="H637" s="5" t="s">
        <v>2520</v>
      </c>
      <c r="I637" s="19">
        <v>5654</v>
      </c>
      <c r="J637" s="65" t="s">
        <v>297</v>
      </c>
      <c r="K637" s="19">
        <f>I637/56/200*300</f>
        <v>151.44642857142856</v>
      </c>
      <c r="L637" s="19">
        <v>50</v>
      </c>
      <c r="M637" s="92" t="s">
        <v>2581</v>
      </c>
      <c r="N637" s="92" t="s">
        <v>2582</v>
      </c>
    </row>
    <row r="638" spans="1:14" ht="33.75">
      <c r="A638" s="8" t="s">
        <v>2017</v>
      </c>
      <c r="B638" s="8" t="s">
        <v>1442</v>
      </c>
      <c r="C638" s="8" t="s">
        <v>1443</v>
      </c>
      <c r="D638" s="8" t="s">
        <v>1444</v>
      </c>
      <c r="E638" s="5" t="s">
        <v>55</v>
      </c>
      <c r="F638" s="5" t="s">
        <v>1445</v>
      </c>
      <c r="G638" s="5" t="s">
        <v>260</v>
      </c>
      <c r="H638" s="11" t="s">
        <v>2673</v>
      </c>
      <c r="I638" s="20">
        <v>265.10000000000002</v>
      </c>
      <c r="J638" s="11" t="s">
        <v>106</v>
      </c>
      <c r="K638" s="14">
        <f>I638/50/2*10</f>
        <v>26.51</v>
      </c>
      <c r="L638" s="14">
        <v>50</v>
      </c>
      <c r="M638" s="6"/>
      <c r="N638" s="6" t="s">
        <v>2250</v>
      </c>
    </row>
    <row r="639" spans="1:14" ht="45">
      <c r="A639" s="6" t="s">
        <v>2018</v>
      </c>
      <c r="B639" s="6" t="s">
        <v>1054</v>
      </c>
      <c r="C639" s="6" t="s">
        <v>1055</v>
      </c>
      <c r="D639" s="6" t="s">
        <v>1056</v>
      </c>
      <c r="E639" s="11" t="s">
        <v>55</v>
      </c>
      <c r="F639" s="11" t="s">
        <v>1057</v>
      </c>
      <c r="G639" s="11" t="s">
        <v>1058</v>
      </c>
      <c r="H639" s="13" t="s">
        <v>12</v>
      </c>
      <c r="I639" s="20">
        <v>2243.6</v>
      </c>
      <c r="J639" s="11" t="s">
        <v>801</v>
      </c>
      <c r="K639" s="14">
        <f>I639/100/200*600</f>
        <v>67.308000000000007</v>
      </c>
      <c r="L639" s="14">
        <v>50</v>
      </c>
      <c r="M639" s="6" t="s">
        <v>2251</v>
      </c>
      <c r="N639" s="6" t="s">
        <v>2252</v>
      </c>
    </row>
    <row r="640" spans="1:14" ht="22.5">
      <c r="A640" s="6" t="s">
        <v>2019</v>
      </c>
      <c r="B640" s="6" t="s">
        <v>1054</v>
      </c>
      <c r="C640" s="6" t="s">
        <v>1055</v>
      </c>
      <c r="D640" s="6" t="s">
        <v>1059</v>
      </c>
      <c r="E640" s="11" t="s">
        <v>55</v>
      </c>
      <c r="F640" s="11" t="s">
        <v>1060</v>
      </c>
      <c r="G640" s="11" t="s">
        <v>392</v>
      </c>
      <c r="H640" s="11" t="s">
        <v>393</v>
      </c>
      <c r="I640" s="20">
        <v>2243.6</v>
      </c>
      <c r="J640" s="11" t="s">
        <v>801</v>
      </c>
      <c r="K640" s="14">
        <f>I640/100/200*600</f>
        <v>67.308000000000007</v>
      </c>
      <c r="L640" s="14">
        <v>50</v>
      </c>
      <c r="M640" s="6" t="s">
        <v>2251</v>
      </c>
      <c r="N640" s="6" t="s">
        <v>2252</v>
      </c>
    </row>
    <row r="641" spans="1:14" ht="22.5">
      <c r="A641" s="6" t="s">
        <v>2020</v>
      </c>
      <c r="B641" s="6" t="s">
        <v>1061</v>
      </c>
      <c r="C641" s="6" t="s">
        <v>2600</v>
      </c>
      <c r="D641" s="6" t="s">
        <v>2601</v>
      </c>
      <c r="E641" s="11" t="s">
        <v>65</v>
      </c>
      <c r="F641" s="11" t="s">
        <v>1023</v>
      </c>
      <c r="G641" s="11" t="s">
        <v>2602</v>
      </c>
      <c r="H641" s="11" t="s">
        <v>50</v>
      </c>
      <c r="I641" s="20">
        <v>464.29999999999995</v>
      </c>
      <c r="J641" s="11" t="s">
        <v>13</v>
      </c>
      <c r="K641" s="14">
        <f>I641/30/100*200</f>
        <v>30.953333333333326</v>
      </c>
      <c r="L641" s="14">
        <v>50</v>
      </c>
      <c r="M641" s="6" t="s">
        <v>2251</v>
      </c>
      <c r="N641" s="6" t="s">
        <v>2253</v>
      </c>
    </row>
    <row r="642" spans="1:14" ht="22.5">
      <c r="A642" s="6" t="s">
        <v>2022</v>
      </c>
      <c r="B642" s="6" t="s">
        <v>1064</v>
      </c>
      <c r="C642" s="6" t="s">
        <v>1065</v>
      </c>
      <c r="D642" s="6" t="s">
        <v>1537</v>
      </c>
      <c r="E642" s="11" t="s">
        <v>1066</v>
      </c>
      <c r="F642" s="11" t="s">
        <v>907</v>
      </c>
      <c r="G642" s="11" t="s">
        <v>11</v>
      </c>
      <c r="H642" s="11" t="s">
        <v>12</v>
      </c>
      <c r="I642" s="20">
        <v>103.1</v>
      </c>
      <c r="J642" s="11" t="s">
        <v>627</v>
      </c>
      <c r="K642" s="14">
        <f>I642/50/25*300</f>
        <v>24.744</v>
      </c>
      <c r="L642" s="14">
        <v>50</v>
      </c>
      <c r="M642" s="6"/>
      <c r="N642" s="6"/>
    </row>
    <row r="643" spans="1:14" ht="22.5">
      <c r="A643" s="6" t="s">
        <v>2023</v>
      </c>
      <c r="B643" s="6" t="s">
        <v>1067</v>
      </c>
      <c r="C643" s="6" t="s">
        <v>1068</v>
      </c>
      <c r="D643" s="6" t="s">
        <v>1069</v>
      </c>
      <c r="E643" s="11" t="s">
        <v>436</v>
      </c>
      <c r="F643" s="11" t="s">
        <v>1070</v>
      </c>
      <c r="G643" s="11" t="s">
        <v>24</v>
      </c>
      <c r="H643" s="11" t="s">
        <v>12</v>
      </c>
      <c r="I643" s="20">
        <v>106.9</v>
      </c>
      <c r="J643" s="11" t="s">
        <v>106</v>
      </c>
      <c r="K643" s="14">
        <f>I643/25/1*10</f>
        <v>42.76</v>
      </c>
      <c r="L643" s="14">
        <v>50</v>
      </c>
      <c r="M643" s="6"/>
      <c r="N643" s="6" t="s">
        <v>2255</v>
      </c>
    </row>
    <row r="644" spans="1:14" ht="22.5">
      <c r="A644" s="6" t="s">
        <v>2024</v>
      </c>
      <c r="B644" s="6" t="s">
        <v>1067</v>
      </c>
      <c r="C644" s="6" t="s">
        <v>1068</v>
      </c>
      <c r="D644" s="6" t="s">
        <v>1069</v>
      </c>
      <c r="E644" s="11" t="s">
        <v>436</v>
      </c>
      <c r="F644" s="11" t="s">
        <v>1071</v>
      </c>
      <c r="G644" s="11" t="s">
        <v>24</v>
      </c>
      <c r="H644" s="11" t="s">
        <v>12</v>
      </c>
      <c r="I644" s="20">
        <v>367.6</v>
      </c>
      <c r="J644" s="11" t="s">
        <v>106</v>
      </c>
      <c r="K644" s="14">
        <f>I644/25/5*10</f>
        <v>29.408000000000001</v>
      </c>
      <c r="L644" s="14">
        <v>50</v>
      </c>
      <c r="M644" s="6"/>
      <c r="N644" s="6" t="s">
        <v>2255</v>
      </c>
    </row>
    <row r="645" spans="1:14" ht="22.5">
      <c r="A645" s="6" t="s">
        <v>2025</v>
      </c>
      <c r="B645" s="40" t="s">
        <v>1067</v>
      </c>
      <c r="C645" s="40" t="s">
        <v>1068</v>
      </c>
      <c r="D645" s="40" t="s">
        <v>1472</v>
      </c>
      <c r="E645" s="14" t="s">
        <v>436</v>
      </c>
      <c r="F645" s="14" t="s">
        <v>2920</v>
      </c>
      <c r="G645" s="14" t="s">
        <v>1471</v>
      </c>
      <c r="H645" s="14" t="s">
        <v>43</v>
      </c>
      <c r="I645" s="20">
        <v>106.9</v>
      </c>
      <c r="J645" s="14" t="s">
        <v>106</v>
      </c>
      <c r="K645" s="14">
        <f>I645/25/1*10</f>
        <v>42.76</v>
      </c>
      <c r="L645" s="14">
        <v>50</v>
      </c>
      <c r="M645" s="6"/>
      <c r="N645" s="6" t="s">
        <v>2255</v>
      </c>
    </row>
    <row r="646" spans="1:14" ht="22.5">
      <c r="A646" s="6" t="s">
        <v>2026</v>
      </c>
      <c r="B646" s="40" t="s">
        <v>1067</v>
      </c>
      <c r="C646" s="40" t="s">
        <v>1068</v>
      </c>
      <c r="D646" s="40" t="s">
        <v>1472</v>
      </c>
      <c r="E646" s="14" t="s">
        <v>436</v>
      </c>
      <c r="F646" s="14" t="s">
        <v>2921</v>
      </c>
      <c r="G646" s="14" t="s">
        <v>1471</v>
      </c>
      <c r="H646" s="14" t="s">
        <v>43</v>
      </c>
      <c r="I646" s="20">
        <v>1167.9000000000001</v>
      </c>
      <c r="J646" s="14" t="s">
        <v>106</v>
      </c>
      <c r="K646" s="14">
        <f>I646/100/2.5*10</f>
        <v>46.715999999999994</v>
      </c>
      <c r="L646" s="14">
        <v>50</v>
      </c>
      <c r="M646" s="6"/>
      <c r="N646" s="6" t="s">
        <v>2255</v>
      </c>
    </row>
    <row r="647" spans="1:14" ht="22.5">
      <c r="A647" s="6" t="s">
        <v>2027</v>
      </c>
      <c r="B647" s="6" t="s">
        <v>1072</v>
      </c>
      <c r="C647" s="6" t="s">
        <v>1073</v>
      </c>
      <c r="D647" s="6" t="s">
        <v>1876</v>
      </c>
      <c r="E647" s="11" t="s">
        <v>55</v>
      </c>
      <c r="F647" s="11" t="s">
        <v>56</v>
      </c>
      <c r="G647" s="11" t="s">
        <v>24</v>
      </c>
      <c r="H647" s="11" t="s">
        <v>12</v>
      </c>
      <c r="I647" s="20">
        <v>442.3</v>
      </c>
      <c r="J647" s="11" t="s">
        <v>999</v>
      </c>
      <c r="K647" s="14">
        <f>I647/30/10*8</f>
        <v>11.794666666666668</v>
      </c>
      <c r="L647" s="14">
        <v>50</v>
      </c>
      <c r="M647" s="6"/>
      <c r="N647" s="6"/>
    </row>
    <row r="648" spans="1:14" ht="22.5">
      <c r="A648" s="6" t="s">
        <v>2028</v>
      </c>
      <c r="B648" s="6" t="s">
        <v>1072</v>
      </c>
      <c r="C648" s="6" t="s">
        <v>1073</v>
      </c>
      <c r="D648" s="6" t="s">
        <v>1876</v>
      </c>
      <c r="E648" s="11" t="s">
        <v>55</v>
      </c>
      <c r="F648" s="11" t="s">
        <v>1074</v>
      </c>
      <c r="G648" s="11" t="s">
        <v>24</v>
      </c>
      <c r="H648" s="11" t="s">
        <v>12</v>
      </c>
      <c r="I648" s="20">
        <v>217.9</v>
      </c>
      <c r="J648" s="11" t="s">
        <v>999</v>
      </c>
      <c r="K648" s="14">
        <f>I648/25/2*8</f>
        <v>34.864000000000004</v>
      </c>
      <c r="L648" s="14">
        <v>50</v>
      </c>
      <c r="M648" s="6"/>
      <c r="N648" s="6"/>
    </row>
    <row r="649" spans="1:14" ht="22.5">
      <c r="A649" s="6" t="s">
        <v>2029</v>
      </c>
      <c r="B649" s="6" t="s">
        <v>1072</v>
      </c>
      <c r="C649" s="6" t="s">
        <v>1073</v>
      </c>
      <c r="D649" s="67" t="s">
        <v>3041</v>
      </c>
      <c r="E649" s="11" t="s">
        <v>55</v>
      </c>
      <c r="F649" s="11" t="s">
        <v>1075</v>
      </c>
      <c r="G649" s="11" t="s">
        <v>20</v>
      </c>
      <c r="H649" s="11" t="s">
        <v>12</v>
      </c>
      <c r="I649" s="20">
        <v>218.7</v>
      </c>
      <c r="J649" s="11" t="s">
        <v>999</v>
      </c>
      <c r="K649" s="14">
        <f>I649/25/2*8</f>
        <v>34.991999999999997</v>
      </c>
      <c r="L649" s="14">
        <v>50</v>
      </c>
      <c r="M649" s="6"/>
      <c r="N649" s="6"/>
    </row>
    <row r="650" spans="1:14" ht="22.5">
      <c r="A650" s="6" t="s">
        <v>2030</v>
      </c>
      <c r="B650" s="6" t="s">
        <v>1072</v>
      </c>
      <c r="C650" s="6" t="s">
        <v>1073</v>
      </c>
      <c r="D650" s="67" t="s">
        <v>3041</v>
      </c>
      <c r="E650" s="11" t="s">
        <v>55</v>
      </c>
      <c r="F650" s="11" t="s">
        <v>56</v>
      </c>
      <c r="G650" s="11" t="s">
        <v>20</v>
      </c>
      <c r="H650" s="11" t="s">
        <v>12</v>
      </c>
      <c r="I650" s="20">
        <v>443.9</v>
      </c>
      <c r="J650" s="11" t="s">
        <v>999</v>
      </c>
      <c r="K650" s="14">
        <f>I650/30/10*8</f>
        <v>11.837333333333332</v>
      </c>
      <c r="L650" s="14">
        <v>50</v>
      </c>
      <c r="M650" s="6"/>
      <c r="N650" s="6"/>
    </row>
    <row r="651" spans="1:14" ht="22.5">
      <c r="A651" s="6" t="s">
        <v>2031</v>
      </c>
      <c r="B651" s="40" t="s">
        <v>1072</v>
      </c>
      <c r="C651" s="40" t="s">
        <v>1073</v>
      </c>
      <c r="D651" s="40" t="s">
        <v>2346</v>
      </c>
      <c r="E651" s="14" t="s">
        <v>55</v>
      </c>
      <c r="F651" s="14" t="s">
        <v>2347</v>
      </c>
      <c r="G651" s="14" t="s">
        <v>2348</v>
      </c>
      <c r="H651" s="14" t="s">
        <v>43</v>
      </c>
      <c r="I651" s="20">
        <v>217.9</v>
      </c>
      <c r="J651" s="14" t="s">
        <v>999</v>
      </c>
      <c r="K651" s="14">
        <f>I651/25/2*8</f>
        <v>34.864000000000004</v>
      </c>
      <c r="L651" s="14">
        <v>50</v>
      </c>
      <c r="M651" s="6"/>
      <c r="N651" s="6"/>
    </row>
    <row r="652" spans="1:14" ht="22.5">
      <c r="A652" s="6" t="s">
        <v>1490</v>
      </c>
      <c r="B652" s="40" t="s">
        <v>1072</v>
      </c>
      <c r="C652" s="40" t="s">
        <v>1073</v>
      </c>
      <c r="D652" s="8" t="s">
        <v>2346</v>
      </c>
      <c r="E652" s="14" t="s">
        <v>55</v>
      </c>
      <c r="F652" s="14" t="s">
        <v>2349</v>
      </c>
      <c r="G652" s="5" t="s">
        <v>2705</v>
      </c>
      <c r="H652" s="14" t="s">
        <v>43</v>
      </c>
      <c r="I652" s="20">
        <v>442.3</v>
      </c>
      <c r="J652" s="14" t="s">
        <v>999</v>
      </c>
      <c r="K652" s="14">
        <f>I652/30/10*8</f>
        <v>11.794666666666668</v>
      </c>
      <c r="L652" s="14">
        <v>50</v>
      </c>
      <c r="M652" s="6"/>
      <c r="N652" s="6"/>
    </row>
    <row r="653" spans="1:14" ht="45">
      <c r="A653" s="6" t="s">
        <v>1076</v>
      </c>
      <c r="B653" s="6" t="s">
        <v>1077</v>
      </c>
      <c r="C653" s="6" t="s">
        <v>1078</v>
      </c>
      <c r="D653" s="6" t="s">
        <v>1079</v>
      </c>
      <c r="E653" s="11" t="s">
        <v>65</v>
      </c>
      <c r="F653" s="11" t="s">
        <v>266</v>
      </c>
      <c r="G653" s="11" t="s">
        <v>24</v>
      </c>
      <c r="H653" s="11" t="s">
        <v>12</v>
      </c>
      <c r="I653" s="20">
        <v>899.7</v>
      </c>
      <c r="J653" s="11" t="s">
        <v>106</v>
      </c>
      <c r="K653" s="14">
        <f>I653/30/5*10</f>
        <v>59.980000000000004</v>
      </c>
      <c r="L653" s="14">
        <v>50</v>
      </c>
      <c r="M653" s="6" t="s">
        <v>2256</v>
      </c>
      <c r="N653" s="6" t="s">
        <v>2257</v>
      </c>
    </row>
    <row r="654" spans="1:14" ht="45">
      <c r="A654" s="6" t="s">
        <v>1080</v>
      </c>
      <c r="B654" s="6" t="s">
        <v>1077</v>
      </c>
      <c r="C654" s="6" t="s">
        <v>1078</v>
      </c>
      <c r="D654" s="6" t="s">
        <v>1079</v>
      </c>
      <c r="E654" s="11" t="s">
        <v>65</v>
      </c>
      <c r="F654" s="11" t="s">
        <v>56</v>
      </c>
      <c r="G654" s="11" t="s">
        <v>24</v>
      </c>
      <c r="H654" s="11" t="s">
        <v>12</v>
      </c>
      <c r="I654" s="20">
        <v>1790.8</v>
      </c>
      <c r="J654" s="11" t="s">
        <v>106</v>
      </c>
      <c r="K654" s="14">
        <f>I654/30/10*10</f>
        <v>59.693333333333328</v>
      </c>
      <c r="L654" s="14">
        <v>50</v>
      </c>
      <c r="M654" s="6" t="s">
        <v>2256</v>
      </c>
      <c r="N654" s="6" t="s">
        <v>2257</v>
      </c>
    </row>
    <row r="655" spans="1:14" ht="45">
      <c r="A655" s="9" t="s">
        <v>1081</v>
      </c>
      <c r="B655" s="6" t="s">
        <v>1077</v>
      </c>
      <c r="C655" s="6" t="s">
        <v>1078</v>
      </c>
      <c r="D655" s="6" t="s">
        <v>1082</v>
      </c>
      <c r="E655" s="11" t="s">
        <v>65</v>
      </c>
      <c r="F655" s="11" t="s">
        <v>473</v>
      </c>
      <c r="G655" s="34" t="s">
        <v>2441</v>
      </c>
      <c r="H655" s="34" t="s">
        <v>2443</v>
      </c>
      <c r="I655" s="20">
        <v>839.7</v>
      </c>
      <c r="J655" s="11" t="s">
        <v>106</v>
      </c>
      <c r="K655" s="14">
        <f>I655/28/5*10</f>
        <v>59.978571428571435</v>
      </c>
      <c r="L655" s="14">
        <v>50</v>
      </c>
      <c r="M655" s="6" t="s">
        <v>2256</v>
      </c>
      <c r="N655" s="6" t="s">
        <v>2257</v>
      </c>
    </row>
    <row r="656" spans="1:14" ht="45">
      <c r="A656" s="9" t="s">
        <v>1083</v>
      </c>
      <c r="B656" s="6" t="s">
        <v>1077</v>
      </c>
      <c r="C656" s="6" t="s">
        <v>1078</v>
      </c>
      <c r="D656" s="6" t="s">
        <v>1082</v>
      </c>
      <c r="E656" s="11" t="s">
        <v>65</v>
      </c>
      <c r="F656" s="11" t="s">
        <v>486</v>
      </c>
      <c r="G656" s="34" t="s">
        <v>2441</v>
      </c>
      <c r="H656" s="34" t="s">
        <v>2443</v>
      </c>
      <c r="I656" s="20">
        <v>1671.4</v>
      </c>
      <c r="J656" s="11" t="s">
        <v>106</v>
      </c>
      <c r="K656" s="14">
        <f>I656/28/10*10</f>
        <v>59.692857142857143</v>
      </c>
      <c r="L656" s="14">
        <v>50</v>
      </c>
      <c r="M656" s="6" t="s">
        <v>2256</v>
      </c>
      <c r="N656" s="6" t="s">
        <v>2257</v>
      </c>
    </row>
    <row r="657" spans="1:14" ht="45">
      <c r="A657" s="9" t="s">
        <v>1084</v>
      </c>
      <c r="B657" s="6" t="s">
        <v>1077</v>
      </c>
      <c r="C657" s="6" t="s">
        <v>1078</v>
      </c>
      <c r="D657" s="6" t="s">
        <v>1085</v>
      </c>
      <c r="E657" s="11" t="s">
        <v>55</v>
      </c>
      <c r="F657" s="11" t="s">
        <v>473</v>
      </c>
      <c r="G657" s="11" t="s">
        <v>1692</v>
      </c>
      <c r="H657" s="11" t="s">
        <v>1693</v>
      </c>
      <c r="I657" s="20">
        <v>839.7</v>
      </c>
      <c r="J657" s="11" t="s">
        <v>106</v>
      </c>
      <c r="K657" s="14">
        <f>I657/28/5*10</f>
        <v>59.978571428571435</v>
      </c>
      <c r="L657" s="14">
        <v>50</v>
      </c>
      <c r="M657" s="6" t="s">
        <v>2256</v>
      </c>
      <c r="N657" s="6" t="s">
        <v>2257</v>
      </c>
    </row>
    <row r="658" spans="1:14" ht="45">
      <c r="A658" s="9" t="s">
        <v>1086</v>
      </c>
      <c r="B658" s="6" t="s">
        <v>1077</v>
      </c>
      <c r="C658" s="6" t="s">
        <v>1078</v>
      </c>
      <c r="D658" s="6" t="s">
        <v>1085</v>
      </c>
      <c r="E658" s="11" t="s">
        <v>55</v>
      </c>
      <c r="F658" s="11" t="s">
        <v>486</v>
      </c>
      <c r="G658" s="11" t="s">
        <v>1692</v>
      </c>
      <c r="H658" s="11" t="s">
        <v>1693</v>
      </c>
      <c r="I658" s="20">
        <v>1671.4</v>
      </c>
      <c r="J658" s="11" t="s">
        <v>106</v>
      </c>
      <c r="K658" s="14">
        <f>I658/28/10*10</f>
        <v>59.692857142857143</v>
      </c>
      <c r="L658" s="14">
        <v>50</v>
      </c>
      <c r="M658" s="6" t="s">
        <v>2256</v>
      </c>
      <c r="N658" s="6" t="s">
        <v>2257</v>
      </c>
    </row>
    <row r="659" spans="1:14" ht="45">
      <c r="A659" s="9" t="s">
        <v>1092</v>
      </c>
      <c r="B659" s="6" t="s">
        <v>1077</v>
      </c>
      <c r="C659" s="6" t="s">
        <v>1078</v>
      </c>
      <c r="D659" s="6" t="s">
        <v>1093</v>
      </c>
      <c r="E659" s="11" t="s">
        <v>65</v>
      </c>
      <c r="F659" s="11" t="s">
        <v>266</v>
      </c>
      <c r="G659" s="11" t="s">
        <v>287</v>
      </c>
      <c r="H659" s="11" t="s">
        <v>12</v>
      </c>
      <c r="I659" s="20">
        <v>899.7</v>
      </c>
      <c r="J659" s="11" t="s">
        <v>106</v>
      </c>
      <c r="K659" s="14">
        <f>I659/30/5*10</f>
        <v>59.980000000000004</v>
      </c>
      <c r="L659" s="14">
        <v>50</v>
      </c>
      <c r="M659" s="6" t="s">
        <v>2256</v>
      </c>
      <c r="N659" s="6" t="s">
        <v>2257</v>
      </c>
    </row>
    <row r="660" spans="1:14" ht="45">
      <c r="A660" s="9" t="s">
        <v>1094</v>
      </c>
      <c r="B660" s="6" t="s">
        <v>1077</v>
      </c>
      <c r="C660" s="6" t="s">
        <v>1078</v>
      </c>
      <c r="D660" s="6" t="s">
        <v>1093</v>
      </c>
      <c r="E660" s="11" t="s">
        <v>65</v>
      </c>
      <c r="F660" s="11" t="s">
        <v>56</v>
      </c>
      <c r="G660" s="11" t="s">
        <v>287</v>
      </c>
      <c r="H660" s="11" t="s">
        <v>12</v>
      </c>
      <c r="I660" s="20">
        <v>1790.8</v>
      </c>
      <c r="J660" s="11" t="s">
        <v>106</v>
      </c>
      <c r="K660" s="14">
        <f>I660/30/10*10</f>
        <v>59.693333333333328</v>
      </c>
      <c r="L660" s="14">
        <v>50</v>
      </c>
      <c r="M660" s="6" t="s">
        <v>2256</v>
      </c>
      <c r="N660" s="6" t="s">
        <v>2257</v>
      </c>
    </row>
    <row r="661" spans="1:14" ht="45">
      <c r="A661" s="9" t="s">
        <v>2032</v>
      </c>
      <c r="B661" s="6" t="s">
        <v>1077</v>
      </c>
      <c r="C661" s="6" t="s">
        <v>1078</v>
      </c>
      <c r="D661" s="6" t="s">
        <v>1082</v>
      </c>
      <c r="E661" s="11" t="s">
        <v>1435</v>
      </c>
      <c r="F661" s="11" t="s">
        <v>38</v>
      </c>
      <c r="G661" s="34" t="s">
        <v>2441</v>
      </c>
      <c r="H661" s="34" t="s">
        <v>2443</v>
      </c>
      <c r="I661" s="20">
        <v>2519.6999999999998</v>
      </c>
      <c r="J661" s="11" t="s">
        <v>106</v>
      </c>
      <c r="K661" s="14">
        <f>I661/28/15*10</f>
        <v>59.992857142857147</v>
      </c>
      <c r="L661" s="14">
        <v>50</v>
      </c>
      <c r="M661" s="6" t="s">
        <v>2256</v>
      </c>
      <c r="N661" s="6" t="s">
        <v>2257</v>
      </c>
    </row>
    <row r="662" spans="1:14" ht="45">
      <c r="A662" s="9" t="s">
        <v>2033</v>
      </c>
      <c r="B662" s="6" t="s">
        <v>1077</v>
      </c>
      <c r="C662" s="6" t="s">
        <v>1078</v>
      </c>
      <c r="D662" s="6" t="s">
        <v>1082</v>
      </c>
      <c r="E662" s="11" t="s">
        <v>1435</v>
      </c>
      <c r="F662" s="11" t="s">
        <v>46</v>
      </c>
      <c r="G662" s="34" t="s">
        <v>2441</v>
      </c>
      <c r="H662" s="34" t="s">
        <v>2443</v>
      </c>
      <c r="I662" s="20">
        <v>3291.3</v>
      </c>
      <c r="J662" s="11" t="s">
        <v>106</v>
      </c>
      <c r="K662" s="14">
        <f>I662/28/20*10</f>
        <v>58.773214285714289</v>
      </c>
      <c r="L662" s="14">
        <v>50</v>
      </c>
      <c r="M662" s="6" t="s">
        <v>2256</v>
      </c>
      <c r="N662" s="6" t="s">
        <v>2257</v>
      </c>
    </row>
    <row r="663" spans="1:14" ht="45">
      <c r="A663" s="9" t="s">
        <v>1087</v>
      </c>
      <c r="B663" s="6" t="s">
        <v>1077</v>
      </c>
      <c r="C663" s="6" t="s">
        <v>1078</v>
      </c>
      <c r="D663" s="6" t="s">
        <v>1088</v>
      </c>
      <c r="E663" s="11" t="s">
        <v>978</v>
      </c>
      <c r="F663" s="11" t="s">
        <v>473</v>
      </c>
      <c r="G663" s="11" t="s">
        <v>1657</v>
      </c>
      <c r="H663" s="11" t="s">
        <v>829</v>
      </c>
      <c r="I663" s="20">
        <v>680.3</v>
      </c>
      <c r="J663" s="11" t="s">
        <v>106</v>
      </c>
      <c r="K663" s="14">
        <f>I663/28/5*10</f>
        <v>48.592857142857142</v>
      </c>
      <c r="L663" s="14">
        <v>50</v>
      </c>
      <c r="M663" s="6" t="s">
        <v>2256</v>
      </c>
      <c r="N663" s="6" t="s">
        <v>2257</v>
      </c>
    </row>
    <row r="664" spans="1:14" ht="45">
      <c r="A664" s="9" t="s">
        <v>1089</v>
      </c>
      <c r="B664" s="6" t="s">
        <v>1077</v>
      </c>
      <c r="C664" s="6" t="s">
        <v>1078</v>
      </c>
      <c r="D664" s="6" t="s">
        <v>1088</v>
      </c>
      <c r="E664" s="11" t="s">
        <v>978</v>
      </c>
      <c r="F664" s="11" t="s">
        <v>486</v>
      </c>
      <c r="G664" s="11" t="s">
        <v>1657</v>
      </c>
      <c r="H664" s="11" t="s">
        <v>829</v>
      </c>
      <c r="I664" s="20">
        <v>1360.7</v>
      </c>
      <c r="J664" s="11" t="s">
        <v>106</v>
      </c>
      <c r="K664" s="14">
        <f>I664/28/10*10</f>
        <v>48.596428571428575</v>
      </c>
      <c r="L664" s="14">
        <v>50</v>
      </c>
      <c r="M664" s="6" t="s">
        <v>2256</v>
      </c>
      <c r="N664" s="6" t="s">
        <v>2257</v>
      </c>
    </row>
    <row r="665" spans="1:14" ht="45">
      <c r="A665" s="9" t="s">
        <v>1090</v>
      </c>
      <c r="B665" s="6" t="s">
        <v>1077</v>
      </c>
      <c r="C665" s="6" t="s">
        <v>1078</v>
      </c>
      <c r="D665" s="6" t="s">
        <v>1088</v>
      </c>
      <c r="E665" s="11" t="s">
        <v>978</v>
      </c>
      <c r="F665" s="11" t="s">
        <v>38</v>
      </c>
      <c r="G665" s="11" t="s">
        <v>1657</v>
      </c>
      <c r="H665" s="11" t="s">
        <v>829</v>
      </c>
      <c r="I665" s="20">
        <v>2498</v>
      </c>
      <c r="J665" s="11" t="s">
        <v>106</v>
      </c>
      <c r="K665" s="14">
        <f>I665/28/15*10</f>
        <v>59.476190476190467</v>
      </c>
      <c r="L665" s="14">
        <v>50</v>
      </c>
      <c r="M665" s="6" t="s">
        <v>2256</v>
      </c>
      <c r="N665" s="6" t="s">
        <v>2257</v>
      </c>
    </row>
    <row r="666" spans="1:14" ht="45">
      <c r="A666" s="9" t="s">
        <v>1091</v>
      </c>
      <c r="B666" s="6" t="s">
        <v>1077</v>
      </c>
      <c r="C666" s="6" t="s">
        <v>1078</v>
      </c>
      <c r="D666" s="6" t="s">
        <v>1088</v>
      </c>
      <c r="E666" s="11" t="s">
        <v>978</v>
      </c>
      <c r="F666" s="11" t="s">
        <v>46</v>
      </c>
      <c r="G666" s="11" t="s">
        <v>1657</v>
      </c>
      <c r="H666" s="11" t="s">
        <v>829</v>
      </c>
      <c r="I666" s="20">
        <v>2847.2</v>
      </c>
      <c r="J666" s="11" t="s">
        <v>106</v>
      </c>
      <c r="K666" s="14">
        <f>I666/28/20*10</f>
        <v>50.842857142857142</v>
      </c>
      <c r="L666" s="14">
        <v>50</v>
      </c>
      <c r="M666" s="6" t="s">
        <v>2256</v>
      </c>
      <c r="N666" s="6" t="s">
        <v>2257</v>
      </c>
    </row>
    <row r="667" spans="1:14" ht="33.75">
      <c r="A667" s="9" t="s">
        <v>1095</v>
      </c>
      <c r="B667" s="6" t="s">
        <v>1096</v>
      </c>
      <c r="C667" s="6" t="s">
        <v>1097</v>
      </c>
      <c r="D667" s="6" t="s">
        <v>1098</v>
      </c>
      <c r="E667" s="11" t="s">
        <v>65</v>
      </c>
      <c r="F667" s="11" t="s">
        <v>341</v>
      </c>
      <c r="G667" s="11" t="s">
        <v>809</v>
      </c>
      <c r="H667" s="11" t="s">
        <v>242</v>
      </c>
      <c r="I667" s="20">
        <v>151.19999999999999</v>
      </c>
      <c r="J667" s="11" t="s">
        <v>410</v>
      </c>
      <c r="K667" s="14">
        <f>I667/20/1*5</f>
        <v>37.799999999999997</v>
      </c>
      <c r="L667" s="14">
        <v>50</v>
      </c>
      <c r="M667" s="6" t="s">
        <v>2258</v>
      </c>
      <c r="N667" s="6" t="s">
        <v>2259</v>
      </c>
    </row>
    <row r="668" spans="1:14" ht="33.75">
      <c r="A668" s="9" t="s">
        <v>1099</v>
      </c>
      <c r="B668" s="6" t="s">
        <v>1096</v>
      </c>
      <c r="C668" s="6" t="s">
        <v>1097</v>
      </c>
      <c r="D668" s="6" t="s">
        <v>1098</v>
      </c>
      <c r="E668" s="11" t="s">
        <v>65</v>
      </c>
      <c r="F668" s="11" t="s">
        <v>1100</v>
      </c>
      <c r="G668" s="11" t="s">
        <v>809</v>
      </c>
      <c r="H668" s="11" t="s">
        <v>242</v>
      </c>
      <c r="I668" s="20">
        <v>272.10000000000002</v>
      </c>
      <c r="J668" s="11" t="s">
        <v>410</v>
      </c>
      <c r="K668" s="14">
        <f>I668/20/2*5</f>
        <v>34.012500000000003</v>
      </c>
      <c r="L668" s="14">
        <v>50</v>
      </c>
      <c r="M668" s="6" t="s">
        <v>2258</v>
      </c>
      <c r="N668" s="6" t="s">
        <v>2259</v>
      </c>
    </row>
    <row r="669" spans="1:14" ht="33.75">
      <c r="A669" s="9" t="s">
        <v>1101</v>
      </c>
      <c r="B669" s="6" t="s">
        <v>1096</v>
      </c>
      <c r="C669" s="6" t="s">
        <v>1097</v>
      </c>
      <c r="D669" s="6" t="s">
        <v>1098</v>
      </c>
      <c r="E669" s="11" t="s">
        <v>65</v>
      </c>
      <c r="F669" s="11" t="s">
        <v>1102</v>
      </c>
      <c r="G669" s="11" t="s">
        <v>809</v>
      </c>
      <c r="H669" s="11" t="s">
        <v>242</v>
      </c>
      <c r="I669" s="20">
        <v>449.9</v>
      </c>
      <c r="J669" s="11" t="s">
        <v>410</v>
      </c>
      <c r="K669" s="14">
        <f>I669/20/3*5</f>
        <v>37.49166666666666</v>
      </c>
      <c r="L669" s="14">
        <v>50</v>
      </c>
      <c r="M669" s="6" t="s">
        <v>2258</v>
      </c>
      <c r="N669" s="6" t="s">
        <v>2259</v>
      </c>
    </row>
    <row r="670" spans="1:14" ht="33.75">
      <c r="A670" s="6" t="s">
        <v>2034</v>
      </c>
      <c r="B670" s="6" t="s">
        <v>1096</v>
      </c>
      <c r="C670" s="6" t="s">
        <v>1097</v>
      </c>
      <c r="D670" s="6" t="s">
        <v>1098</v>
      </c>
      <c r="E670" s="11" t="s">
        <v>65</v>
      </c>
      <c r="F670" s="11" t="s">
        <v>1103</v>
      </c>
      <c r="G670" s="11" t="s">
        <v>809</v>
      </c>
      <c r="H670" s="11" t="s">
        <v>242</v>
      </c>
      <c r="I670" s="20">
        <v>530.79999999999995</v>
      </c>
      <c r="J670" s="11" t="s">
        <v>410</v>
      </c>
      <c r="K670" s="14">
        <f>I670/20/4*5</f>
        <v>33.174999999999997</v>
      </c>
      <c r="L670" s="14">
        <v>50</v>
      </c>
      <c r="M670" s="6" t="s">
        <v>2258</v>
      </c>
      <c r="N670" s="6" t="s">
        <v>2259</v>
      </c>
    </row>
    <row r="671" spans="1:14" ht="33.75">
      <c r="A671" s="9" t="s">
        <v>1104</v>
      </c>
      <c r="B671" s="6" t="s">
        <v>1096</v>
      </c>
      <c r="C671" s="6" t="s">
        <v>1097</v>
      </c>
      <c r="D671" s="6" t="s">
        <v>1105</v>
      </c>
      <c r="E671" s="11" t="s">
        <v>65</v>
      </c>
      <c r="F671" s="11" t="s">
        <v>341</v>
      </c>
      <c r="G671" s="11" t="s">
        <v>24</v>
      </c>
      <c r="H671" s="11" t="s">
        <v>12</v>
      </c>
      <c r="I671" s="20">
        <v>151.19999999999999</v>
      </c>
      <c r="J671" s="11" t="s">
        <v>410</v>
      </c>
      <c r="K671" s="14">
        <f>I671/20/1*5</f>
        <v>37.799999999999997</v>
      </c>
      <c r="L671" s="14">
        <v>50</v>
      </c>
      <c r="M671" s="6" t="s">
        <v>2258</v>
      </c>
      <c r="N671" s="6" t="s">
        <v>2259</v>
      </c>
    </row>
    <row r="672" spans="1:14" ht="33.75">
      <c r="A672" s="9" t="s">
        <v>1106</v>
      </c>
      <c r="B672" s="6" t="s">
        <v>1096</v>
      </c>
      <c r="C672" s="6" t="s">
        <v>1097</v>
      </c>
      <c r="D672" s="6" t="s">
        <v>1105</v>
      </c>
      <c r="E672" s="11" t="s">
        <v>65</v>
      </c>
      <c r="F672" s="11" t="s">
        <v>1100</v>
      </c>
      <c r="G672" s="11" t="s">
        <v>24</v>
      </c>
      <c r="H672" s="11" t="s">
        <v>12</v>
      </c>
      <c r="I672" s="20">
        <v>272.10000000000002</v>
      </c>
      <c r="J672" s="11" t="s">
        <v>410</v>
      </c>
      <c r="K672" s="14">
        <f>I672/20/2*5</f>
        <v>34.012500000000003</v>
      </c>
      <c r="L672" s="14">
        <v>50</v>
      </c>
      <c r="M672" s="6" t="s">
        <v>2258</v>
      </c>
      <c r="N672" s="6" t="s">
        <v>2259</v>
      </c>
    </row>
    <row r="673" spans="1:14" ht="33.75">
      <c r="A673" s="9" t="s">
        <v>1107</v>
      </c>
      <c r="B673" s="6" t="s">
        <v>1096</v>
      </c>
      <c r="C673" s="6" t="s">
        <v>1097</v>
      </c>
      <c r="D673" s="6" t="s">
        <v>1105</v>
      </c>
      <c r="E673" s="11" t="s">
        <v>65</v>
      </c>
      <c r="F673" s="11" t="s">
        <v>1102</v>
      </c>
      <c r="G673" s="11" t="s">
        <v>24</v>
      </c>
      <c r="H673" s="11" t="s">
        <v>12</v>
      </c>
      <c r="I673" s="20">
        <v>449.9</v>
      </c>
      <c r="J673" s="11" t="s">
        <v>410</v>
      </c>
      <c r="K673" s="14">
        <f>I673/20/3*5</f>
        <v>37.49166666666666</v>
      </c>
      <c r="L673" s="14">
        <v>50</v>
      </c>
      <c r="M673" s="6" t="s">
        <v>2258</v>
      </c>
      <c r="N673" s="6" t="s">
        <v>2259</v>
      </c>
    </row>
    <row r="674" spans="1:14" ht="33.75">
      <c r="A674" s="9" t="s">
        <v>1108</v>
      </c>
      <c r="B674" s="6" t="s">
        <v>1096</v>
      </c>
      <c r="C674" s="6" t="s">
        <v>1097</v>
      </c>
      <c r="D674" s="6" t="s">
        <v>1105</v>
      </c>
      <c r="E674" s="11" t="s">
        <v>65</v>
      </c>
      <c r="F674" s="11" t="s">
        <v>1103</v>
      </c>
      <c r="G674" s="11" t="s">
        <v>24</v>
      </c>
      <c r="H674" s="11" t="s">
        <v>12</v>
      </c>
      <c r="I674" s="20">
        <v>530.79999999999995</v>
      </c>
      <c r="J674" s="11" t="s">
        <v>410</v>
      </c>
      <c r="K674" s="14">
        <f>I674/20/4*5</f>
        <v>33.174999999999997</v>
      </c>
      <c r="L674" s="14">
        <v>50</v>
      </c>
      <c r="M674" s="6" t="s">
        <v>2258</v>
      </c>
      <c r="N674" s="6" t="s">
        <v>2259</v>
      </c>
    </row>
    <row r="675" spans="1:14" ht="33.75">
      <c r="A675" s="9" t="s">
        <v>1109</v>
      </c>
      <c r="B675" s="6" t="s">
        <v>1096</v>
      </c>
      <c r="C675" s="6" t="s">
        <v>1097</v>
      </c>
      <c r="D675" s="6" t="s">
        <v>1110</v>
      </c>
      <c r="E675" s="11" t="s">
        <v>65</v>
      </c>
      <c r="F675" s="11" t="s">
        <v>1100</v>
      </c>
      <c r="G675" s="11" t="s">
        <v>769</v>
      </c>
      <c r="H675" s="11" t="s">
        <v>43</v>
      </c>
      <c r="I675" s="20">
        <v>272.10000000000002</v>
      </c>
      <c r="J675" s="11" t="s">
        <v>410</v>
      </c>
      <c r="K675" s="14">
        <f>I675/20/2*5</f>
        <v>34.012500000000003</v>
      </c>
      <c r="L675" s="14">
        <v>50</v>
      </c>
      <c r="M675" s="6" t="s">
        <v>2258</v>
      </c>
      <c r="N675" s="6" t="s">
        <v>2259</v>
      </c>
    </row>
    <row r="676" spans="1:14" ht="33.75">
      <c r="A676" s="9" t="s">
        <v>1111</v>
      </c>
      <c r="B676" s="6" t="s">
        <v>1096</v>
      </c>
      <c r="C676" s="6" t="s">
        <v>1097</v>
      </c>
      <c r="D676" s="6" t="s">
        <v>1110</v>
      </c>
      <c r="E676" s="11" t="s">
        <v>65</v>
      </c>
      <c r="F676" s="11" t="s">
        <v>1102</v>
      </c>
      <c r="G676" s="11" t="s">
        <v>769</v>
      </c>
      <c r="H676" s="11" t="s">
        <v>43</v>
      </c>
      <c r="I676" s="20">
        <v>449.9</v>
      </c>
      <c r="J676" s="11" t="s">
        <v>410</v>
      </c>
      <c r="K676" s="14">
        <f>I676/20/3*5</f>
        <v>37.49166666666666</v>
      </c>
      <c r="L676" s="14">
        <v>50</v>
      </c>
      <c r="M676" s="6" t="s">
        <v>2258</v>
      </c>
      <c r="N676" s="6" t="s">
        <v>2259</v>
      </c>
    </row>
    <row r="677" spans="1:14" ht="45">
      <c r="A677" s="9" t="s">
        <v>2035</v>
      </c>
      <c r="B677" s="6" t="s">
        <v>1096</v>
      </c>
      <c r="C677" s="6" t="s">
        <v>1097</v>
      </c>
      <c r="D677" s="6" t="s">
        <v>1112</v>
      </c>
      <c r="E677" s="11" t="s">
        <v>65</v>
      </c>
      <c r="F677" s="11" t="s">
        <v>341</v>
      </c>
      <c r="G677" s="13" t="s">
        <v>2408</v>
      </c>
      <c r="H677" s="11" t="s">
        <v>1531</v>
      </c>
      <c r="I677" s="20">
        <v>151.19999999999999</v>
      </c>
      <c r="J677" s="11" t="s">
        <v>410</v>
      </c>
      <c r="K677" s="14">
        <f>I677/20/1*5</f>
        <v>37.799999999999997</v>
      </c>
      <c r="L677" s="14">
        <v>50</v>
      </c>
      <c r="M677" s="6" t="s">
        <v>2258</v>
      </c>
      <c r="N677" s="6" t="s">
        <v>2259</v>
      </c>
    </row>
    <row r="678" spans="1:14" ht="56.25">
      <c r="A678" s="9" t="s">
        <v>2036</v>
      </c>
      <c r="B678" s="6" t="s">
        <v>1096</v>
      </c>
      <c r="C678" s="6" t="s">
        <v>1097</v>
      </c>
      <c r="D678" s="6" t="s">
        <v>1112</v>
      </c>
      <c r="E678" s="11" t="s">
        <v>65</v>
      </c>
      <c r="F678" s="11" t="s">
        <v>1100</v>
      </c>
      <c r="G678" s="13" t="s">
        <v>2408</v>
      </c>
      <c r="H678" s="11" t="s">
        <v>2674</v>
      </c>
      <c r="I678" s="20">
        <v>272.10000000000002</v>
      </c>
      <c r="J678" s="11" t="s">
        <v>410</v>
      </c>
      <c r="K678" s="14">
        <f>I678/20/2*5</f>
        <v>34.012500000000003</v>
      </c>
      <c r="L678" s="14">
        <v>50</v>
      </c>
      <c r="M678" s="6" t="s">
        <v>2258</v>
      </c>
      <c r="N678" s="6" t="s">
        <v>2259</v>
      </c>
    </row>
    <row r="679" spans="1:14" ht="56.25">
      <c r="A679" s="9" t="s">
        <v>2037</v>
      </c>
      <c r="B679" s="6" t="s">
        <v>1096</v>
      </c>
      <c r="C679" s="6" t="s">
        <v>1097</v>
      </c>
      <c r="D679" s="6" t="s">
        <v>1112</v>
      </c>
      <c r="E679" s="11" t="s">
        <v>65</v>
      </c>
      <c r="F679" s="11" t="s">
        <v>1102</v>
      </c>
      <c r="G679" s="13" t="s">
        <v>2408</v>
      </c>
      <c r="H679" s="11" t="s">
        <v>2674</v>
      </c>
      <c r="I679" s="20">
        <v>449.9</v>
      </c>
      <c r="J679" s="11" t="s">
        <v>410</v>
      </c>
      <c r="K679" s="14">
        <f>I679/20/3*5</f>
        <v>37.49166666666666</v>
      </c>
      <c r="L679" s="14">
        <v>50</v>
      </c>
      <c r="M679" s="6" t="s">
        <v>2258</v>
      </c>
      <c r="N679" s="6" t="s">
        <v>2259</v>
      </c>
    </row>
    <row r="680" spans="1:14" ht="33.75">
      <c r="A680" s="9" t="s">
        <v>1113</v>
      </c>
      <c r="B680" s="6" t="s">
        <v>1096</v>
      </c>
      <c r="C680" s="6" t="s">
        <v>1097</v>
      </c>
      <c r="D680" s="6" t="s">
        <v>1114</v>
      </c>
      <c r="E680" s="11" t="s">
        <v>65</v>
      </c>
      <c r="F680" s="11" t="s">
        <v>1100</v>
      </c>
      <c r="G680" s="11" t="s">
        <v>287</v>
      </c>
      <c r="H680" s="11" t="s">
        <v>12</v>
      </c>
      <c r="I680" s="20">
        <v>272.10000000000002</v>
      </c>
      <c r="J680" s="11" t="s">
        <v>410</v>
      </c>
      <c r="K680" s="14">
        <f>I680/20/2*5</f>
        <v>34.012500000000003</v>
      </c>
      <c r="L680" s="14">
        <v>50</v>
      </c>
      <c r="M680" s="6" t="s">
        <v>2258</v>
      </c>
      <c r="N680" s="6" t="s">
        <v>2259</v>
      </c>
    </row>
    <row r="681" spans="1:14" ht="123.75">
      <c r="A681" s="6" t="s">
        <v>2038</v>
      </c>
      <c r="B681" s="6" t="s">
        <v>1096</v>
      </c>
      <c r="C681" s="6" t="s">
        <v>1097</v>
      </c>
      <c r="D681" s="6" t="s">
        <v>1098</v>
      </c>
      <c r="E681" s="11" t="s">
        <v>2351</v>
      </c>
      <c r="F681" s="11" t="s">
        <v>1115</v>
      </c>
      <c r="G681" s="11" t="s">
        <v>952</v>
      </c>
      <c r="H681" s="11" t="s">
        <v>643</v>
      </c>
      <c r="I681" s="20">
        <v>1174</v>
      </c>
      <c r="J681" s="11" t="s">
        <v>410</v>
      </c>
      <c r="K681" s="14">
        <f>I681/100*5</f>
        <v>58.7</v>
      </c>
      <c r="L681" s="14">
        <v>50</v>
      </c>
      <c r="M681" s="6" t="s">
        <v>2260</v>
      </c>
      <c r="N681" s="6" t="s">
        <v>2261</v>
      </c>
    </row>
    <row r="682" spans="1:14" ht="33.75">
      <c r="A682" s="37" t="s">
        <v>2470</v>
      </c>
      <c r="B682" s="8" t="s">
        <v>1096</v>
      </c>
      <c r="C682" s="8" t="s">
        <v>1097</v>
      </c>
      <c r="D682" s="8" t="s">
        <v>1114</v>
      </c>
      <c r="E682" s="5" t="s">
        <v>65</v>
      </c>
      <c r="F682" s="5" t="s">
        <v>237</v>
      </c>
      <c r="G682" s="5" t="s">
        <v>2451</v>
      </c>
      <c r="H682" s="5" t="s">
        <v>12</v>
      </c>
      <c r="I682" s="19">
        <v>408.1</v>
      </c>
      <c r="J682" s="5" t="s">
        <v>410</v>
      </c>
      <c r="K682" s="19">
        <f>(I682/30)/2*5</f>
        <v>34.008333333333333</v>
      </c>
      <c r="L682" s="14">
        <v>50</v>
      </c>
      <c r="M682" s="6" t="s">
        <v>2258</v>
      </c>
      <c r="N682" s="6" t="s">
        <v>2259</v>
      </c>
    </row>
    <row r="683" spans="1:14" ht="45">
      <c r="A683" s="8" t="s">
        <v>2039</v>
      </c>
      <c r="B683" s="8" t="s">
        <v>1658</v>
      </c>
      <c r="C683" s="68" t="s">
        <v>1659</v>
      </c>
      <c r="D683" s="8" t="s">
        <v>1660</v>
      </c>
      <c r="E683" s="5" t="s">
        <v>978</v>
      </c>
      <c r="F683" s="5" t="s">
        <v>56</v>
      </c>
      <c r="G683" s="5" t="s">
        <v>1661</v>
      </c>
      <c r="H683" s="5" t="s">
        <v>12</v>
      </c>
      <c r="I683" s="20">
        <v>1074.4000000000001</v>
      </c>
      <c r="J683" s="5" t="s">
        <v>1829</v>
      </c>
      <c r="K683" s="18">
        <f>I683/30/10*15</f>
        <v>53.720000000000013</v>
      </c>
      <c r="L683" s="18">
        <v>50</v>
      </c>
      <c r="M683" s="8" t="s">
        <v>2262</v>
      </c>
      <c r="N683" s="8" t="s">
        <v>2263</v>
      </c>
    </row>
    <row r="684" spans="1:14" ht="45">
      <c r="A684" s="8" t="s">
        <v>2040</v>
      </c>
      <c r="B684" s="8" t="s">
        <v>1658</v>
      </c>
      <c r="C684" s="68" t="s">
        <v>1659</v>
      </c>
      <c r="D684" s="8" t="s">
        <v>1660</v>
      </c>
      <c r="E684" s="5" t="s">
        <v>978</v>
      </c>
      <c r="F684" s="5" t="s">
        <v>989</v>
      </c>
      <c r="G684" s="5" t="s">
        <v>1661</v>
      </c>
      <c r="H684" s="5" t="s">
        <v>12</v>
      </c>
      <c r="I684" s="20">
        <v>1611.7</v>
      </c>
      <c r="J684" s="5" t="s">
        <v>1829</v>
      </c>
      <c r="K684" s="18">
        <f>I684/30/15*15</f>
        <v>53.723333333333336</v>
      </c>
      <c r="L684" s="18">
        <v>50</v>
      </c>
      <c r="M684" s="8" t="s">
        <v>2262</v>
      </c>
      <c r="N684" s="8" t="s">
        <v>2263</v>
      </c>
    </row>
    <row r="685" spans="1:14" ht="45">
      <c r="A685" s="8" t="s">
        <v>2041</v>
      </c>
      <c r="B685" s="8" t="s">
        <v>1658</v>
      </c>
      <c r="C685" s="68" t="s">
        <v>1659</v>
      </c>
      <c r="D685" s="8" t="s">
        <v>1663</v>
      </c>
      <c r="E685" s="5" t="s">
        <v>55</v>
      </c>
      <c r="F685" s="5" t="s">
        <v>266</v>
      </c>
      <c r="G685" s="5" t="s">
        <v>1694</v>
      </c>
      <c r="H685" s="5" t="s">
        <v>1573</v>
      </c>
      <c r="I685" s="20">
        <v>537.29999999999995</v>
      </c>
      <c r="J685" s="5" t="s">
        <v>1829</v>
      </c>
      <c r="K685" s="18">
        <f>I685/30/5*15</f>
        <v>53.73</v>
      </c>
      <c r="L685" s="18">
        <v>50</v>
      </c>
      <c r="M685" s="8" t="s">
        <v>2256</v>
      </c>
      <c r="N685" s="8" t="s">
        <v>2263</v>
      </c>
    </row>
    <row r="686" spans="1:14" ht="45">
      <c r="A686" s="8" t="s">
        <v>2042</v>
      </c>
      <c r="B686" s="8" t="s">
        <v>1658</v>
      </c>
      <c r="C686" s="68" t="s">
        <v>1659</v>
      </c>
      <c r="D686" s="8" t="s">
        <v>1663</v>
      </c>
      <c r="E686" s="5" t="s">
        <v>55</v>
      </c>
      <c r="F686" s="5" t="s">
        <v>56</v>
      </c>
      <c r="G686" s="5" t="s">
        <v>1694</v>
      </c>
      <c r="H686" s="5" t="s">
        <v>1573</v>
      </c>
      <c r="I686" s="20">
        <v>1074.4000000000001</v>
      </c>
      <c r="J686" s="5" t="s">
        <v>1829</v>
      </c>
      <c r="K686" s="18">
        <f>I686/30/10*15</f>
        <v>53.720000000000013</v>
      </c>
      <c r="L686" s="18">
        <v>50</v>
      </c>
      <c r="M686" s="8" t="s">
        <v>2256</v>
      </c>
      <c r="N686" s="8" t="s">
        <v>2263</v>
      </c>
    </row>
    <row r="687" spans="1:14" ht="45">
      <c r="A687" s="8" t="s">
        <v>2043</v>
      </c>
      <c r="B687" s="8" t="s">
        <v>1658</v>
      </c>
      <c r="C687" s="68" t="s">
        <v>1659</v>
      </c>
      <c r="D687" s="8" t="s">
        <v>1663</v>
      </c>
      <c r="E687" s="5" t="s">
        <v>55</v>
      </c>
      <c r="F687" s="5" t="s">
        <v>989</v>
      </c>
      <c r="G687" s="5" t="s">
        <v>1694</v>
      </c>
      <c r="H687" s="5" t="s">
        <v>1573</v>
      </c>
      <c r="I687" s="20">
        <v>1549.6</v>
      </c>
      <c r="J687" s="5" t="s">
        <v>1829</v>
      </c>
      <c r="K687" s="18">
        <f>I687/30/15*15</f>
        <v>51.653333333333329</v>
      </c>
      <c r="L687" s="18">
        <v>50</v>
      </c>
      <c r="M687" s="8" t="s">
        <v>2256</v>
      </c>
      <c r="N687" s="8" t="s">
        <v>2263</v>
      </c>
    </row>
    <row r="688" spans="1:14" ht="45">
      <c r="A688" s="8" t="s">
        <v>2044</v>
      </c>
      <c r="B688" s="8" t="s">
        <v>1658</v>
      </c>
      <c r="C688" s="68" t="s">
        <v>1659</v>
      </c>
      <c r="D688" s="8" t="s">
        <v>1826</v>
      </c>
      <c r="E688" s="5" t="s">
        <v>55</v>
      </c>
      <c r="F688" s="5" t="s">
        <v>918</v>
      </c>
      <c r="G688" s="5" t="s">
        <v>1827</v>
      </c>
      <c r="H688" s="5" t="s">
        <v>1828</v>
      </c>
      <c r="I688" s="20">
        <v>537.29999999999995</v>
      </c>
      <c r="J688" s="5" t="s">
        <v>1829</v>
      </c>
      <c r="K688" s="18">
        <f>I688/30/5*15</f>
        <v>53.73</v>
      </c>
      <c r="L688" s="18">
        <v>50</v>
      </c>
      <c r="M688" s="8" t="s">
        <v>2264</v>
      </c>
      <c r="N688" s="8" t="s">
        <v>2257</v>
      </c>
    </row>
    <row r="689" spans="1:14" ht="45">
      <c r="A689" s="8" t="s">
        <v>1830</v>
      </c>
      <c r="B689" s="8" t="s">
        <v>1658</v>
      </c>
      <c r="C689" s="68" t="s">
        <v>1659</v>
      </c>
      <c r="D689" s="8" t="s">
        <v>1826</v>
      </c>
      <c r="E689" s="5" t="s">
        <v>55</v>
      </c>
      <c r="F689" s="5" t="s">
        <v>1662</v>
      </c>
      <c r="G689" s="5" t="s">
        <v>1827</v>
      </c>
      <c r="H689" s="5" t="s">
        <v>1828</v>
      </c>
      <c r="I689" s="20">
        <v>1074.4000000000001</v>
      </c>
      <c r="J689" s="5" t="s">
        <v>1829</v>
      </c>
      <c r="K689" s="18">
        <f>I689/30/10*15</f>
        <v>53.720000000000013</v>
      </c>
      <c r="L689" s="18">
        <v>50</v>
      </c>
      <c r="M689" s="8" t="s">
        <v>2264</v>
      </c>
      <c r="N689" s="8" t="s">
        <v>2257</v>
      </c>
    </row>
    <row r="690" spans="1:14" ht="45">
      <c r="A690" s="8" t="s">
        <v>1831</v>
      </c>
      <c r="B690" s="8" t="s">
        <v>1658</v>
      </c>
      <c r="C690" s="68" t="s">
        <v>1659</v>
      </c>
      <c r="D690" s="8" t="s">
        <v>1826</v>
      </c>
      <c r="E690" s="5" t="s">
        <v>55</v>
      </c>
      <c r="F690" s="5" t="s">
        <v>1832</v>
      </c>
      <c r="G690" s="5" t="s">
        <v>1827</v>
      </c>
      <c r="H690" s="5" t="s">
        <v>1828</v>
      </c>
      <c r="I690" s="20">
        <v>1549.6</v>
      </c>
      <c r="J690" s="5" t="s">
        <v>1829</v>
      </c>
      <c r="K690" s="18">
        <f>I690/30/15*15</f>
        <v>51.653333333333329</v>
      </c>
      <c r="L690" s="18">
        <v>50</v>
      </c>
      <c r="M690" s="8" t="s">
        <v>2264</v>
      </c>
      <c r="N690" s="8" t="s">
        <v>2257</v>
      </c>
    </row>
    <row r="691" spans="1:14" ht="45">
      <c r="A691" s="8" t="s">
        <v>1833</v>
      </c>
      <c r="B691" s="8" t="s">
        <v>1658</v>
      </c>
      <c r="C691" s="68" t="s">
        <v>1659</v>
      </c>
      <c r="D691" s="8" t="s">
        <v>1826</v>
      </c>
      <c r="E691" s="5" t="s">
        <v>55</v>
      </c>
      <c r="F691" s="5" t="s">
        <v>1834</v>
      </c>
      <c r="G691" s="5" t="s">
        <v>1827</v>
      </c>
      <c r="H691" s="5" t="s">
        <v>1828</v>
      </c>
      <c r="I691" s="20">
        <v>3144.8</v>
      </c>
      <c r="J691" s="5" t="s">
        <v>1829</v>
      </c>
      <c r="K691" s="18">
        <f>I691/30/30*15</f>
        <v>52.413333333333334</v>
      </c>
      <c r="L691" s="18">
        <v>50</v>
      </c>
      <c r="M691" s="8" t="s">
        <v>2264</v>
      </c>
      <c r="N691" s="8" t="s">
        <v>2257</v>
      </c>
    </row>
    <row r="692" spans="1:14" ht="45">
      <c r="A692" s="8" t="s">
        <v>2045</v>
      </c>
      <c r="B692" s="8" t="s">
        <v>1658</v>
      </c>
      <c r="C692" s="68" t="s">
        <v>1659</v>
      </c>
      <c r="D692" s="8" t="s">
        <v>1835</v>
      </c>
      <c r="E692" s="5" t="s">
        <v>55</v>
      </c>
      <c r="F692" s="5" t="s">
        <v>56</v>
      </c>
      <c r="G692" s="5" t="s">
        <v>2976</v>
      </c>
      <c r="H692" s="5" t="s">
        <v>39</v>
      </c>
      <c r="I692" s="20">
        <v>1074.4000000000001</v>
      </c>
      <c r="J692" s="5" t="s">
        <v>1829</v>
      </c>
      <c r="K692" s="18">
        <f>I692/30/10*15</f>
        <v>53.720000000000013</v>
      </c>
      <c r="L692" s="18">
        <v>50</v>
      </c>
      <c r="M692" s="8" t="s">
        <v>2256</v>
      </c>
      <c r="N692" s="8" t="s">
        <v>2265</v>
      </c>
    </row>
    <row r="693" spans="1:14" ht="45">
      <c r="A693" s="8" t="s">
        <v>2046</v>
      </c>
      <c r="B693" s="8" t="s">
        <v>1658</v>
      </c>
      <c r="C693" s="68" t="s">
        <v>1659</v>
      </c>
      <c r="D693" s="8" t="s">
        <v>1835</v>
      </c>
      <c r="E693" s="5" t="s">
        <v>55</v>
      </c>
      <c r="F693" s="5" t="s">
        <v>989</v>
      </c>
      <c r="G693" s="5" t="s">
        <v>2976</v>
      </c>
      <c r="H693" s="5" t="s">
        <v>39</v>
      </c>
      <c r="I693" s="20">
        <v>1549.6</v>
      </c>
      <c r="J693" s="5" t="s">
        <v>1829</v>
      </c>
      <c r="K693" s="18">
        <f>I693/30/15*15</f>
        <v>51.653333333333329</v>
      </c>
      <c r="L693" s="18">
        <v>50</v>
      </c>
      <c r="M693" s="8" t="s">
        <v>2264</v>
      </c>
      <c r="N693" s="8" t="s">
        <v>2265</v>
      </c>
    </row>
    <row r="694" spans="1:14" ht="56.25">
      <c r="A694" s="6" t="s">
        <v>1116</v>
      </c>
      <c r="B694" s="6" t="s">
        <v>1117</v>
      </c>
      <c r="C694" s="6" t="s">
        <v>1118</v>
      </c>
      <c r="D694" s="6" t="s">
        <v>1119</v>
      </c>
      <c r="E694" s="11" t="s">
        <v>1120</v>
      </c>
      <c r="F694" s="11" t="s">
        <v>1121</v>
      </c>
      <c r="G694" s="5" t="s">
        <v>2613</v>
      </c>
      <c r="H694" s="11" t="s">
        <v>12</v>
      </c>
      <c r="I694" s="20">
        <v>477.6</v>
      </c>
      <c r="J694" s="11" t="s">
        <v>106</v>
      </c>
      <c r="K694" s="14">
        <f>I694/25*10</f>
        <v>191.04</v>
      </c>
      <c r="L694" s="14">
        <v>50</v>
      </c>
      <c r="M694" s="6"/>
      <c r="N694" s="6" t="s">
        <v>2266</v>
      </c>
    </row>
    <row r="695" spans="1:14" ht="45">
      <c r="A695" s="6" t="s">
        <v>2047</v>
      </c>
      <c r="B695" s="6" t="s">
        <v>1117</v>
      </c>
      <c r="C695" s="6" t="s">
        <v>1118</v>
      </c>
      <c r="D695" s="6" t="s">
        <v>1122</v>
      </c>
      <c r="E695" s="11" t="s">
        <v>55</v>
      </c>
      <c r="F695" s="11" t="s">
        <v>266</v>
      </c>
      <c r="G695" s="11" t="s">
        <v>11</v>
      </c>
      <c r="H695" s="11" t="s">
        <v>12</v>
      </c>
      <c r="I695" s="20">
        <v>111.3</v>
      </c>
      <c r="J695" s="11" t="s">
        <v>106</v>
      </c>
      <c r="K695" s="14">
        <f>I695/30/5*10</f>
        <v>7.42</v>
      </c>
      <c r="L695" s="14">
        <v>50</v>
      </c>
      <c r="M695" s="6"/>
      <c r="N695" s="6" t="s">
        <v>2266</v>
      </c>
    </row>
    <row r="696" spans="1:14" ht="45">
      <c r="A696" s="6" t="s">
        <v>2048</v>
      </c>
      <c r="B696" s="6" t="s">
        <v>1117</v>
      </c>
      <c r="C696" s="6" t="s">
        <v>1118</v>
      </c>
      <c r="D696" s="6" t="s">
        <v>1122</v>
      </c>
      <c r="E696" s="11" t="s">
        <v>55</v>
      </c>
      <c r="F696" s="11" t="s">
        <v>56</v>
      </c>
      <c r="G696" s="11" t="s">
        <v>11</v>
      </c>
      <c r="H696" s="11" t="s">
        <v>12</v>
      </c>
      <c r="I696" s="20">
        <v>137.80000000000001</v>
      </c>
      <c r="J696" s="11" t="s">
        <v>106</v>
      </c>
      <c r="K696" s="14">
        <f>I696/30/10*10</f>
        <v>4.5933333333333337</v>
      </c>
      <c r="L696" s="14">
        <v>50</v>
      </c>
      <c r="M696" s="6"/>
      <c r="N696" s="6" t="s">
        <v>2266</v>
      </c>
    </row>
    <row r="697" spans="1:14" ht="45">
      <c r="A697" s="6" t="s">
        <v>2049</v>
      </c>
      <c r="B697" s="6" t="s">
        <v>1117</v>
      </c>
      <c r="C697" s="6" t="s">
        <v>1118</v>
      </c>
      <c r="D697" s="6" t="s">
        <v>2404</v>
      </c>
      <c r="E697" s="11" t="s">
        <v>55</v>
      </c>
      <c r="F697" s="11" t="s">
        <v>266</v>
      </c>
      <c r="G697" s="11" t="s">
        <v>1857</v>
      </c>
      <c r="H697" s="11" t="s">
        <v>12</v>
      </c>
      <c r="I697" s="20">
        <v>92</v>
      </c>
      <c r="J697" s="11" t="s">
        <v>106</v>
      </c>
      <c r="K697" s="14">
        <f>I697/30/5*10</f>
        <v>6.1333333333333337</v>
      </c>
      <c r="L697" s="14">
        <v>50</v>
      </c>
      <c r="M697" s="6"/>
      <c r="N697" s="6" t="s">
        <v>2266</v>
      </c>
    </row>
    <row r="698" spans="1:14" ht="45">
      <c r="A698" s="6" t="s">
        <v>2050</v>
      </c>
      <c r="B698" s="6" t="s">
        <v>1117</v>
      </c>
      <c r="C698" s="6" t="s">
        <v>1118</v>
      </c>
      <c r="D698" s="6" t="s">
        <v>2404</v>
      </c>
      <c r="E698" s="11" t="s">
        <v>55</v>
      </c>
      <c r="F698" s="11" t="s">
        <v>56</v>
      </c>
      <c r="G698" s="11" t="s">
        <v>1857</v>
      </c>
      <c r="H698" s="11" t="s">
        <v>12</v>
      </c>
      <c r="I698" s="20">
        <v>137.80000000000001</v>
      </c>
      <c r="J698" s="11" t="s">
        <v>106</v>
      </c>
      <c r="K698" s="14">
        <f>I698/30/10*10</f>
        <v>4.5933333333333337</v>
      </c>
      <c r="L698" s="14">
        <v>50</v>
      </c>
      <c r="M698" s="6"/>
      <c r="N698" s="6" t="s">
        <v>2266</v>
      </c>
    </row>
    <row r="699" spans="1:14" ht="45">
      <c r="A699" s="6" t="s">
        <v>1515</v>
      </c>
      <c r="B699" s="40" t="s">
        <v>1117</v>
      </c>
      <c r="C699" s="40" t="s">
        <v>1118</v>
      </c>
      <c r="D699" s="40" t="s">
        <v>1514</v>
      </c>
      <c r="E699" s="14" t="s">
        <v>436</v>
      </c>
      <c r="F699" s="14" t="s">
        <v>266</v>
      </c>
      <c r="G699" s="14" t="s">
        <v>1495</v>
      </c>
      <c r="H699" s="14" t="s">
        <v>43</v>
      </c>
      <c r="I699" s="20">
        <v>92</v>
      </c>
      <c r="J699" s="14" t="s">
        <v>106</v>
      </c>
      <c r="K699" s="14">
        <f>I699/30/5*10</f>
        <v>6.1333333333333337</v>
      </c>
      <c r="L699" s="14">
        <v>50</v>
      </c>
      <c r="M699" s="6"/>
      <c r="N699" s="6" t="s">
        <v>2266</v>
      </c>
    </row>
    <row r="700" spans="1:14" ht="45">
      <c r="A700" s="6" t="s">
        <v>1516</v>
      </c>
      <c r="B700" s="40" t="s">
        <v>1117</v>
      </c>
      <c r="C700" s="40" t="s">
        <v>1118</v>
      </c>
      <c r="D700" s="40" t="s">
        <v>1514</v>
      </c>
      <c r="E700" s="14" t="s">
        <v>55</v>
      </c>
      <c r="F700" s="14" t="s">
        <v>56</v>
      </c>
      <c r="G700" s="14" t="s">
        <v>1495</v>
      </c>
      <c r="H700" s="14" t="s">
        <v>43</v>
      </c>
      <c r="I700" s="20">
        <v>137.80000000000001</v>
      </c>
      <c r="J700" s="14" t="s">
        <v>106</v>
      </c>
      <c r="K700" s="14">
        <f>I700/30/10*10</f>
        <v>4.5933333333333337</v>
      </c>
      <c r="L700" s="14">
        <v>50</v>
      </c>
      <c r="M700" s="6"/>
      <c r="N700" s="6" t="s">
        <v>2266</v>
      </c>
    </row>
    <row r="701" spans="1:14" ht="22.5">
      <c r="A701" s="6" t="s">
        <v>1123</v>
      </c>
      <c r="B701" s="6" t="s">
        <v>1124</v>
      </c>
      <c r="C701" s="6" t="s">
        <v>1125</v>
      </c>
      <c r="D701" s="8" t="s">
        <v>2586</v>
      </c>
      <c r="E701" s="11" t="s">
        <v>65</v>
      </c>
      <c r="F701" s="11" t="s">
        <v>1126</v>
      </c>
      <c r="G701" s="11" t="s">
        <v>1001</v>
      </c>
      <c r="H701" s="11" t="s">
        <v>1002</v>
      </c>
      <c r="I701" s="20">
        <v>205.2</v>
      </c>
      <c r="J701" s="14" t="s">
        <v>347</v>
      </c>
      <c r="K701" s="14">
        <f>I701/100/10*75</f>
        <v>15.389999999999999</v>
      </c>
      <c r="L701" s="14">
        <v>50</v>
      </c>
      <c r="M701" s="6"/>
      <c r="N701" s="6" t="s">
        <v>2267</v>
      </c>
    </row>
    <row r="702" spans="1:14" ht="22.5">
      <c r="A702" s="6" t="s">
        <v>1127</v>
      </c>
      <c r="B702" s="6" t="s">
        <v>1124</v>
      </c>
      <c r="C702" s="6" t="s">
        <v>1125</v>
      </c>
      <c r="D702" s="8" t="s">
        <v>2586</v>
      </c>
      <c r="E702" s="11" t="s">
        <v>65</v>
      </c>
      <c r="F702" s="11" t="s">
        <v>401</v>
      </c>
      <c r="G702" s="11" t="s">
        <v>1001</v>
      </c>
      <c r="H702" s="11" t="s">
        <v>1002</v>
      </c>
      <c r="I702" s="20">
        <v>96.9</v>
      </c>
      <c r="J702" s="14" t="s">
        <v>347</v>
      </c>
      <c r="K702" s="14">
        <f>I702/30/25*75</f>
        <v>9.6900000000000013</v>
      </c>
      <c r="L702" s="14">
        <v>50</v>
      </c>
      <c r="M702" s="6"/>
      <c r="N702" s="6" t="s">
        <v>2267</v>
      </c>
    </row>
    <row r="703" spans="1:14" ht="22.5">
      <c r="A703" s="6" t="s">
        <v>2051</v>
      </c>
      <c r="B703" s="6" t="s">
        <v>1128</v>
      </c>
      <c r="C703" s="6" t="s">
        <v>1129</v>
      </c>
      <c r="D703" s="6" t="s">
        <v>1130</v>
      </c>
      <c r="E703" s="11" t="s">
        <v>65</v>
      </c>
      <c r="F703" s="11" t="s">
        <v>401</v>
      </c>
      <c r="G703" s="11" t="s">
        <v>20</v>
      </c>
      <c r="H703" s="11" t="s">
        <v>12</v>
      </c>
      <c r="I703" s="20">
        <v>238.6</v>
      </c>
      <c r="J703" s="14" t="s">
        <v>575</v>
      </c>
      <c r="K703" s="14">
        <f>I703/30/25*100</f>
        <v>31.813333333333333</v>
      </c>
      <c r="L703" s="14">
        <v>50</v>
      </c>
      <c r="M703" s="6"/>
      <c r="N703" s="6" t="s">
        <v>2267</v>
      </c>
    </row>
    <row r="704" spans="1:14" ht="22.5">
      <c r="A704" s="6" t="s">
        <v>2052</v>
      </c>
      <c r="B704" s="6" t="s">
        <v>1128</v>
      </c>
      <c r="C704" s="6" t="s">
        <v>1129</v>
      </c>
      <c r="D704" s="6" t="s">
        <v>1130</v>
      </c>
      <c r="E704" s="11" t="s">
        <v>65</v>
      </c>
      <c r="F704" s="11" t="s">
        <v>363</v>
      </c>
      <c r="G704" s="11" t="s">
        <v>20</v>
      </c>
      <c r="H704" s="11" t="s">
        <v>12</v>
      </c>
      <c r="I704" s="20">
        <v>416.8</v>
      </c>
      <c r="J704" s="11" t="s">
        <v>575</v>
      </c>
      <c r="K704" s="14">
        <f>I704/30/50*100</f>
        <v>27.786666666666669</v>
      </c>
      <c r="L704" s="14">
        <v>50</v>
      </c>
      <c r="M704" s="6"/>
      <c r="N704" s="6" t="s">
        <v>2267</v>
      </c>
    </row>
    <row r="705" spans="1:14" ht="56.25">
      <c r="A705" s="6" t="s">
        <v>2053</v>
      </c>
      <c r="B705" s="6" t="s">
        <v>1131</v>
      </c>
      <c r="C705" s="6" t="s">
        <v>1132</v>
      </c>
      <c r="D705" s="6" t="s">
        <v>1133</v>
      </c>
      <c r="E705" s="11" t="s">
        <v>81</v>
      </c>
      <c r="F705" s="11" t="s">
        <v>319</v>
      </c>
      <c r="G705" s="11" t="s">
        <v>11</v>
      </c>
      <c r="H705" s="11" t="s">
        <v>12</v>
      </c>
      <c r="I705" s="20">
        <v>339.3</v>
      </c>
      <c r="J705" s="11" t="s">
        <v>21</v>
      </c>
      <c r="K705" s="14">
        <f>I705/30/20*20</f>
        <v>11.31</v>
      </c>
      <c r="L705" s="14">
        <v>50</v>
      </c>
      <c r="M705" s="6" t="s">
        <v>2268</v>
      </c>
      <c r="N705" s="6" t="s">
        <v>2269</v>
      </c>
    </row>
    <row r="706" spans="1:14" ht="56.25">
      <c r="A706" s="6" t="s">
        <v>2054</v>
      </c>
      <c r="B706" s="6" t="s">
        <v>1131</v>
      </c>
      <c r="C706" s="6" t="s">
        <v>1132</v>
      </c>
      <c r="D706" s="6" t="s">
        <v>1134</v>
      </c>
      <c r="E706" s="11" t="s">
        <v>55</v>
      </c>
      <c r="F706" s="11" t="s">
        <v>319</v>
      </c>
      <c r="G706" s="11" t="s">
        <v>24</v>
      </c>
      <c r="H706" s="11" t="s">
        <v>12</v>
      </c>
      <c r="I706" s="20">
        <v>339.3</v>
      </c>
      <c r="J706" s="11" t="s">
        <v>21</v>
      </c>
      <c r="K706" s="14">
        <f>I706/30/20*20</f>
        <v>11.31</v>
      </c>
      <c r="L706" s="14">
        <v>50</v>
      </c>
      <c r="M706" s="6" t="s">
        <v>2268</v>
      </c>
      <c r="N706" s="6" t="s">
        <v>2269</v>
      </c>
    </row>
    <row r="707" spans="1:14" ht="67.5">
      <c r="A707" s="69" t="s">
        <v>1135</v>
      </c>
      <c r="B707" s="69" t="s">
        <v>1136</v>
      </c>
      <c r="C707" s="69" t="s">
        <v>1137</v>
      </c>
      <c r="D707" s="69" t="s">
        <v>1138</v>
      </c>
      <c r="E707" s="70" t="s">
        <v>65</v>
      </c>
      <c r="F707" s="70" t="s">
        <v>411</v>
      </c>
      <c r="G707" s="15" t="s">
        <v>2610</v>
      </c>
      <c r="H707" s="70" t="s">
        <v>542</v>
      </c>
      <c r="I707" s="20">
        <v>125.7</v>
      </c>
      <c r="J707" s="70" t="s">
        <v>21</v>
      </c>
      <c r="K707" s="14">
        <f>I707/20/10*20</f>
        <v>12.57</v>
      </c>
      <c r="L707" s="14">
        <v>50</v>
      </c>
      <c r="M707" s="6" t="s">
        <v>2270</v>
      </c>
      <c r="N707" s="6" t="s">
        <v>2271</v>
      </c>
    </row>
    <row r="708" spans="1:14" ht="67.5">
      <c r="A708" s="69" t="s">
        <v>1139</v>
      </c>
      <c r="B708" s="69" t="s">
        <v>1136</v>
      </c>
      <c r="C708" s="69" t="s">
        <v>1137</v>
      </c>
      <c r="D708" s="69" t="s">
        <v>1138</v>
      </c>
      <c r="E708" s="70" t="s">
        <v>65</v>
      </c>
      <c r="F708" s="70" t="s">
        <v>312</v>
      </c>
      <c r="G708" s="15" t="s">
        <v>2610</v>
      </c>
      <c r="H708" s="70" t="s">
        <v>542</v>
      </c>
      <c r="I708" s="20">
        <v>196.6</v>
      </c>
      <c r="J708" s="70" t="s">
        <v>21</v>
      </c>
      <c r="K708" s="14">
        <f>I708/20/20*20</f>
        <v>9.83</v>
      </c>
      <c r="L708" s="14">
        <v>50</v>
      </c>
      <c r="M708" s="6" t="s">
        <v>2270</v>
      </c>
      <c r="N708" s="6" t="s">
        <v>2271</v>
      </c>
    </row>
    <row r="709" spans="1:14" ht="67.5">
      <c r="A709" s="69" t="s">
        <v>1140</v>
      </c>
      <c r="B709" s="69" t="s">
        <v>1136</v>
      </c>
      <c r="C709" s="69" t="s">
        <v>1137</v>
      </c>
      <c r="D709" s="69" t="s">
        <v>1138</v>
      </c>
      <c r="E709" s="70" t="s">
        <v>65</v>
      </c>
      <c r="F709" s="70" t="s">
        <v>1141</v>
      </c>
      <c r="G709" s="15" t="s">
        <v>2610</v>
      </c>
      <c r="H709" s="70" t="s">
        <v>542</v>
      </c>
      <c r="I709" s="20">
        <v>314.2</v>
      </c>
      <c r="J709" s="70" t="s">
        <v>21</v>
      </c>
      <c r="K709" s="14">
        <f>I709/50/10*20</f>
        <v>12.568</v>
      </c>
      <c r="L709" s="14">
        <v>50</v>
      </c>
      <c r="M709" s="6" t="s">
        <v>2270</v>
      </c>
      <c r="N709" s="6" t="s">
        <v>2271</v>
      </c>
    </row>
    <row r="710" spans="1:14" ht="67.5">
      <c r="A710" s="69" t="s">
        <v>1142</v>
      </c>
      <c r="B710" s="69" t="s">
        <v>1136</v>
      </c>
      <c r="C710" s="69" t="s">
        <v>1137</v>
      </c>
      <c r="D710" s="69" t="s">
        <v>1138</v>
      </c>
      <c r="E710" s="70" t="s">
        <v>65</v>
      </c>
      <c r="F710" s="70" t="s">
        <v>1143</v>
      </c>
      <c r="G710" s="15" t="s">
        <v>2610</v>
      </c>
      <c r="H710" s="70" t="s">
        <v>542</v>
      </c>
      <c r="I710" s="20">
        <v>491.5</v>
      </c>
      <c r="J710" s="70" t="s">
        <v>21</v>
      </c>
      <c r="K710" s="76">
        <f>I710/50/20*20</f>
        <v>9.83</v>
      </c>
      <c r="L710" s="14">
        <v>50</v>
      </c>
      <c r="M710" s="6" t="s">
        <v>2270</v>
      </c>
      <c r="N710" s="6" t="s">
        <v>2271</v>
      </c>
    </row>
    <row r="711" spans="1:14" ht="78.75">
      <c r="A711" s="6" t="s">
        <v>1512</v>
      </c>
      <c r="B711" s="40" t="s">
        <v>1144</v>
      </c>
      <c r="C711" s="40" t="s">
        <v>1145</v>
      </c>
      <c r="D711" s="40" t="s">
        <v>1513</v>
      </c>
      <c r="E711" s="14" t="s">
        <v>55</v>
      </c>
      <c r="F711" s="14" t="s">
        <v>319</v>
      </c>
      <c r="G711" s="14" t="s">
        <v>2587</v>
      </c>
      <c r="H711" s="14" t="s">
        <v>2949</v>
      </c>
      <c r="I711" s="20">
        <v>174</v>
      </c>
      <c r="J711" s="14" t="s">
        <v>21</v>
      </c>
      <c r="K711" s="14">
        <f>I711/30/20*20</f>
        <v>5.8</v>
      </c>
      <c r="L711" s="14">
        <v>50</v>
      </c>
      <c r="M711" s="6" t="s">
        <v>2272</v>
      </c>
      <c r="N711" s="6" t="s">
        <v>2273</v>
      </c>
    </row>
    <row r="712" spans="1:14" ht="78.75">
      <c r="A712" s="37" t="s">
        <v>2471</v>
      </c>
      <c r="B712" s="8" t="s">
        <v>1144</v>
      </c>
      <c r="C712" s="8" t="s">
        <v>1145</v>
      </c>
      <c r="D712" s="8" t="s">
        <v>2472</v>
      </c>
      <c r="E712" s="15" t="s">
        <v>65</v>
      </c>
      <c r="F712" s="15" t="s">
        <v>319</v>
      </c>
      <c r="G712" s="5" t="s">
        <v>2473</v>
      </c>
      <c r="H712" s="11" t="s">
        <v>2673</v>
      </c>
      <c r="I712" s="20">
        <v>205</v>
      </c>
      <c r="J712" s="5" t="s">
        <v>21</v>
      </c>
      <c r="K712" s="19">
        <f>I712/30/20*20</f>
        <v>6.8333333333333339</v>
      </c>
      <c r="L712" s="14">
        <v>50</v>
      </c>
      <c r="M712" s="6" t="s">
        <v>2272</v>
      </c>
      <c r="N712" s="6" t="s">
        <v>2273</v>
      </c>
    </row>
    <row r="713" spans="1:14" ht="78.75">
      <c r="A713" s="9" t="s">
        <v>2055</v>
      </c>
      <c r="B713" s="6" t="s">
        <v>1146</v>
      </c>
      <c r="C713" s="6" t="s">
        <v>1147</v>
      </c>
      <c r="D713" s="6" t="s">
        <v>1148</v>
      </c>
      <c r="E713" s="11" t="s">
        <v>65</v>
      </c>
      <c r="F713" s="11" t="s">
        <v>361</v>
      </c>
      <c r="G713" s="11" t="s">
        <v>24</v>
      </c>
      <c r="H713" s="11" t="s">
        <v>12</v>
      </c>
      <c r="I713" s="20">
        <v>179.7</v>
      </c>
      <c r="J713" s="11" t="s">
        <v>447</v>
      </c>
      <c r="K713" s="14">
        <f>I713/28/50*50</f>
        <v>6.4178571428571436</v>
      </c>
      <c r="L713" s="14">
        <v>50</v>
      </c>
      <c r="M713" s="6" t="s">
        <v>2274</v>
      </c>
      <c r="N713" s="6" t="s">
        <v>2275</v>
      </c>
    </row>
    <row r="714" spans="1:14" ht="78.75">
      <c r="A714" s="9" t="s">
        <v>2056</v>
      </c>
      <c r="B714" s="6" t="s">
        <v>1146</v>
      </c>
      <c r="C714" s="6" t="s">
        <v>1147</v>
      </c>
      <c r="D714" s="6" t="s">
        <v>1148</v>
      </c>
      <c r="E714" s="11" t="s">
        <v>65</v>
      </c>
      <c r="F714" s="11" t="s">
        <v>1027</v>
      </c>
      <c r="G714" s="11" t="s">
        <v>24</v>
      </c>
      <c r="H714" s="11" t="s">
        <v>12</v>
      </c>
      <c r="I714" s="20">
        <v>359.2</v>
      </c>
      <c r="J714" s="11" t="s">
        <v>447</v>
      </c>
      <c r="K714" s="14">
        <f>I714/28/100*50</f>
        <v>6.4142857142857137</v>
      </c>
      <c r="L714" s="14">
        <v>50</v>
      </c>
      <c r="M714" s="6" t="s">
        <v>2274</v>
      </c>
      <c r="N714" s="6" t="s">
        <v>2275</v>
      </c>
    </row>
    <row r="715" spans="1:14" ht="78.75">
      <c r="A715" s="6" t="s">
        <v>1149</v>
      </c>
      <c r="B715" s="6" t="s">
        <v>1146</v>
      </c>
      <c r="C715" s="6" t="s">
        <v>1147</v>
      </c>
      <c r="D715" s="6" t="s">
        <v>1150</v>
      </c>
      <c r="E715" s="11" t="s">
        <v>65</v>
      </c>
      <c r="F715" s="11" t="s">
        <v>361</v>
      </c>
      <c r="G715" s="11" t="s">
        <v>1541</v>
      </c>
      <c r="H715" s="11" t="s">
        <v>43</v>
      </c>
      <c r="I715" s="20">
        <v>179.7</v>
      </c>
      <c r="J715" s="11" t="s">
        <v>447</v>
      </c>
      <c r="K715" s="14">
        <f>I715/28/50*50</f>
        <v>6.4178571428571436</v>
      </c>
      <c r="L715" s="14">
        <v>50</v>
      </c>
      <c r="M715" s="6" t="s">
        <v>2274</v>
      </c>
      <c r="N715" s="6" t="s">
        <v>2275</v>
      </c>
    </row>
    <row r="716" spans="1:14" ht="78.75">
      <c r="A716" s="6" t="s">
        <v>2057</v>
      </c>
      <c r="B716" s="6" t="s">
        <v>1146</v>
      </c>
      <c r="C716" s="6" t="s">
        <v>1147</v>
      </c>
      <c r="D716" s="6" t="s">
        <v>1150</v>
      </c>
      <c r="E716" s="11" t="s">
        <v>65</v>
      </c>
      <c r="F716" s="11" t="s">
        <v>1027</v>
      </c>
      <c r="G716" s="11" t="s">
        <v>1541</v>
      </c>
      <c r="H716" s="11" t="s">
        <v>43</v>
      </c>
      <c r="I716" s="20">
        <v>359.2</v>
      </c>
      <c r="J716" s="11" t="s">
        <v>447</v>
      </c>
      <c r="K716" s="14">
        <f>I716/28/100*50</f>
        <v>6.4142857142857137</v>
      </c>
      <c r="L716" s="14">
        <v>50</v>
      </c>
      <c r="M716" s="6" t="s">
        <v>2274</v>
      </c>
      <c r="N716" s="6" t="s">
        <v>2275</v>
      </c>
    </row>
    <row r="717" spans="1:14" ht="56.25">
      <c r="A717" s="9" t="s">
        <v>1151</v>
      </c>
      <c r="B717" s="6" t="s">
        <v>1152</v>
      </c>
      <c r="C717" s="6" t="s">
        <v>1153</v>
      </c>
      <c r="D717" s="6" t="s">
        <v>1154</v>
      </c>
      <c r="E717" s="11" t="s">
        <v>65</v>
      </c>
      <c r="F717" s="11" t="s">
        <v>473</v>
      </c>
      <c r="G717" s="11" t="s">
        <v>1539</v>
      </c>
      <c r="H717" s="11" t="s">
        <v>43</v>
      </c>
      <c r="I717" s="20">
        <v>158.4</v>
      </c>
      <c r="J717" s="11" t="s">
        <v>106</v>
      </c>
      <c r="K717" s="14">
        <f>I717/28/5*10</f>
        <v>11.314285714285715</v>
      </c>
      <c r="L717" s="14">
        <v>50</v>
      </c>
      <c r="M717" s="51" t="s">
        <v>2276</v>
      </c>
      <c r="N717" s="51" t="s">
        <v>2277</v>
      </c>
    </row>
    <row r="718" spans="1:14" ht="56.25">
      <c r="A718" s="9" t="s">
        <v>1155</v>
      </c>
      <c r="B718" s="6" t="s">
        <v>1152</v>
      </c>
      <c r="C718" s="6" t="s">
        <v>1153</v>
      </c>
      <c r="D718" s="6" t="s">
        <v>1156</v>
      </c>
      <c r="E718" s="11" t="s">
        <v>65</v>
      </c>
      <c r="F718" s="11" t="s">
        <v>486</v>
      </c>
      <c r="G718" s="11" t="s">
        <v>24</v>
      </c>
      <c r="H718" s="11" t="s">
        <v>12</v>
      </c>
      <c r="I718" s="20">
        <v>179.7</v>
      </c>
      <c r="J718" s="11" t="s">
        <v>106</v>
      </c>
      <c r="K718" s="14">
        <f>I718/28/10*10</f>
        <v>6.4178571428571427</v>
      </c>
      <c r="L718" s="14">
        <v>50</v>
      </c>
      <c r="M718" s="51" t="s">
        <v>2276</v>
      </c>
      <c r="N718" s="51" t="s">
        <v>2277</v>
      </c>
    </row>
    <row r="719" spans="1:14" ht="56.25">
      <c r="A719" s="9" t="s">
        <v>2058</v>
      </c>
      <c r="B719" s="6" t="s">
        <v>1152</v>
      </c>
      <c r="C719" s="6" t="s">
        <v>1153</v>
      </c>
      <c r="D719" s="6" t="s">
        <v>1154</v>
      </c>
      <c r="E719" s="11" t="s">
        <v>65</v>
      </c>
      <c r="F719" s="11" t="s">
        <v>486</v>
      </c>
      <c r="G719" s="11" t="s">
        <v>1539</v>
      </c>
      <c r="H719" s="11" t="s">
        <v>43</v>
      </c>
      <c r="I719" s="20">
        <v>179.7</v>
      </c>
      <c r="J719" s="11" t="s">
        <v>106</v>
      </c>
      <c r="K719" s="14">
        <f>I719/28/10*10</f>
        <v>6.4178571428571427</v>
      </c>
      <c r="L719" s="14">
        <v>50</v>
      </c>
      <c r="M719" s="51" t="s">
        <v>2276</v>
      </c>
      <c r="N719" s="51" t="s">
        <v>2277</v>
      </c>
    </row>
    <row r="720" spans="1:14" ht="56.25">
      <c r="A720" s="6" t="s">
        <v>2059</v>
      </c>
      <c r="B720" s="40" t="s">
        <v>1152</v>
      </c>
      <c r="C720" s="40" t="s">
        <v>1153</v>
      </c>
      <c r="D720" s="40" t="s">
        <v>1467</v>
      </c>
      <c r="E720" s="14" t="s">
        <v>65</v>
      </c>
      <c r="F720" s="14" t="s">
        <v>266</v>
      </c>
      <c r="G720" s="13" t="s">
        <v>2408</v>
      </c>
      <c r="H720" s="11" t="s">
        <v>2674</v>
      </c>
      <c r="I720" s="20">
        <v>169.7</v>
      </c>
      <c r="J720" s="14" t="s">
        <v>106</v>
      </c>
      <c r="K720" s="14">
        <f>I720/30/5*10</f>
        <v>11.313333333333333</v>
      </c>
      <c r="L720" s="14">
        <v>50</v>
      </c>
      <c r="M720" s="6" t="s">
        <v>2276</v>
      </c>
      <c r="N720" s="6" t="s">
        <v>2277</v>
      </c>
    </row>
    <row r="721" spans="1:14" ht="56.25">
      <c r="A721" s="6" t="s">
        <v>2060</v>
      </c>
      <c r="B721" s="40" t="s">
        <v>1152</v>
      </c>
      <c r="C721" s="40" t="s">
        <v>1153</v>
      </c>
      <c r="D721" s="40" t="s">
        <v>1467</v>
      </c>
      <c r="E721" s="14" t="s">
        <v>65</v>
      </c>
      <c r="F721" s="14" t="s">
        <v>56</v>
      </c>
      <c r="G721" s="13" t="s">
        <v>2408</v>
      </c>
      <c r="H721" s="11" t="s">
        <v>2674</v>
      </c>
      <c r="I721" s="20">
        <v>192.5</v>
      </c>
      <c r="J721" s="14" t="s">
        <v>106</v>
      </c>
      <c r="K721" s="14">
        <f>I721/30/10*10</f>
        <v>6.416666666666667</v>
      </c>
      <c r="L721" s="14">
        <v>50</v>
      </c>
      <c r="M721" s="6" t="s">
        <v>2276</v>
      </c>
      <c r="N721" s="6" t="s">
        <v>2277</v>
      </c>
    </row>
    <row r="722" spans="1:14" ht="56.25">
      <c r="A722" s="6" t="s">
        <v>2061</v>
      </c>
      <c r="B722" s="40" t="s">
        <v>1152</v>
      </c>
      <c r="C722" s="40" t="s">
        <v>1153</v>
      </c>
      <c r="D722" s="40" t="s">
        <v>1467</v>
      </c>
      <c r="E722" s="14" t="s">
        <v>65</v>
      </c>
      <c r="F722" s="14" t="s">
        <v>319</v>
      </c>
      <c r="G722" s="14" t="s">
        <v>1464</v>
      </c>
      <c r="H722" s="14" t="s">
        <v>12</v>
      </c>
      <c r="I722" s="20">
        <v>462</v>
      </c>
      <c r="J722" s="14" t="s">
        <v>106</v>
      </c>
      <c r="K722" s="14">
        <f>I722/30/20*10</f>
        <v>7.7</v>
      </c>
      <c r="L722" s="14">
        <v>50</v>
      </c>
      <c r="M722" s="6" t="s">
        <v>2276</v>
      </c>
      <c r="N722" s="6" t="s">
        <v>2277</v>
      </c>
    </row>
    <row r="723" spans="1:14" ht="56.25">
      <c r="A723" s="37" t="s">
        <v>2474</v>
      </c>
      <c r="B723" s="8" t="s">
        <v>1152</v>
      </c>
      <c r="C723" s="8" t="s">
        <v>1153</v>
      </c>
      <c r="D723" s="8" t="s">
        <v>2475</v>
      </c>
      <c r="E723" s="5" t="s">
        <v>65</v>
      </c>
      <c r="F723" s="15" t="s">
        <v>56</v>
      </c>
      <c r="G723" s="5" t="s">
        <v>2370</v>
      </c>
      <c r="H723" s="5" t="s">
        <v>2371</v>
      </c>
      <c r="I723" s="20">
        <v>192.5</v>
      </c>
      <c r="J723" s="15" t="s">
        <v>106</v>
      </c>
      <c r="K723" s="19">
        <f>I723/30/10*10</f>
        <v>6.416666666666667</v>
      </c>
      <c r="L723" s="14">
        <v>50</v>
      </c>
      <c r="M723" s="6" t="s">
        <v>2476</v>
      </c>
      <c r="N723" s="6" t="s">
        <v>2277</v>
      </c>
    </row>
    <row r="724" spans="1:14" ht="56.25">
      <c r="A724" s="37" t="s">
        <v>2477</v>
      </c>
      <c r="B724" s="8" t="s">
        <v>1152</v>
      </c>
      <c r="C724" s="8" t="s">
        <v>1153</v>
      </c>
      <c r="D724" s="8" t="s">
        <v>2475</v>
      </c>
      <c r="E724" s="5" t="s">
        <v>65</v>
      </c>
      <c r="F724" s="15" t="s">
        <v>989</v>
      </c>
      <c r="G724" s="5" t="s">
        <v>2370</v>
      </c>
      <c r="H724" s="5" t="s">
        <v>2371</v>
      </c>
      <c r="I724" s="19">
        <v>454.7</v>
      </c>
      <c r="J724" s="15" t="s">
        <v>106</v>
      </c>
      <c r="K724" s="19">
        <f>I724/30/15*10</f>
        <v>10.104444444444445</v>
      </c>
      <c r="L724" s="14">
        <v>50</v>
      </c>
      <c r="M724" s="6" t="s">
        <v>2476</v>
      </c>
      <c r="N724" s="6" t="s">
        <v>2277</v>
      </c>
    </row>
    <row r="725" spans="1:14" ht="56.25">
      <c r="A725" s="37" t="s">
        <v>2478</v>
      </c>
      <c r="B725" s="8" t="s">
        <v>1152</v>
      </c>
      <c r="C725" s="8" t="s">
        <v>1153</v>
      </c>
      <c r="D725" s="8" t="s">
        <v>2475</v>
      </c>
      <c r="E725" s="5" t="s">
        <v>65</v>
      </c>
      <c r="F725" s="15" t="s">
        <v>319</v>
      </c>
      <c r="G725" s="5" t="s">
        <v>2370</v>
      </c>
      <c r="H725" s="5" t="s">
        <v>2371</v>
      </c>
      <c r="I725" s="19">
        <v>462</v>
      </c>
      <c r="J725" s="15" t="s">
        <v>106</v>
      </c>
      <c r="K725" s="19">
        <f>I725/30/20*10</f>
        <v>7.7</v>
      </c>
      <c r="L725" s="14">
        <v>50</v>
      </c>
      <c r="M725" s="6" t="s">
        <v>2476</v>
      </c>
      <c r="N725" s="6" t="s">
        <v>2277</v>
      </c>
    </row>
    <row r="726" spans="1:14" ht="56.25">
      <c r="A726" s="35" t="s">
        <v>2588</v>
      </c>
      <c r="B726" s="29" t="s">
        <v>1152</v>
      </c>
      <c r="C726" s="8" t="s">
        <v>1153</v>
      </c>
      <c r="D726" s="36" t="s">
        <v>2589</v>
      </c>
      <c r="E726" s="5" t="s">
        <v>65</v>
      </c>
      <c r="F726" s="5" t="s">
        <v>56</v>
      </c>
      <c r="G726" s="5" t="s">
        <v>100</v>
      </c>
      <c r="H726" s="5" t="s">
        <v>101</v>
      </c>
      <c r="I726" s="20">
        <v>192.5</v>
      </c>
      <c r="J726" s="19" t="s">
        <v>106</v>
      </c>
      <c r="K726" s="19">
        <f>I726/30/10*10</f>
        <v>6.416666666666667</v>
      </c>
      <c r="L726" s="14">
        <v>50</v>
      </c>
      <c r="M726" s="6" t="s">
        <v>2476</v>
      </c>
      <c r="N726" s="6" t="s">
        <v>2277</v>
      </c>
    </row>
    <row r="727" spans="1:14" ht="146.25">
      <c r="A727" s="9" t="s">
        <v>1157</v>
      </c>
      <c r="B727" s="6" t="s">
        <v>1158</v>
      </c>
      <c r="C727" s="6" t="s">
        <v>1159</v>
      </c>
      <c r="D727" s="6" t="s">
        <v>1160</v>
      </c>
      <c r="E727" s="11" t="s">
        <v>427</v>
      </c>
      <c r="F727" s="11" t="s">
        <v>1847</v>
      </c>
      <c r="G727" s="11" t="s">
        <v>952</v>
      </c>
      <c r="H727" s="11" t="s">
        <v>643</v>
      </c>
      <c r="I727" s="20">
        <v>2512.1999999999998</v>
      </c>
      <c r="J727" s="11" t="s">
        <v>37</v>
      </c>
      <c r="K727" s="19">
        <f>I727/30/18*30</f>
        <v>139.56666666666666</v>
      </c>
      <c r="L727" s="14">
        <v>50</v>
      </c>
      <c r="M727" s="6" t="s">
        <v>2278</v>
      </c>
      <c r="N727" s="6" t="s">
        <v>2670</v>
      </c>
    </row>
    <row r="728" spans="1:14" ht="146.25">
      <c r="A728" s="9" t="s">
        <v>1161</v>
      </c>
      <c r="B728" s="6" t="s">
        <v>1158</v>
      </c>
      <c r="C728" s="6" t="s">
        <v>1159</v>
      </c>
      <c r="D728" s="6" t="s">
        <v>1160</v>
      </c>
      <c r="E728" s="11" t="s">
        <v>427</v>
      </c>
      <c r="F728" s="11" t="s">
        <v>1848</v>
      </c>
      <c r="G728" s="11" t="s">
        <v>952</v>
      </c>
      <c r="H728" s="11" t="s">
        <v>643</v>
      </c>
      <c r="I728" s="20">
        <v>3396.8</v>
      </c>
      <c r="J728" s="11" t="s">
        <v>37</v>
      </c>
      <c r="K728" s="19">
        <f>I728/30/36*30</f>
        <v>94.355555555555569</v>
      </c>
      <c r="L728" s="14">
        <v>50</v>
      </c>
      <c r="M728" s="6" t="s">
        <v>2278</v>
      </c>
      <c r="N728" s="6" t="s">
        <v>2671</v>
      </c>
    </row>
    <row r="729" spans="1:14" ht="22.5">
      <c r="A729" s="6" t="s">
        <v>2062</v>
      </c>
      <c r="B729" s="6" t="s">
        <v>1162</v>
      </c>
      <c r="C729" s="6" t="s">
        <v>1163</v>
      </c>
      <c r="D729" s="6" t="s">
        <v>1164</v>
      </c>
      <c r="E729" s="11" t="s">
        <v>436</v>
      </c>
      <c r="F729" s="11" t="s">
        <v>1532</v>
      </c>
      <c r="G729" s="11" t="s">
        <v>1456</v>
      </c>
      <c r="H729" s="11" t="s">
        <v>829</v>
      </c>
      <c r="I729" s="20">
        <v>2586.6</v>
      </c>
      <c r="J729" s="11" t="s">
        <v>1165</v>
      </c>
      <c r="K729" s="19">
        <f>I729/150/60*180</f>
        <v>51.731999999999999</v>
      </c>
      <c r="L729" s="14">
        <v>50</v>
      </c>
      <c r="M729" s="6"/>
      <c r="N729" s="6"/>
    </row>
    <row r="730" spans="1:14" ht="33.75">
      <c r="A730" s="6" t="s">
        <v>2063</v>
      </c>
      <c r="B730" s="6" t="s">
        <v>1166</v>
      </c>
      <c r="C730" s="6" t="s">
        <v>1167</v>
      </c>
      <c r="D730" s="6" t="s">
        <v>1168</v>
      </c>
      <c r="E730" s="11" t="s">
        <v>55</v>
      </c>
      <c r="F730" s="11" t="s">
        <v>3042</v>
      </c>
      <c r="G730" s="11" t="s">
        <v>3002</v>
      </c>
      <c r="H730" s="11" t="s">
        <v>2612</v>
      </c>
      <c r="I730" s="20">
        <v>159.6</v>
      </c>
      <c r="J730" s="11" t="s">
        <v>13</v>
      </c>
      <c r="K730" s="14">
        <f>I730/20/500*200</f>
        <v>3.1919999999999997</v>
      </c>
      <c r="L730" s="14">
        <v>50</v>
      </c>
      <c r="M730" s="6"/>
      <c r="N730" s="6" t="s">
        <v>2279</v>
      </c>
    </row>
    <row r="731" spans="1:14" ht="112.5">
      <c r="A731" s="6" t="s">
        <v>2064</v>
      </c>
      <c r="B731" s="6" t="s">
        <v>1169</v>
      </c>
      <c r="C731" s="6" t="s">
        <v>1170</v>
      </c>
      <c r="D731" s="6" t="s">
        <v>1171</v>
      </c>
      <c r="E731" s="11" t="s">
        <v>1172</v>
      </c>
      <c r="F731" s="11" t="s">
        <v>1173</v>
      </c>
      <c r="G731" s="11" t="s">
        <v>24</v>
      </c>
      <c r="H731" s="11" t="s">
        <v>12</v>
      </c>
      <c r="I731" s="20">
        <v>152.4</v>
      </c>
      <c r="J731" s="11" t="s">
        <v>332</v>
      </c>
      <c r="K731" s="14">
        <f>I731/10/10*25</f>
        <v>38.1</v>
      </c>
      <c r="L731" s="14">
        <v>50</v>
      </c>
      <c r="M731" s="6" t="s">
        <v>2280</v>
      </c>
      <c r="N731" s="6" t="s">
        <v>2281</v>
      </c>
    </row>
    <row r="732" spans="1:14" ht="112.5">
      <c r="A732" s="6" t="s">
        <v>1174</v>
      </c>
      <c r="B732" s="6" t="s">
        <v>1169</v>
      </c>
      <c r="C732" s="6" t="s">
        <v>1170</v>
      </c>
      <c r="D732" s="6" t="s">
        <v>1175</v>
      </c>
      <c r="E732" s="11" t="s">
        <v>618</v>
      </c>
      <c r="F732" s="11" t="s">
        <v>1173</v>
      </c>
      <c r="G732" s="11" t="s">
        <v>260</v>
      </c>
      <c r="H732" s="11" t="s">
        <v>2673</v>
      </c>
      <c r="I732" s="20">
        <v>152.4</v>
      </c>
      <c r="J732" s="11" t="s">
        <v>332</v>
      </c>
      <c r="K732" s="14">
        <f>I732/100*25</f>
        <v>38.1</v>
      </c>
      <c r="L732" s="14">
        <v>50</v>
      </c>
      <c r="M732" s="6" t="s">
        <v>2280</v>
      </c>
      <c r="N732" s="6" t="s">
        <v>2281</v>
      </c>
    </row>
    <row r="733" spans="1:14" ht="56.25">
      <c r="A733" s="6" t="s">
        <v>2065</v>
      </c>
      <c r="B733" s="6" t="s">
        <v>1176</v>
      </c>
      <c r="C733" s="6" t="s">
        <v>608</v>
      </c>
      <c r="D733" s="6" t="s">
        <v>609</v>
      </c>
      <c r="E733" s="11" t="s">
        <v>65</v>
      </c>
      <c r="F733" s="11" t="s">
        <v>1533</v>
      </c>
      <c r="G733" s="11" t="s">
        <v>1881</v>
      </c>
      <c r="H733" s="11" t="s">
        <v>12</v>
      </c>
      <c r="I733" s="20">
        <v>341.1</v>
      </c>
      <c r="J733" s="11" t="s">
        <v>118</v>
      </c>
      <c r="K733" s="14">
        <f>I733/20/400*2000</f>
        <v>85.275000000000006</v>
      </c>
      <c r="L733" s="14">
        <v>50</v>
      </c>
      <c r="M733" s="6" t="s">
        <v>2282</v>
      </c>
      <c r="N733" s="6"/>
    </row>
    <row r="734" spans="1:14" ht="22.5">
      <c r="A734" s="37" t="s">
        <v>2884</v>
      </c>
      <c r="B734" s="29" t="s">
        <v>2885</v>
      </c>
      <c r="C734" s="8" t="s">
        <v>2886</v>
      </c>
      <c r="D734" s="8" t="s">
        <v>2887</v>
      </c>
      <c r="E734" s="5" t="s">
        <v>65</v>
      </c>
      <c r="F734" s="5" t="s">
        <v>303</v>
      </c>
      <c r="G734" s="5" t="s">
        <v>2888</v>
      </c>
      <c r="H734" s="5" t="s">
        <v>2889</v>
      </c>
      <c r="I734" s="19">
        <v>556</v>
      </c>
      <c r="J734" s="19" t="s">
        <v>2890</v>
      </c>
      <c r="K734" s="19">
        <f>(I734/30)/200*516</f>
        <v>47.816000000000003</v>
      </c>
      <c r="L734" s="14">
        <v>50</v>
      </c>
      <c r="M734" s="6"/>
      <c r="N734" s="6"/>
    </row>
    <row r="735" spans="1:14" ht="22.5">
      <c r="A735" s="6" t="s">
        <v>2066</v>
      </c>
      <c r="B735" s="6" t="s">
        <v>1177</v>
      </c>
      <c r="C735" s="6" t="s">
        <v>1178</v>
      </c>
      <c r="D735" s="6" t="s">
        <v>1179</v>
      </c>
      <c r="E735" s="11" t="s">
        <v>99</v>
      </c>
      <c r="F735" s="11" t="s">
        <v>1180</v>
      </c>
      <c r="G735" s="11" t="s">
        <v>11</v>
      </c>
      <c r="H735" s="11" t="s">
        <v>12</v>
      </c>
      <c r="I735" s="20">
        <v>157</v>
      </c>
      <c r="J735" s="11" t="s">
        <v>13</v>
      </c>
      <c r="K735" s="14">
        <f>I735/(30/5)/100*200</f>
        <v>52.333333333333329</v>
      </c>
      <c r="L735" s="14">
        <v>50</v>
      </c>
      <c r="M735" s="6"/>
      <c r="N735" s="6"/>
    </row>
    <row r="736" spans="1:14" ht="45">
      <c r="A736" s="6" t="s">
        <v>1181</v>
      </c>
      <c r="B736" s="6" t="s">
        <v>1182</v>
      </c>
      <c r="C736" s="6" t="s">
        <v>1183</v>
      </c>
      <c r="D736" s="6" t="s">
        <v>1184</v>
      </c>
      <c r="E736" s="11" t="s">
        <v>1185</v>
      </c>
      <c r="F736" s="11" t="s">
        <v>2950</v>
      </c>
      <c r="G736" s="11" t="s">
        <v>2986</v>
      </c>
      <c r="H736" s="11" t="s">
        <v>643</v>
      </c>
      <c r="I736" s="20">
        <v>502.6</v>
      </c>
      <c r="J736" s="11" t="s">
        <v>1186</v>
      </c>
      <c r="K736" s="14">
        <f>I736/140/50*200</f>
        <v>14.360000000000001</v>
      </c>
      <c r="L736" s="14">
        <v>50</v>
      </c>
      <c r="M736" s="6"/>
      <c r="N736" s="6" t="s">
        <v>2283</v>
      </c>
    </row>
    <row r="737" spans="1:14" ht="33.75">
      <c r="A737" s="6" t="s">
        <v>2067</v>
      </c>
      <c r="B737" s="6" t="s">
        <v>1182</v>
      </c>
      <c r="C737" s="6" t="s">
        <v>1183</v>
      </c>
      <c r="D737" s="6" t="s">
        <v>1664</v>
      </c>
      <c r="E737" s="11" t="s">
        <v>1185</v>
      </c>
      <c r="F737" s="11" t="s">
        <v>1665</v>
      </c>
      <c r="G737" s="11" t="s">
        <v>2590</v>
      </c>
      <c r="H737" s="11" t="s">
        <v>2415</v>
      </c>
      <c r="I737" s="20">
        <v>482.6</v>
      </c>
      <c r="J737" s="11" t="s">
        <v>1186</v>
      </c>
      <c r="K737" s="14">
        <f>I737/140/50*200</f>
        <v>13.78857142857143</v>
      </c>
      <c r="L737" s="14">
        <v>50</v>
      </c>
      <c r="M737" s="6"/>
      <c r="N737" s="6" t="s">
        <v>2283</v>
      </c>
    </row>
    <row r="738" spans="1:14" ht="45">
      <c r="A738" s="6" t="s">
        <v>2068</v>
      </c>
      <c r="B738" s="6" t="s">
        <v>1187</v>
      </c>
      <c r="C738" s="6" t="s">
        <v>1188</v>
      </c>
      <c r="D738" s="6" t="s">
        <v>1189</v>
      </c>
      <c r="E738" s="11" t="s">
        <v>1185</v>
      </c>
      <c r="F738" s="11" t="s">
        <v>3043</v>
      </c>
      <c r="G738" s="11" t="s">
        <v>1363</v>
      </c>
      <c r="H738" s="11" t="s">
        <v>808</v>
      </c>
      <c r="I738" s="20">
        <v>585.79999999999995</v>
      </c>
      <c r="J738" s="20" t="s">
        <v>1190</v>
      </c>
      <c r="K738" s="14">
        <f>I738/(27.5*120)*110</f>
        <v>19.526666666666667</v>
      </c>
      <c r="L738" s="14">
        <v>50</v>
      </c>
      <c r="M738" s="6"/>
      <c r="N738" s="6" t="s">
        <v>2284</v>
      </c>
    </row>
    <row r="739" spans="1:14" ht="22.5">
      <c r="A739" s="6" t="s">
        <v>2069</v>
      </c>
      <c r="B739" s="6" t="s">
        <v>1191</v>
      </c>
      <c r="C739" s="6" t="s">
        <v>1192</v>
      </c>
      <c r="D739" s="6" t="s">
        <v>1193</v>
      </c>
      <c r="E739" s="11" t="s">
        <v>1194</v>
      </c>
      <c r="F739" s="11" t="s">
        <v>1795</v>
      </c>
      <c r="G739" s="11" t="s">
        <v>11</v>
      </c>
      <c r="H739" s="11" t="s">
        <v>12</v>
      </c>
      <c r="I739" s="20">
        <v>213.9</v>
      </c>
      <c r="J739" s="20" t="s">
        <v>106</v>
      </c>
      <c r="K739" s="14">
        <f>I739/10/5*10</f>
        <v>42.78</v>
      </c>
      <c r="L739" s="14">
        <v>50</v>
      </c>
      <c r="M739" s="6" t="s">
        <v>2285</v>
      </c>
      <c r="N739" s="6"/>
    </row>
    <row r="740" spans="1:14" ht="45">
      <c r="A740" s="6" t="s">
        <v>2070</v>
      </c>
      <c r="B740" s="6" t="s">
        <v>1191</v>
      </c>
      <c r="C740" s="6" t="s">
        <v>1192</v>
      </c>
      <c r="D740" s="6" t="s">
        <v>1195</v>
      </c>
      <c r="E740" s="11" t="s">
        <v>1196</v>
      </c>
      <c r="F740" s="11" t="s">
        <v>1362</v>
      </c>
      <c r="G740" s="11" t="s">
        <v>2411</v>
      </c>
      <c r="H740" s="11" t="s">
        <v>136</v>
      </c>
      <c r="I740" s="20">
        <v>303.2</v>
      </c>
      <c r="J740" s="20" t="s">
        <v>1197</v>
      </c>
      <c r="K740" s="14">
        <f>I740/200/0.1*0.8</f>
        <v>12.128</v>
      </c>
      <c r="L740" s="14">
        <v>50</v>
      </c>
      <c r="M740" s="6" t="s">
        <v>2285</v>
      </c>
      <c r="N740" s="6"/>
    </row>
    <row r="741" spans="1:14" ht="45">
      <c r="A741" s="6" t="s">
        <v>2071</v>
      </c>
      <c r="B741" s="6" t="s">
        <v>1198</v>
      </c>
      <c r="C741" s="6" t="s">
        <v>1199</v>
      </c>
      <c r="D741" s="6" t="s">
        <v>1200</v>
      </c>
      <c r="E741" s="11" t="s">
        <v>1196</v>
      </c>
      <c r="F741" s="11" t="s">
        <v>1201</v>
      </c>
      <c r="G741" s="34" t="s">
        <v>2411</v>
      </c>
      <c r="H741" s="34" t="s">
        <v>136</v>
      </c>
      <c r="I741" s="20">
        <v>1020.5</v>
      </c>
      <c r="J741" s="20" t="s">
        <v>1202</v>
      </c>
      <c r="K741" s="14">
        <f>I741/120/25*100</f>
        <v>34.016666666666666</v>
      </c>
      <c r="L741" s="14">
        <v>50</v>
      </c>
      <c r="M741" s="6" t="s">
        <v>2286</v>
      </c>
      <c r="N741" s="6" t="s">
        <v>2287</v>
      </c>
    </row>
    <row r="742" spans="1:14" ht="45">
      <c r="A742" s="6" t="s">
        <v>1204</v>
      </c>
      <c r="B742" s="6" t="s">
        <v>1205</v>
      </c>
      <c r="C742" s="6" t="s">
        <v>1206</v>
      </c>
      <c r="D742" s="6" t="s">
        <v>1207</v>
      </c>
      <c r="E742" s="11" t="s">
        <v>1208</v>
      </c>
      <c r="F742" s="11" t="s">
        <v>1209</v>
      </c>
      <c r="G742" s="11" t="s">
        <v>1210</v>
      </c>
      <c r="H742" s="11" t="s">
        <v>117</v>
      </c>
      <c r="I742" s="20">
        <v>1113.4000000000001</v>
      </c>
      <c r="J742" s="20" t="s">
        <v>1211</v>
      </c>
      <c r="K742" s="14">
        <f>I742/60/6*24</f>
        <v>74.226666666666674</v>
      </c>
      <c r="L742" s="14">
        <v>50</v>
      </c>
      <c r="M742" s="6" t="s">
        <v>2286</v>
      </c>
      <c r="N742" s="6" t="s">
        <v>2287</v>
      </c>
    </row>
    <row r="743" spans="1:14" ht="45">
      <c r="A743" s="6" t="s">
        <v>1212</v>
      </c>
      <c r="B743" s="6" t="s">
        <v>1205</v>
      </c>
      <c r="C743" s="6" t="s">
        <v>1206</v>
      </c>
      <c r="D743" s="6" t="s">
        <v>1207</v>
      </c>
      <c r="E743" s="11" t="s">
        <v>1208</v>
      </c>
      <c r="F743" s="11" t="s">
        <v>1213</v>
      </c>
      <c r="G743" s="11" t="s">
        <v>1210</v>
      </c>
      <c r="H743" s="11" t="s">
        <v>117</v>
      </c>
      <c r="I743" s="20">
        <v>1740.3000000000002</v>
      </c>
      <c r="J743" s="20" t="s">
        <v>1211</v>
      </c>
      <c r="K743" s="14">
        <f>I743/60/12*24</f>
        <v>58.010000000000005</v>
      </c>
      <c r="L743" s="14">
        <v>50</v>
      </c>
      <c r="M743" s="6" t="s">
        <v>2286</v>
      </c>
      <c r="N743" s="6" t="s">
        <v>2287</v>
      </c>
    </row>
    <row r="744" spans="1:14" ht="56.25">
      <c r="A744" s="6" t="s">
        <v>2072</v>
      </c>
      <c r="B744" s="6" t="s">
        <v>1214</v>
      </c>
      <c r="C744" s="6" t="s">
        <v>1215</v>
      </c>
      <c r="D744" s="6" t="s">
        <v>1216</v>
      </c>
      <c r="E744" s="11" t="s">
        <v>1217</v>
      </c>
      <c r="F744" s="11" t="s">
        <v>1218</v>
      </c>
      <c r="G744" s="11" t="s">
        <v>828</v>
      </c>
      <c r="H744" s="11" t="s">
        <v>50</v>
      </c>
      <c r="I744" s="20">
        <v>763.3</v>
      </c>
      <c r="J744" s="20" t="s">
        <v>1219</v>
      </c>
      <c r="K744" s="14">
        <f>I744/200*6</f>
        <v>22.898999999999997</v>
      </c>
      <c r="L744" s="14">
        <v>50</v>
      </c>
      <c r="M744" s="6" t="s">
        <v>2341</v>
      </c>
      <c r="N744" s="6"/>
    </row>
    <row r="745" spans="1:14" ht="45">
      <c r="A745" s="6" t="s">
        <v>2073</v>
      </c>
      <c r="B745" s="6" t="s">
        <v>1784</v>
      </c>
      <c r="C745" s="6" t="s">
        <v>1215</v>
      </c>
      <c r="D745" s="6" t="s">
        <v>1220</v>
      </c>
      <c r="E745" s="11" t="s">
        <v>1194</v>
      </c>
      <c r="F745" s="11" t="s">
        <v>1221</v>
      </c>
      <c r="G745" s="11" t="s">
        <v>1222</v>
      </c>
      <c r="H745" s="11" t="s">
        <v>242</v>
      </c>
      <c r="I745" s="20">
        <v>407.6</v>
      </c>
      <c r="J745" s="20" t="s">
        <v>254</v>
      </c>
      <c r="K745" s="14" t="s">
        <v>254</v>
      </c>
      <c r="L745" s="14">
        <v>50</v>
      </c>
      <c r="M745" s="6" t="s">
        <v>2341</v>
      </c>
      <c r="N745" s="6"/>
    </row>
    <row r="746" spans="1:14" ht="45">
      <c r="A746" s="6" t="s">
        <v>2074</v>
      </c>
      <c r="B746" s="6" t="s">
        <v>1223</v>
      </c>
      <c r="C746" s="6" t="s">
        <v>1667</v>
      </c>
      <c r="D746" s="6" t="s">
        <v>1224</v>
      </c>
      <c r="E746" s="11" t="s">
        <v>1225</v>
      </c>
      <c r="F746" s="11" t="s">
        <v>2923</v>
      </c>
      <c r="G746" s="11" t="s">
        <v>2411</v>
      </c>
      <c r="H746" s="11" t="s">
        <v>136</v>
      </c>
      <c r="I746" s="20">
        <v>1520.8</v>
      </c>
      <c r="J746" s="20" t="s">
        <v>1226</v>
      </c>
      <c r="K746" s="14">
        <f t="shared" ref="K746:K753" si="2">I746/60*2</f>
        <v>50.693333333333335</v>
      </c>
      <c r="L746" s="14">
        <v>50</v>
      </c>
      <c r="M746" s="6" t="s">
        <v>2288</v>
      </c>
      <c r="N746" s="6" t="s">
        <v>2289</v>
      </c>
    </row>
    <row r="747" spans="1:14" ht="45">
      <c r="A747" s="6" t="s">
        <v>2075</v>
      </c>
      <c r="B747" s="6" t="s">
        <v>1223</v>
      </c>
      <c r="C747" s="6" t="s">
        <v>1667</v>
      </c>
      <c r="D747" s="6" t="s">
        <v>1224</v>
      </c>
      <c r="E747" s="11" t="s">
        <v>1225</v>
      </c>
      <c r="F747" s="11" t="s">
        <v>2924</v>
      </c>
      <c r="G747" s="11" t="s">
        <v>2411</v>
      </c>
      <c r="H747" s="11" t="s">
        <v>136</v>
      </c>
      <c r="I747" s="20">
        <v>2076.1999999999998</v>
      </c>
      <c r="J747" s="20" t="s">
        <v>1226</v>
      </c>
      <c r="K747" s="14">
        <f t="shared" si="2"/>
        <v>69.206666666666663</v>
      </c>
      <c r="L747" s="14">
        <v>50</v>
      </c>
      <c r="M747" s="6" t="s">
        <v>2288</v>
      </c>
      <c r="N747" s="6" t="s">
        <v>2289</v>
      </c>
    </row>
    <row r="748" spans="1:14" ht="45">
      <c r="A748" s="6" t="s">
        <v>2076</v>
      </c>
      <c r="B748" s="6" t="s">
        <v>1223</v>
      </c>
      <c r="C748" s="6" t="s">
        <v>1667</v>
      </c>
      <c r="D748" s="6" t="s">
        <v>1224</v>
      </c>
      <c r="E748" s="11" t="s">
        <v>1225</v>
      </c>
      <c r="F748" s="11" t="s">
        <v>2926</v>
      </c>
      <c r="G748" s="11" t="s">
        <v>2411</v>
      </c>
      <c r="H748" s="11" t="s">
        <v>136</v>
      </c>
      <c r="I748" s="20">
        <v>2548.4</v>
      </c>
      <c r="J748" s="20" t="s">
        <v>1226</v>
      </c>
      <c r="K748" s="14">
        <f t="shared" si="2"/>
        <v>84.946666666666673</v>
      </c>
      <c r="L748" s="14">
        <v>50</v>
      </c>
      <c r="M748" s="6" t="s">
        <v>2288</v>
      </c>
      <c r="N748" s="6" t="s">
        <v>2289</v>
      </c>
    </row>
    <row r="749" spans="1:14" ht="45">
      <c r="A749" s="6" t="s">
        <v>1666</v>
      </c>
      <c r="B749" s="6" t="s">
        <v>1223</v>
      </c>
      <c r="C749" s="6" t="s">
        <v>1667</v>
      </c>
      <c r="D749" s="6" t="s">
        <v>1668</v>
      </c>
      <c r="E749" s="11" t="s">
        <v>1225</v>
      </c>
      <c r="F749" s="11" t="s">
        <v>2925</v>
      </c>
      <c r="G749" s="11" t="s">
        <v>1333</v>
      </c>
      <c r="H749" s="11" t="s">
        <v>50</v>
      </c>
      <c r="I749" s="19">
        <v>1796.2</v>
      </c>
      <c r="J749" s="20" t="s">
        <v>1226</v>
      </c>
      <c r="K749" s="14">
        <f t="shared" si="2"/>
        <v>59.873333333333335</v>
      </c>
      <c r="L749" s="14">
        <v>50</v>
      </c>
      <c r="M749" s="6" t="s">
        <v>2288</v>
      </c>
      <c r="N749" s="6" t="s">
        <v>2290</v>
      </c>
    </row>
    <row r="750" spans="1:14" ht="45">
      <c r="A750" s="6" t="s">
        <v>1669</v>
      </c>
      <c r="B750" s="6" t="s">
        <v>1223</v>
      </c>
      <c r="C750" s="6" t="s">
        <v>1667</v>
      </c>
      <c r="D750" s="6" t="s">
        <v>1668</v>
      </c>
      <c r="E750" s="11" t="s">
        <v>1225</v>
      </c>
      <c r="F750" s="11" t="s">
        <v>2927</v>
      </c>
      <c r="G750" s="11" t="s">
        <v>1333</v>
      </c>
      <c r="H750" s="11" t="s">
        <v>50</v>
      </c>
      <c r="I750" s="19">
        <v>2203.9</v>
      </c>
      <c r="J750" s="20" t="s">
        <v>1226</v>
      </c>
      <c r="K750" s="14">
        <f t="shared" si="2"/>
        <v>73.463333333333338</v>
      </c>
      <c r="L750" s="14">
        <v>50</v>
      </c>
      <c r="M750" s="6" t="s">
        <v>2288</v>
      </c>
      <c r="N750" s="6" t="s">
        <v>2290</v>
      </c>
    </row>
    <row r="751" spans="1:14" ht="45">
      <c r="A751" s="37" t="s">
        <v>2479</v>
      </c>
      <c r="B751" s="8" t="s">
        <v>1223</v>
      </c>
      <c r="C751" s="8" t="s">
        <v>1667</v>
      </c>
      <c r="D751" s="8" t="s">
        <v>2480</v>
      </c>
      <c r="E751" s="5" t="s">
        <v>1225</v>
      </c>
      <c r="F751" s="15" t="s">
        <v>2922</v>
      </c>
      <c r="G751" s="5" t="s">
        <v>1851</v>
      </c>
      <c r="H751" s="5" t="s">
        <v>829</v>
      </c>
      <c r="I751" s="19">
        <v>1317.2</v>
      </c>
      <c r="J751" s="21" t="s">
        <v>1226</v>
      </c>
      <c r="K751" s="19">
        <f t="shared" si="2"/>
        <v>43.906666666666666</v>
      </c>
      <c r="L751" s="14">
        <v>50</v>
      </c>
      <c r="M751" s="6" t="s">
        <v>2288</v>
      </c>
      <c r="N751" s="6" t="s">
        <v>2289</v>
      </c>
    </row>
    <row r="752" spans="1:14" ht="45">
      <c r="A752" s="37" t="s">
        <v>2481</v>
      </c>
      <c r="B752" s="8" t="s">
        <v>1223</v>
      </c>
      <c r="C752" s="8" t="s">
        <v>1667</v>
      </c>
      <c r="D752" s="8" t="s">
        <v>2480</v>
      </c>
      <c r="E752" s="5" t="s">
        <v>1225</v>
      </c>
      <c r="F752" s="15" t="s">
        <v>2925</v>
      </c>
      <c r="G752" s="5" t="s">
        <v>1851</v>
      </c>
      <c r="H752" s="5" t="s">
        <v>829</v>
      </c>
      <c r="I752" s="19">
        <v>1796.2</v>
      </c>
      <c r="J752" s="21" t="s">
        <v>1226</v>
      </c>
      <c r="K752" s="19">
        <f t="shared" si="2"/>
        <v>59.873333333333335</v>
      </c>
      <c r="L752" s="14">
        <v>50</v>
      </c>
      <c r="M752" s="6" t="s">
        <v>2288</v>
      </c>
      <c r="N752" s="6" t="s">
        <v>2289</v>
      </c>
    </row>
    <row r="753" spans="1:14" ht="45">
      <c r="A753" s="37" t="s">
        <v>2482</v>
      </c>
      <c r="B753" s="8" t="s">
        <v>1223</v>
      </c>
      <c r="C753" s="8" t="s">
        <v>1667</v>
      </c>
      <c r="D753" s="8" t="s">
        <v>2480</v>
      </c>
      <c r="E753" s="5" t="s">
        <v>1225</v>
      </c>
      <c r="F753" s="15" t="s">
        <v>2927</v>
      </c>
      <c r="G753" s="5" t="s">
        <v>1851</v>
      </c>
      <c r="H753" s="5" t="s">
        <v>829</v>
      </c>
      <c r="I753" s="19">
        <v>2203.9</v>
      </c>
      <c r="J753" s="21" t="s">
        <v>1226</v>
      </c>
      <c r="K753" s="19">
        <f t="shared" si="2"/>
        <v>73.463333333333338</v>
      </c>
      <c r="L753" s="14">
        <v>50</v>
      </c>
      <c r="M753" s="6" t="s">
        <v>2288</v>
      </c>
      <c r="N753" s="6" t="s">
        <v>2289</v>
      </c>
    </row>
    <row r="754" spans="1:14" ht="45">
      <c r="A754" s="6" t="s">
        <v>2077</v>
      </c>
      <c r="B754" s="6" t="s">
        <v>1227</v>
      </c>
      <c r="C754" s="6" t="s">
        <v>1767</v>
      </c>
      <c r="D754" s="6" t="s">
        <v>1229</v>
      </c>
      <c r="E754" s="11" t="s">
        <v>1208</v>
      </c>
      <c r="F754" s="11" t="s">
        <v>2352</v>
      </c>
      <c r="G754" s="11" t="s">
        <v>1210</v>
      </c>
      <c r="H754" s="11" t="s">
        <v>117</v>
      </c>
      <c r="I754" s="19">
        <v>1471.4</v>
      </c>
      <c r="J754" s="20" t="s">
        <v>1203</v>
      </c>
      <c r="K754" s="14">
        <f>I754/60*4</f>
        <v>98.093333333333334</v>
      </c>
      <c r="L754" s="14">
        <v>50</v>
      </c>
      <c r="M754" s="6" t="s">
        <v>2288</v>
      </c>
      <c r="N754" s="6" t="s">
        <v>2291</v>
      </c>
    </row>
    <row r="755" spans="1:14" ht="45">
      <c r="A755" s="6" t="s">
        <v>2078</v>
      </c>
      <c r="B755" s="6" t="s">
        <v>1227</v>
      </c>
      <c r="C755" s="6" t="s">
        <v>1767</v>
      </c>
      <c r="D755" s="6" t="s">
        <v>1229</v>
      </c>
      <c r="E755" s="11" t="s">
        <v>1208</v>
      </c>
      <c r="F755" s="11" t="s">
        <v>2353</v>
      </c>
      <c r="G755" s="11" t="s">
        <v>1210</v>
      </c>
      <c r="H755" s="11" t="s">
        <v>117</v>
      </c>
      <c r="I755" s="19">
        <v>1230.8</v>
      </c>
      <c r="J755" s="20" t="s">
        <v>1203</v>
      </c>
      <c r="K755" s="14">
        <f>I755/60*4</f>
        <v>82.053333333333327</v>
      </c>
      <c r="L755" s="14">
        <v>50</v>
      </c>
      <c r="M755" s="6" t="s">
        <v>2288</v>
      </c>
      <c r="N755" s="6" t="s">
        <v>2291</v>
      </c>
    </row>
    <row r="756" spans="1:14" ht="45">
      <c r="A756" s="6" t="s">
        <v>1766</v>
      </c>
      <c r="B756" s="6" t="s">
        <v>1227</v>
      </c>
      <c r="C756" s="6" t="s">
        <v>1767</v>
      </c>
      <c r="D756" s="6" t="s">
        <v>1229</v>
      </c>
      <c r="E756" s="11" t="s">
        <v>1208</v>
      </c>
      <c r="F756" s="11" t="s">
        <v>2354</v>
      </c>
      <c r="G756" s="11" t="s">
        <v>1210</v>
      </c>
      <c r="H756" s="11" t="s">
        <v>117</v>
      </c>
      <c r="I756" s="19">
        <v>2461.6</v>
      </c>
      <c r="J756" s="20" t="s">
        <v>1203</v>
      </c>
      <c r="K756" s="14">
        <f>I756/120*4</f>
        <v>82.053333333333327</v>
      </c>
      <c r="L756" s="14">
        <v>50</v>
      </c>
      <c r="M756" s="6" t="s">
        <v>2288</v>
      </c>
      <c r="N756" s="6" t="s">
        <v>2291</v>
      </c>
    </row>
    <row r="757" spans="1:14" ht="45">
      <c r="A757" s="6" t="s">
        <v>2079</v>
      </c>
      <c r="B757" s="6" t="s">
        <v>1227</v>
      </c>
      <c r="C757" s="6" t="s">
        <v>1228</v>
      </c>
      <c r="D757" s="6" t="s">
        <v>1229</v>
      </c>
      <c r="E757" s="11" t="s">
        <v>1208</v>
      </c>
      <c r="F757" s="11" t="s">
        <v>1534</v>
      </c>
      <c r="G757" s="11" t="s">
        <v>1210</v>
      </c>
      <c r="H757" s="11" t="s">
        <v>117</v>
      </c>
      <c r="I757" s="20">
        <v>2687.8</v>
      </c>
      <c r="J757" s="20" t="s">
        <v>1226</v>
      </c>
      <c r="K757" s="14">
        <f>I757/60*2</f>
        <v>89.593333333333334</v>
      </c>
      <c r="L757" s="14">
        <v>50</v>
      </c>
      <c r="M757" s="6" t="s">
        <v>2288</v>
      </c>
      <c r="N757" s="6" t="s">
        <v>2291</v>
      </c>
    </row>
    <row r="758" spans="1:14" ht="90">
      <c r="A758" s="6" t="s">
        <v>1734</v>
      </c>
      <c r="B758" s="6" t="s">
        <v>1227</v>
      </c>
      <c r="C758" s="6" t="s">
        <v>1767</v>
      </c>
      <c r="D758" s="6" t="s">
        <v>1735</v>
      </c>
      <c r="E758" s="11" t="s">
        <v>1208</v>
      </c>
      <c r="F758" s="11" t="s">
        <v>1736</v>
      </c>
      <c r="G758" s="5" t="s">
        <v>3071</v>
      </c>
      <c r="H758" s="5" t="s">
        <v>3072</v>
      </c>
      <c r="I758" s="19">
        <v>2461.6</v>
      </c>
      <c r="J758" s="20" t="s">
        <v>1203</v>
      </c>
      <c r="K758" s="14">
        <f>I758/120*4</f>
        <v>82.053333333333327</v>
      </c>
      <c r="L758" s="14">
        <v>50</v>
      </c>
      <c r="M758" s="6" t="s">
        <v>2288</v>
      </c>
      <c r="N758" s="6" t="s">
        <v>2291</v>
      </c>
    </row>
    <row r="759" spans="1:14" ht="90">
      <c r="A759" s="6" t="s">
        <v>1737</v>
      </c>
      <c r="B759" s="6" t="s">
        <v>1227</v>
      </c>
      <c r="C759" s="6" t="s">
        <v>1767</v>
      </c>
      <c r="D759" s="6" t="s">
        <v>1735</v>
      </c>
      <c r="E759" s="11" t="s">
        <v>1208</v>
      </c>
      <c r="F759" s="11" t="s">
        <v>1738</v>
      </c>
      <c r="G759" s="5" t="s">
        <v>3071</v>
      </c>
      <c r="H759" s="5" t="s">
        <v>3072</v>
      </c>
      <c r="I759" s="20">
        <v>2687.8</v>
      </c>
      <c r="J759" s="20" t="s">
        <v>1226</v>
      </c>
      <c r="K759" s="14">
        <f>I759/60*2</f>
        <v>89.593333333333334</v>
      </c>
      <c r="L759" s="14">
        <v>50</v>
      </c>
      <c r="M759" s="6" t="s">
        <v>2288</v>
      </c>
      <c r="N759" s="6" t="s">
        <v>2291</v>
      </c>
    </row>
    <row r="760" spans="1:14" ht="56.25">
      <c r="A760" s="37" t="s">
        <v>2765</v>
      </c>
      <c r="B760" s="8" t="s">
        <v>1227</v>
      </c>
      <c r="C760" s="8" t="s">
        <v>1767</v>
      </c>
      <c r="D760" s="8" t="s">
        <v>2766</v>
      </c>
      <c r="E760" s="5" t="s">
        <v>1225</v>
      </c>
      <c r="F760" s="16" t="s">
        <v>2767</v>
      </c>
      <c r="G760" s="5" t="s">
        <v>2768</v>
      </c>
      <c r="H760" s="5" t="s">
        <v>2769</v>
      </c>
      <c r="I760" s="20">
        <v>1230.8</v>
      </c>
      <c r="J760" s="19" t="s">
        <v>1203</v>
      </c>
      <c r="K760" s="14">
        <f>I760/60*4</f>
        <v>82.053333333333327</v>
      </c>
      <c r="L760" s="14">
        <v>50</v>
      </c>
      <c r="M760" s="6" t="s">
        <v>2288</v>
      </c>
      <c r="N760" s="6" t="s">
        <v>2291</v>
      </c>
    </row>
    <row r="761" spans="1:14" s="83" customFormat="1" ht="45">
      <c r="A761" s="37" t="s">
        <v>2080</v>
      </c>
      <c r="B761" s="8" t="s">
        <v>1712</v>
      </c>
      <c r="C761" s="8" t="s">
        <v>1713</v>
      </c>
      <c r="D761" s="8" t="s">
        <v>1714</v>
      </c>
      <c r="E761" s="5" t="s">
        <v>1225</v>
      </c>
      <c r="F761" s="5" t="s">
        <v>1715</v>
      </c>
      <c r="G761" s="5" t="s">
        <v>3044</v>
      </c>
      <c r="H761" s="5" t="s">
        <v>3005</v>
      </c>
      <c r="I761" s="20">
        <v>2694.8</v>
      </c>
      <c r="J761" s="5" t="s">
        <v>1716</v>
      </c>
      <c r="K761" s="18">
        <f>+I761/30</f>
        <v>89.826666666666668</v>
      </c>
      <c r="L761" s="19">
        <v>50</v>
      </c>
      <c r="M761" s="8" t="s">
        <v>2292</v>
      </c>
      <c r="N761" s="8" t="s">
        <v>2289</v>
      </c>
    </row>
    <row r="762" spans="1:14" s="83" customFormat="1" ht="45">
      <c r="A762" s="37" t="s">
        <v>1717</v>
      </c>
      <c r="B762" s="8" t="s">
        <v>1712</v>
      </c>
      <c r="C762" s="8" t="s">
        <v>1713</v>
      </c>
      <c r="D762" s="8" t="s">
        <v>1714</v>
      </c>
      <c r="E762" s="5" t="s">
        <v>1225</v>
      </c>
      <c r="F762" s="5" t="s">
        <v>1718</v>
      </c>
      <c r="G762" s="5" t="s">
        <v>3044</v>
      </c>
      <c r="H762" s="5" t="s">
        <v>3005</v>
      </c>
      <c r="I762" s="20">
        <v>3328.7</v>
      </c>
      <c r="J762" s="5" t="s">
        <v>1716</v>
      </c>
      <c r="K762" s="18">
        <f>+I762/30</f>
        <v>110.95666666666666</v>
      </c>
      <c r="L762" s="19">
        <v>50</v>
      </c>
      <c r="M762" s="8" t="s">
        <v>2292</v>
      </c>
      <c r="N762" s="8" t="s">
        <v>2289</v>
      </c>
    </row>
    <row r="763" spans="1:14" s="83" customFormat="1" ht="33.75">
      <c r="A763" s="37" t="s">
        <v>2387</v>
      </c>
      <c r="B763" s="8" t="s">
        <v>2388</v>
      </c>
      <c r="C763" s="8" t="s">
        <v>2998</v>
      </c>
      <c r="D763" s="8" t="s">
        <v>2999</v>
      </c>
      <c r="E763" s="5" t="s">
        <v>1194</v>
      </c>
      <c r="F763" s="5" t="s">
        <v>3000</v>
      </c>
      <c r="G763" s="11" t="s">
        <v>2592</v>
      </c>
      <c r="H763" s="11" t="s">
        <v>2591</v>
      </c>
      <c r="I763" s="20">
        <v>2135.4</v>
      </c>
      <c r="J763" s="5" t="s">
        <v>2389</v>
      </c>
      <c r="K763" s="18">
        <f>I763/60*3</f>
        <v>106.77000000000001</v>
      </c>
      <c r="L763" s="19">
        <v>50</v>
      </c>
      <c r="M763" s="8" t="s">
        <v>2390</v>
      </c>
      <c r="N763" s="8"/>
    </row>
    <row r="764" spans="1:14" ht="56.25">
      <c r="A764" s="6" t="s">
        <v>2081</v>
      </c>
      <c r="B764" s="6" t="s">
        <v>1230</v>
      </c>
      <c r="C764" s="6" t="s">
        <v>1231</v>
      </c>
      <c r="D764" s="6" t="s">
        <v>1232</v>
      </c>
      <c r="E764" s="11" t="s">
        <v>1217</v>
      </c>
      <c r="F764" s="11" t="s">
        <v>1233</v>
      </c>
      <c r="G764" s="11" t="s">
        <v>2414</v>
      </c>
      <c r="H764" s="11" t="s">
        <v>2415</v>
      </c>
      <c r="I764" s="20">
        <v>770.1</v>
      </c>
      <c r="J764" s="20" t="s">
        <v>1234</v>
      </c>
      <c r="K764" s="14">
        <f>I764/200/250*800</f>
        <v>12.3216</v>
      </c>
      <c r="L764" s="14">
        <v>50</v>
      </c>
      <c r="M764" s="6" t="s">
        <v>2288</v>
      </c>
      <c r="N764" s="6" t="s">
        <v>2293</v>
      </c>
    </row>
    <row r="765" spans="1:14" ht="45">
      <c r="A765" s="6" t="s">
        <v>2082</v>
      </c>
      <c r="B765" s="6" t="s">
        <v>1235</v>
      </c>
      <c r="C765" s="6" t="s">
        <v>109</v>
      </c>
      <c r="D765" s="6" t="s">
        <v>1236</v>
      </c>
      <c r="E765" s="11" t="s">
        <v>1208</v>
      </c>
      <c r="F765" s="11" t="s">
        <v>1237</v>
      </c>
      <c r="G765" s="11" t="s">
        <v>1210</v>
      </c>
      <c r="H765" s="11" t="s">
        <v>117</v>
      </c>
      <c r="I765" s="20">
        <v>741.9</v>
      </c>
      <c r="J765" s="20" t="s">
        <v>1234</v>
      </c>
      <c r="K765" s="14">
        <f>I765/100/200*800</f>
        <v>29.675999999999998</v>
      </c>
      <c r="L765" s="14">
        <v>50</v>
      </c>
      <c r="M765" s="6" t="s">
        <v>2288</v>
      </c>
      <c r="N765" s="6" t="s">
        <v>2294</v>
      </c>
    </row>
    <row r="766" spans="1:14" ht="22.5">
      <c r="A766" s="6" t="s">
        <v>1238</v>
      </c>
      <c r="B766" s="6" t="s">
        <v>1235</v>
      </c>
      <c r="C766" s="6" t="s">
        <v>109</v>
      </c>
      <c r="D766" s="6" t="s">
        <v>1239</v>
      </c>
      <c r="E766" s="11" t="s">
        <v>1240</v>
      </c>
      <c r="F766" s="11" t="s">
        <v>1241</v>
      </c>
      <c r="G766" s="11" t="s">
        <v>1210</v>
      </c>
      <c r="H766" s="11" t="s">
        <v>117</v>
      </c>
      <c r="I766" s="20">
        <v>1192.8</v>
      </c>
      <c r="J766" s="20" t="s">
        <v>1234</v>
      </c>
      <c r="K766" s="14">
        <f>I766/20/0.5*0.8</f>
        <v>95.424000000000007</v>
      </c>
      <c r="L766" s="14">
        <v>50</v>
      </c>
      <c r="M766" s="6" t="s">
        <v>2288</v>
      </c>
      <c r="N766" s="6" t="s">
        <v>2295</v>
      </c>
    </row>
    <row r="767" spans="1:14" ht="22.5">
      <c r="A767" s="6" t="s">
        <v>1242</v>
      </c>
      <c r="B767" s="6" t="s">
        <v>1235</v>
      </c>
      <c r="C767" s="6" t="s">
        <v>109</v>
      </c>
      <c r="D767" s="6" t="s">
        <v>1239</v>
      </c>
      <c r="E767" s="11" t="s">
        <v>1240</v>
      </c>
      <c r="F767" s="11" t="s">
        <v>1243</v>
      </c>
      <c r="G767" s="11" t="s">
        <v>1210</v>
      </c>
      <c r="H767" s="11" t="s">
        <v>117</v>
      </c>
      <c r="I767" s="20">
        <v>1577.3</v>
      </c>
      <c r="J767" s="20" t="s">
        <v>1234</v>
      </c>
      <c r="K767" s="14">
        <f>I767/20/1*0.8</f>
        <v>63.091999999999999</v>
      </c>
      <c r="L767" s="14">
        <v>50</v>
      </c>
      <c r="M767" s="6" t="s">
        <v>2288</v>
      </c>
      <c r="N767" s="6" t="s">
        <v>2295</v>
      </c>
    </row>
    <row r="768" spans="1:14" ht="45">
      <c r="A768" s="6" t="s">
        <v>2083</v>
      </c>
      <c r="B768" s="6" t="s">
        <v>1244</v>
      </c>
      <c r="C768" s="6" t="s">
        <v>1792</v>
      </c>
      <c r="D768" s="6" t="s">
        <v>1245</v>
      </c>
      <c r="E768" s="11" t="s">
        <v>1196</v>
      </c>
      <c r="F768" s="11" t="s">
        <v>1246</v>
      </c>
      <c r="G768" s="11" t="s">
        <v>1710</v>
      </c>
      <c r="H768" s="11" t="s">
        <v>3006</v>
      </c>
      <c r="I768" s="20">
        <v>556.5</v>
      </c>
      <c r="J768" s="20" t="s">
        <v>1247</v>
      </c>
      <c r="K768" s="14">
        <f>I768/120/50*600</f>
        <v>55.65</v>
      </c>
      <c r="L768" s="14">
        <v>50</v>
      </c>
      <c r="M768" s="6" t="s">
        <v>2288</v>
      </c>
      <c r="N768" s="6" t="s">
        <v>2296</v>
      </c>
    </row>
    <row r="769" spans="1:14" ht="45">
      <c r="A769" s="6" t="s">
        <v>2084</v>
      </c>
      <c r="B769" s="6" t="s">
        <v>1244</v>
      </c>
      <c r="C769" s="6" t="s">
        <v>1248</v>
      </c>
      <c r="D769" s="6" t="s">
        <v>1245</v>
      </c>
      <c r="E769" s="11" t="s">
        <v>1196</v>
      </c>
      <c r="F769" s="11" t="s">
        <v>1249</v>
      </c>
      <c r="G769" s="11" t="s">
        <v>2412</v>
      </c>
      <c r="H769" s="11" t="s">
        <v>2413</v>
      </c>
      <c r="I769" s="20">
        <v>632.70000000000005</v>
      </c>
      <c r="J769" s="20" t="s">
        <v>1247</v>
      </c>
      <c r="K769" s="14">
        <f>I769/60/125*600</f>
        <v>50.616</v>
      </c>
      <c r="L769" s="14">
        <v>50</v>
      </c>
      <c r="M769" s="6" t="s">
        <v>2288</v>
      </c>
      <c r="N769" s="6" t="s">
        <v>2296</v>
      </c>
    </row>
    <row r="770" spans="1:14" ht="45">
      <c r="A770" s="6" t="s">
        <v>2085</v>
      </c>
      <c r="B770" s="6" t="s">
        <v>1244</v>
      </c>
      <c r="C770" s="6" t="s">
        <v>1248</v>
      </c>
      <c r="D770" s="6" t="s">
        <v>1245</v>
      </c>
      <c r="E770" s="11" t="s">
        <v>1196</v>
      </c>
      <c r="F770" s="11" t="s">
        <v>1250</v>
      </c>
      <c r="G770" s="11" t="s">
        <v>2412</v>
      </c>
      <c r="H770" s="11" t="s">
        <v>2413</v>
      </c>
      <c r="I770" s="20">
        <v>892.2</v>
      </c>
      <c r="J770" s="20" t="s">
        <v>1247</v>
      </c>
      <c r="K770" s="14">
        <f>I770/60/250*600</f>
        <v>35.688000000000002</v>
      </c>
      <c r="L770" s="14">
        <v>50</v>
      </c>
      <c r="M770" s="6" t="s">
        <v>2288</v>
      </c>
      <c r="N770" s="6" t="s">
        <v>2296</v>
      </c>
    </row>
    <row r="771" spans="1:14" ht="45">
      <c r="A771" s="9" t="s">
        <v>1251</v>
      </c>
      <c r="B771" s="6" t="s">
        <v>1252</v>
      </c>
      <c r="C771" s="6" t="s">
        <v>1253</v>
      </c>
      <c r="D771" s="6" t="s">
        <v>1450</v>
      </c>
      <c r="E771" s="11" t="s">
        <v>1217</v>
      </c>
      <c r="F771" s="11" t="s">
        <v>1452</v>
      </c>
      <c r="G771" s="5" t="s">
        <v>2770</v>
      </c>
      <c r="H771" s="5" t="s">
        <v>2771</v>
      </c>
      <c r="I771" s="20">
        <v>1683.7</v>
      </c>
      <c r="J771" s="20" t="s">
        <v>1254</v>
      </c>
      <c r="K771" s="14">
        <f>I771/60/160*160</f>
        <v>28.061666666666667</v>
      </c>
      <c r="L771" s="14">
        <v>50</v>
      </c>
      <c r="M771" s="6" t="s">
        <v>2288</v>
      </c>
      <c r="N771" s="6" t="s">
        <v>2297</v>
      </c>
    </row>
    <row r="772" spans="1:14" ht="45">
      <c r="A772" s="9" t="s">
        <v>1255</v>
      </c>
      <c r="B772" s="6" t="s">
        <v>1252</v>
      </c>
      <c r="C772" s="6" t="s">
        <v>1253</v>
      </c>
      <c r="D772" s="6" t="s">
        <v>1450</v>
      </c>
      <c r="E772" s="11" t="s">
        <v>1217</v>
      </c>
      <c r="F772" s="11" t="s">
        <v>1451</v>
      </c>
      <c r="G772" s="5" t="s">
        <v>2770</v>
      </c>
      <c r="H772" s="5" t="s">
        <v>2771</v>
      </c>
      <c r="I772" s="20">
        <v>2557.8000000000002</v>
      </c>
      <c r="J772" s="20" t="s">
        <v>1254</v>
      </c>
      <c r="K772" s="14">
        <f>I772/120/80*160</f>
        <v>42.629999999999995</v>
      </c>
      <c r="L772" s="14">
        <v>50</v>
      </c>
      <c r="M772" s="6" t="s">
        <v>2288</v>
      </c>
      <c r="N772" s="6" t="s">
        <v>2297</v>
      </c>
    </row>
    <row r="773" spans="1:14" ht="22.5">
      <c r="A773" s="6" t="s">
        <v>2086</v>
      </c>
      <c r="B773" s="6" t="s">
        <v>1256</v>
      </c>
      <c r="C773" s="6" t="s">
        <v>1192</v>
      </c>
      <c r="D773" s="6" t="s">
        <v>1193</v>
      </c>
      <c r="E773" s="11" t="s">
        <v>57</v>
      </c>
      <c r="F773" s="11" t="s">
        <v>1257</v>
      </c>
      <c r="G773" s="11" t="s">
        <v>11</v>
      </c>
      <c r="H773" s="11" t="s">
        <v>12</v>
      </c>
      <c r="I773" s="20">
        <v>215.5</v>
      </c>
      <c r="J773" s="20" t="s">
        <v>942</v>
      </c>
      <c r="K773" s="14">
        <f>I773/40/2*12</f>
        <v>32.325000000000003</v>
      </c>
      <c r="L773" s="14">
        <v>50</v>
      </c>
      <c r="M773" s="6"/>
      <c r="N773" s="6"/>
    </row>
    <row r="774" spans="1:14" ht="22.5">
      <c r="A774" s="6" t="s">
        <v>2087</v>
      </c>
      <c r="B774" s="6" t="s">
        <v>1256</v>
      </c>
      <c r="C774" s="6" t="s">
        <v>1192</v>
      </c>
      <c r="D774" s="6" t="s">
        <v>1193</v>
      </c>
      <c r="E774" s="11" t="s">
        <v>55</v>
      </c>
      <c r="F774" s="11" t="s">
        <v>1258</v>
      </c>
      <c r="G774" s="11" t="s">
        <v>11</v>
      </c>
      <c r="H774" s="11" t="s">
        <v>12</v>
      </c>
      <c r="I774" s="20">
        <v>126.9</v>
      </c>
      <c r="J774" s="20" t="s">
        <v>942</v>
      </c>
      <c r="K774" s="14">
        <f>I774/60/2*12</f>
        <v>12.690000000000001</v>
      </c>
      <c r="L774" s="14">
        <v>50</v>
      </c>
      <c r="M774" s="6"/>
      <c r="N774" s="6"/>
    </row>
    <row r="775" spans="1:14" ht="45">
      <c r="A775" s="6" t="s">
        <v>2088</v>
      </c>
      <c r="B775" s="6" t="s">
        <v>1259</v>
      </c>
      <c r="C775" s="6" t="s">
        <v>1260</v>
      </c>
      <c r="D775" s="6" t="s">
        <v>1261</v>
      </c>
      <c r="E775" s="11" t="s">
        <v>309</v>
      </c>
      <c r="F775" s="11" t="s">
        <v>1262</v>
      </c>
      <c r="G775" s="15" t="s">
        <v>3045</v>
      </c>
      <c r="H775" s="15" t="s">
        <v>3046</v>
      </c>
      <c r="I775" s="20">
        <v>296.39999999999998</v>
      </c>
      <c r="J775" s="20" t="s">
        <v>750</v>
      </c>
      <c r="K775" s="14">
        <f>I775/40/125*400</f>
        <v>23.711999999999996</v>
      </c>
      <c r="L775" s="14">
        <v>50</v>
      </c>
      <c r="M775" s="6"/>
      <c r="N775" s="6"/>
    </row>
    <row r="776" spans="1:14" ht="45">
      <c r="A776" s="6" t="s">
        <v>2089</v>
      </c>
      <c r="B776" s="6" t="s">
        <v>1259</v>
      </c>
      <c r="C776" s="6" t="s">
        <v>1260</v>
      </c>
      <c r="D776" s="6" t="s">
        <v>1261</v>
      </c>
      <c r="E776" s="11" t="s">
        <v>309</v>
      </c>
      <c r="F776" s="11" t="s">
        <v>1263</v>
      </c>
      <c r="G776" s="15" t="s">
        <v>3045</v>
      </c>
      <c r="H776" s="15" t="s">
        <v>3046</v>
      </c>
      <c r="I776" s="20">
        <v>591.4</v>
      </c>
      <c r="J776" s="20" t="s">
        <v>750</v>
      </c>
      <c r="K776" s="14">
        <f>I776/40/250*400</f>
        <v>23.655999999999999</v>
      </c>
      <c r="L776" s="14">
        <v>50</v>
      </c>
      <c r="M776" s="6"/>
      <c r="N776" s="6"/>
    </row>
    <row r="777" spans="1:14" ht="33.75">
      <c r="A777" s="6" t="s">
        <v>2090</v>
      </c>
      <c r="B777" s="6" t="s">
        <v>1264</v>
      </c>
      <c r="C777" s="6" t="s">
        <v>1265</v>
      </c>
      <c r="D777" s="6" t="s">
        <v>1785</v>
      </c>
      <c r="E777" s="11" t="s">
        <v>427</v>
      </c>
      <c r="F777" s="11" t="s">
        <v>2139</v>
      </c>
      <c r="G777" s="11" t="s">
        <v>322</v>
      </c>
      <c r="H777" s="11" t="s">
        <v>12</v>
      </c>
      <c r="I777" s="20">
        <v>472.6</v>
      </c>
      <c r="J777" s="20" t="s">
        <v>801</v>
      </c>
      <c r="K777" s="14">
        <f>I777/30/350*600</f>
        <v>27.005714285714287</v>
      </c>
      <c r="L777" s="14">
        <v>50</v>
      </c>
      <c r="M777" s="6"/>
      <c r="N777" s="6"/>
    </row>
    <row r="778" spans="1:14" ht="67.5">
      <c r="A778" s="6" t="s">
        <v>2091</v>
      </c>
      <c r="B778" s="6" t="s">
        <v>1266</v>
      </c>
      <c r="C778" s="6" t="s">
        <v>1267</v>
      </c>
      <c r="D778" s="6" t="s">
        <v>1268</v>
      </c>
      <c r="E778" s="11" t="s">
        <v>1269</v>
      </c>
      <c r="F778" s="11" t="s">
        <v>473</v>
      </c>
      <c r="G778" s="5" t="s">
        <v>2986</v>
      </c>
      <c r="H778" s="5" t="s">
        <v>643</v>
      </c>
      <c r="I778" s="20">
        <v>734.7</v>
      </c>
      <c r="J778" s="20" t="s">
        <v>106</v>
      </c>
      <c r="K778" s="14">
        <f>I778/28/5*10</f>
        <v>52.478571428571435</v>
      </c>
      <c r="L778" s="14">
        <v>50</v>
      </c>
      <c r="M778" s="6" t="s">
        <v>2298</v>
      </c>
      <c r="N778" s="6" t="s">
        <v>2299</v>
      </c>
    </row>
    <row r="779" spans="1:14" ht="67.5">
      <c r="A779" s="6" t="s">
        <v>2092</v>
      </c>
      <c r="B779" s="6" t="s">
        <v>1266</v>
      </c>
      <c r="C779" s="6" t="s">
        <v>1267</v>
      </c>
      <c r="D779" s="6" t="s">
        <v>1268</v>
      </c>
      <c r="E779" s="11" t="s">
        <v>65</v>
      </c>
      <c r="F779" s="11" t="s">
        <v>486</v>
      </c>
      <c r="G779" s="5" t="s">
        <v>2986</v>
      </c>
      <c r="H779" s="5" t="s">
        <v>643</v>
      </c>
      <c r="I779" s="20">
        <v>673.4</v>
      </c>
      <c r="J779" s="20" t="s">
        <v>106</v>
      </c>
      <c r="K779" s="14">
        <f>I779/28/10*10</f>
        <v>24.050000000000004</v>
      </c>
      <c r="L779" s="14">
        <v>50</v>
      </c>
      <c r="M779" s="6" t="s">
        <v>2298</v>
      </c>
      <c r="N779" s="6" t="s">
        <v>2299</v>
      </c>
    </row>
    <row r="780" spans="1:14" ht="90">
      <c r="A780" s="6" t="s">
        <v>1270</v>
      </c>
      <c r="B780" s="6" t="s">
        <v>1266</v>
      </c>
      <c r="C780" s="6" t="s">
        <v>1267</v>
      </c>
      <c r="D780" s="6" t="s">
        <v>1268</v>
      </c>
      <c r="E780" s="11" t="s">
        <v>1271</v>
      </c>
      <c r="F780" s="11" t="s">
        <v>1272</v>
      </c>
      <c r="G780" s="11" t="s">
        <v>840</v>
      </c>
      <c r="H780" s="11" t="s">
        <v>527</v>
      </c>
      <c r="I780" s="20">
        <v>1001.8</v>
      </c>
      <c r="J780" s="20" t="s">
        <v>106</v>
      </c>
      <c r="K780" s="14">
        <f>I780/28/4*10</f>
        <v>89.446428571428555</v>
      </c>
      <c r="L780" s="14">
        <v>50</v>
      </c>
      <c r="M780" s="6" t="s">
        <v>2298</v>
      </c>
      <c r="N780" s="6" t="s">
        <v>2300</v>
      </c>
    </row>
    <row r="781" spans="1:14" ht="90">
      <c r="A781" s="6" t="s">
        <v>1273</v>
      </c>
      <c r="B781" s="6" t="s">
        <v>1266</v>
      </c>
      <c r="C781" s="6" t="s">
        <v>1267</v>
      </c>
      <c r="D781" s="6" t="s">
        <v>1268</v>
      </c>
      <c r="E781" s="11" t="s">
        <v>1269</v>
      </c>
      <c r="F781" s="11" t="s">
        <v>1274</v>
      </c>
      <c r="G781" s="11" t="s">
        <v>3047</v>
      </c>
      <c r="H781" s="11" t="s">
        <v>3048</v>
      </c>
      <c r="I781" s="20">
        <v>1001.8</v>
      </c>
      <c r="J781" s="20" t="s">
        <v>106</v>
      </c>
      <c r="K781" s="14">
        <f>I781/28/4*10</f>
        <v>89.446428571428555</v>
      </c>
      <c r="L781" s="14">
        <v>50</v>
      </c>
      <c r="M781" s="6" t="s">
        <v>2298</v>
      </c>
      <c r="N781" s="6" t="s">
        <v>2300</v>
      </c>
    </row>
    <row r="782" spans="1:14" ht="90">
      <c r="A782" s="9" t="s">
        <v>1275</v>
      </c>
      <c r="B782" s="6" t="s">
        <v>1266</v>
      </c>
      <c r="C782" s="6" t="s">
        <v>1267</v>
      </c>
      <c r="D782" s="6" t="s">
        <v>1276</v>
      </c>
      <c r="E782" s="11" t="s">
        <v>1269</v>
      </c>
      <c r="F782" s="11" t="s">
        <v>1274</v>
      </c>
      <c r="G782" s="5" t="s">
        <v>2772</v>
      </c>
      <c r="H782" s="5" t="s">
        <v>2609</v>
      </c>
      <c r="I782" s="20">
        <v>738.2</v>
      </c>
      <c r="J782" s="20" t="s">
        <v>106</v>
      </c>
      <c r="K782" s="14">
        <f>I782/28/4*10</f>
        <v>65.910714285714292</v>
      </c>
      <c r="L782" s="14">
        <v>50</v>
      </c>
      <c r="M782" s="6" t="s">
        <v>2298</v>
      </c>
      <c r="N782" s="6" t="s">
        <v>2300</v>
      </c>
    </row>
    <row r="783" spans="1:14" ht="67.5">
      <c r="A783" s="9" t="s">
        <v>1277</v>
      </c>
      <c r="B783" s="6" t="s">
        <v>1266</v>
      </c>
      <c r="C783" s="6" t="s">
        <v>1267</v>
      </c>
      <c r="D783" s="6" t="s">
        <v>1276</v>
      </c>
      <c r="E783" s="11" t="s">
        <v>1269</v>
      </c>
      <c r="F783" s="11" t="s">
        <v>473</v>
      </c>
      <c r="G783" s="5" t="s">
        <v>2773</v>
      </c>
      <c r="H783" s="5" t="s">
        <v>2609</v>
      </c>
      <c r="I783" s="20">
        <v>734.7</v>
      </c>
      <c r="J783" s="20" t="s">
        <v>106</v>
      </c>
      <c r="K783" s="14">
        <f>I783/28/5*10</f>
        <v>52.478571428571435</v>
      </c>
      <c r="L783" s="14">
        <v>50</v>
      </c>
      <c r="M783" s="6" t="s">
        <v>2298</v>
      </c>
      <c r="N783" s="6" t="s">
        <v>2299</v>
      </c>
    </row>
    <row r="784" spans="1:14" ht="67.5">
      <c r="A784" s="9" t="s">
        <v>1278</v>
      </c>
      <c r="B784" s="6" t="s">
        <v>1266</v>
      </c>
      <c r="C784" s="6" t="s">
        <v>1267</v>
      </c>
      <c r="D784" s="6" t="s">
        <v>1276</v>
      </c>
      <c r="E784" s="11" t="s">
        <v>65</v>
      </c>
      <c r="F784" s="11" t="s">
        <v>486</v>
      </c>
      <c r="G784" s="5" t="s">
        <v>2773</v>
      </c>
      <c r="H784" s="5" t="s">
        <v>2609</v>
      </c>
      <c r="I784" s="20">
        <v>673.4</v>
      </c>
      <c r="J784" s="20" t="s">
        <v>106</v>
      </c>
      <c r="K784" s="14">
        <f>I784/28/10*10</f>
        <v>24.050000000000004</v>
      </c>
      <c r="L784" s="14">
        <v>50</v>
      </c>
      <c r="M784" s="6" t="s">
        <v>2298</v>
      </c>
      <c r="N784" s="6" t="s">
        <v>2299</v>
      </c>
    </row>
    <row r="785" spans="1:14" ht="67.5">
      <c r="A785" s="9" t="s">
        <v>1280</v>
      </c>
      <c r="B785" s="6" t="s">
        <v>1266</v>
      </c>
      <c r="C785" s="6" t="s">
        <v>1267</v>
      </c>
      <c r="D785" s="6" t="s">
        <v>1279</v>
      </c>
      <c r="E785" s="11" t="s">
        <v>65</v>
      </c>
      <c r="F785" s="11" t="s">
        <v>486</v>
      </c>
      <c r="G785" s="11" t="s">
        <v>11</v>
      </c>
      <c r="H785" s="11" t="s">
        <v>12</v>
      </c>
      <c r="I785" s="20">
        <v>673.4</v>
      </c>
      <c r="J785" s="20" t="s">
        <v>106</v>
      </c>
      <c r="K785" s="14">
        <f>I785/28/10*10</f>
        <v>24.050000000000004</v>
      </c>
      <c r="L785" s="14">
        <v>50</v>
      </c>
      <c r="M785" s="6" t="s">
        <v>2298</v>
      </c>
      <c r="N785" s="6" t="s">
        <v>2299</v>
      </c>
    </row>
    <row r="786" spans="1:14" ht="33.75">
      <c r="A786" s="6" t="s">
        <v>2093</v>
      </c>
      <c r="B786" s="6" t="s">
        <v>1281</v>
      </c>
      <c r="C786" s="6" t="s">
        <v>1282</v>
      </c>
      <c r="D786" s="6" t="s">
        <v>1283</v>
      </c>
      <c r="E786" s="11" t="s">
        <v>1194</v>
      </c>
      <c r="F786" s="11" t="s">
        <v>1284</v>
      </c>
      <c r="G786" s="11" t="s">
        <v>392</v>
      </c>
      <c r="H786" s="11" t="s">
        <v>393</v>
      </c>
      <c r="I786" s="20">
        <v>10812.2</v>
      </c>
      <c r="J786" s="20" t="s">
        <v>472</v>
      </c>
      <c r="K786" s="20">
        <f>I786/6/2.5*2.5</f>
        <v>1802.0333333333335</v>
      </c>
      <c r="L786" s="14">
        <v>50</v>
      </c>
      <c r="M786" s="6" t="s">
        <v>2301</v>
      </c>
      <c r="N786" s="6" t="s">
        <v>2302</v>
      </c>
    </row>
    <row r="787" spans="1:14" ht="45">
      <c r="A787" s="9" t="s">
        <v>1729</v>
      </c>
      <c r="B787" s="6" t="s">
        <v>1670</v>
      </c>
      <c r="C787" s="6" t="s">
        <v>1671</v>
      </c>
      <c r="D787" s="6" t="s">
        <v>2615</v>
      </c>
      <c r="E787" s="11" t="s">
        <v>94</v>
      </c>
      <c r="F787" s="11" t="s">
        <v>1843</v>
      </c>
      <c r="G787" s="11" t="s">
        <v>1672</v>
      </c>
      <c r="H787" s="19" t="s">
        <v>12</v>
      </c>
      <c r="I787" s="20">
        <v>647.5</v>
      </c>
      <c r="J787" s="11" t="s">
        <v>106</v>
      </c>
      <c r="K787" s="14">
        <f>I787/(200/5)/5*10</f>
        <v>32.375</v>
      </c>
      <c r="L787" s="18">
        <v>50</v>
      </c>
      <c r="M787" s="8" t="s">
        <v>2303</v>
      </c>
      <c r="N787" s="8" t="s">
        <v>2304</v>
      </c>
    </row>
    <row r="788" spans="1:14" ht="45">
      <c r="A788" s="9" t="s">
        <v>1836</v>
      </c>
      <c r="B788" s="6" t="s">
        <v>1670</v>
      </c>
      <c r="C788" s="6" t="s">
        <v>1671</v>
      </c>
      <c r="D788" s="6" t="s">
        <v>2987</v>
      </c>
      <c r="E788" s="11" t="s">
        <v>65</v>
      </c>
      <c r="F788" s="11" t="s">
        <v>411</v>
      </c>
      <c r="G788" s="5" t="s">
        <v>2988</v>
      </c>
      <c r="H788" s="5" t="s">
        <v>2989</v>
      </c>
      <c r="I788" s="20">
        <v>189</v>
      </c>
      <c r="J788" s="11" t="s">
        <v>106</v>
      </c>
      <c r="K788" s="14">
        <f>I788/20/10*10</f>
        <v>9.4499999999999993</v>
      </c>
      <c r="L788" s="18">
        <v>50</v>
      </c>
      <c r="M788" s="8" t="s">
        <v>2305</v>
      </c>
      <c r="N788" s="8" t="s">
        <v>2306</v>
      </c>
    </row>
    <row r="789" spans="1:14" ht="45">
      <c r="A789" s="37" t="s">
        <v>2593</v>
      </c>
      <c r="B789" s="8" t="s">
        <v>1670</v>
      </c>
      <c r="C789" s="8" t="s">
        <v>1671</v>
      </c>
      <c r="D789" s="8" t="s">
        <v>2594</v>
      </c>
      <c r="E789" s="5" t="s">
        <v>65</v>
      </c>
      <c r="F789" s="5" t="s">
        <v>411</v>
      </c>
      <c r="G789" s="5" t="s">
        <v>2595</v>
      </c>
      <c r="H789" s="5" t="s">
        <v>12</v>
      </c>
      <c r="I789" s="19">
        <v>189</v>
      </c>
      <c r="J789" s="5" t="s">
        <v>106</v>
      </c>
      <c r="K789" s="19">
        <f>I789/20/10*10</f>
        <v>9.4499999999999993</v>
      </c>
      <c r="L789" s="14">
        <v>50</v>
      </c>
      <c r="M789" s="8" t="s">
        <v>2305</v>
      </c>
      <c r="N789" s="8" t="s">
        <v>2678</v>
      </c>
    </row>
    <row r="790" spans="1:14" ht="22.5">
      <c r="A790" s="8" t="s">
        <v>2094</v>
      </c>
      <c r="B790" s="61" t="s">
        <v>1673</v>
      </c>
      <c r="C790" s="61" t="s">
        <v>1674</v>
      </c>
      <c r="D790" s="61" t="s">
        <v>1675</v>
      </c>
      <c r="E790" s="19" t="s">
        <v>65</v>
      </c>
      <c r="F790" s="19" t="s">
        <v>672</v>
      </c>
      <c r="G790" s="19" t="s">
        <v>1661</v>
      </c>
      <c r="H790" s="19" t="s">
        <v>12</v>
      </c>
      <c r="I790" s="20">
        <v>116.7</v>
      </c>
      <c r="J790" s="19" t="s">
        <v>410</v>
      </c>
      <c r="K790" s="18">
        <f>I790/10/5*5</f>
        <v>11.67</v>
      </c>
      <c r="L790" s="18">
        <v>50</v>
      </c>
      <c r="M790" s="8" t="s">
        <v>2342</v>
      </c>
      <c r="N790" s="8" t="s">
        <v>2307</v>
      </c>
    </row>
    <row r="791" spans="1:14" ht="22.5">
      <c r="A791" s="37" t="s">
        <v>2095</v>
      </c>
      <c r="B791" s="61" t="s">
        <v>1673</v>
      </c>
      <c r="C791" s="61" t="s">
        <v>1674</v>
      </c>
      <c r="D791" s="61" t="s">
        <v>1675</v>
      </c>
      <c r="E791" s="19" t="s">
        <v>65</v>
      </c>
      <c r="F791" s="19" t="s">
        <v>286</v>
      </c>
      <c r="G791" s="19" t="s">
        <v>1661</v>
      </c>
      <c r="H791" s="19" t="s">
        <v>12</v>
      </c>
      <c r="I791" s="20">
        <v>233.4</v>
      </c>
      <c r="J791" s="19" t="s">
        <v>410</v>
      </c>
      <c r="K791" s="18">
        <f>I791/20/5*5</f>
        <v>11.67</v>
      </c>
      <c r="L791" s="18">
        <v>50</v>
      </c>
      <c r="M791" s="8" t="s">
        <v>2342</v>
      </c>
      <c r="N791" s="8" t="s">
        <v>2307</v>
      </c>
    </row>
    <row r="792" spans="1:14" ht="33.75">
      <c r="A792" s="37" t="s">
        <v>1768</v>
      </c>
      <c r="B792" s="61" t="s">
        <v>1673</v>
      </c>
      <c r="C792" s="61" t="s">
        <v>1674</v>
      </c>
      <c r="D792" s="61" t="s">
        <v>1769</v>
      </c>
      <c r="E792" s="19" t="s">
        <v>65</v>
      </c>
      <c r="F792" s="19" t="s">
        <v>266</v>
      </c>
      <c r="G792" s="19" t="s">
        <v>1770</v>
      </c>
      <c r="H792" s="19" t="s">
        <v>242</v>
      </c>
      <c r="I792" s="20">
        <v>350.1</v>
      </c>
      <c r="J792" s="19" t="s">
        <v>410</v>
      </c>
      <c r="K792" s="18">
        <f>+I792/30/5*5</f>
        <v>11.67</v>
      </c>
      <c r="L792" s="18">
        <v>50</v>
      </c>
      <c r="M792" s="8" t="s">
        <v>2342</v>
      </c>
      <c r="N792" s="8" t="s">
        <v>2307</v>
      </c>
    </row>
    <row r="793" spans="1:14" ht="22.5">
      <c r="A793" s="37">
        <v>1058006</v>
      </c>
      <c r="B793" s="8" t="s">
        <v>1673</v>
      </c>
      <c r="C793" s="29" t="s">
        <v>1674</v>
      </c>
      <c r="D793" s="29" t="s">
        <v>1675</v>
      </c>
      <c r="E793" s="15" t="s">
        <v>65</v>
      </c>
      <c r="F793" s="15" t="s">
        <v>266</v>
      </c>
      <c r="G793" s="15" t="s">
        <v>24</v>
      </c>
      <c r="H793" s="15" t="s">
        <v>12</v>
      </c>
      <c r="I793" s="21">
        <v>350.1</v>
      </c>
      <c r="J793" s="15" t="s">
        <v>410</v>
      </c>
      <c r="K793" s="18">
        <f>+I793/30/5*5</f>
        <v>11.67</v>
      </c>
      <c r="L793" s="18">
        <v>50</v>
      </c>
      <c r="M793" s="8" t="s">
        <v>2342</v>
      </c>
      <c r="N793" s="8" t="s">
        <v>2307</v>
      </c>
    </row>
    <row r="794" spans="1:14" ht="33.75">
      <c r="A794" s="37" t="s">
        <v>2096</v>
      </c>
      <c r="B794" s="61" t="s">
        <v>1673</v>
      </c>
      <c r="C794" s="61" t="s">
        <v>1674</v>
      </c>
      <c r="D794" s="61" t="s">
        <v>1769</v>
      </c>
      <c r="E794" s="19" t="s">
        <v>57</v>
      </c>
      <c r="F794" s="19" t="s">
        <v>1837</v>
      </c>
      <c r="G794" s="19" t="s">
        <v>1838</v>
      </c>
      <c r="H794" s="19" t="s">
        <v>242</v>
      </c>
      <c r="I794" s="20">
        <v>466.3</v>
      </c>
      <c r="J794" s="19" t="s">
        <v>410</v>
      </c>
      <c r="K794" s="18">
        <f>I794/200/0.5*5</f>
        <v>23.315000000000001</v>
      </c>
      <c r="L794" s="18">
        <v>50</v>
      </c>
      <c r="M794" s="8" t="s">
        <v>2308</v>
      </c>
      <c r="N794" s="8" t="s">
        <v>2309</v>
      </c>
    </row>
    <row r="795" spans="1:14" ht="22.5">
      <c r="A795" s="9" t="s">
        <v>1677</v>
      </c>
      <c r="B795" s="9" t="s">
        <v>1678</v>
      </c>
      <c r="C795" s="7" t="s">
        <v>1679</v>
      </c>
      <c r="D795" s="7" t="s">
        <v>1680</v>
      </c>
      <c r="E795" s="38" t="s">
        <v>94</v>
      </c>
      <c r="F795" s="38" t="s">
        <v>1844</v>
      </c>
      <c r="G795" s="38" t="s">
        <v>1681</v>
      </c>
      <c r="H795" s="19" t="s">
        <v>12</v>
      </c>
      <c r="I795" s="20">
        <v>231.6</v>
      </c>
      <c r="J795" s="38" t="s">
        <v>410</v>
      </c>
      <c r="K795" s="14">
        <f>I795/60/0.5*5</f>
        <v>38.6</v>
      </c>
      <c r="L795" s="18">
        <v>50</v>
      </c>
      <c r="M795" s="8" t="s">
        <v>2342</v>
      </c>
      <c r="N795" s="8" t="s">
        <v>2310</v>
      </c>
    </row>
    <row r="796" spans="1:14" ht="22.5">
      <c r="A796" s="37" t="s">
        <v>2483</v>
      </c>
      <c r="B796" s="8" t="s">
        <v>1678</v>
      </c>
      <c r="C796" s="7" t="s">
        <v>1679</v>
      </c>
      <c r="D796" s="7" t="s">
        <v>2484</v>
      </c>
      <c r="E796" s="12" t="s">
        <v>57</v>
      </c>
      <c r="F796" s="12" t="s">
        <v>2485</v>
      </c>
      <c r="G796" s="5" t="s">
        <v>1790</v>
      </c>
      <c r="H796" s="12" t="s">
        <v>542</v>
      </c>
      <c r="I796" s="19">
        <v>463.2</v>
      </c>
      <c r="J796" s="19" t="s">
        <v>410</v>
      </c>
      <c r="K796" s="19">
        <f>I796/120/0.5*5</f>
        <v>38.6</v>
      </c>
      <c r="L796" s="18">
        <v>50</v>
      </c>
      <c r="M796" s="8" t="s">
        <v>2342</v>
      </c>
      <c r="N796" s="8" t="s">
        <v>2310</v>
      </c>
    </row>
    <row r="797" spans="1:14" ht="45">
      <c r="A797" s="37" t="s">
        <v>2486</v>
      </c>
      <c r="B797" s="8" t="s">
        <v>2487</v>
      </c>
      <c r="C797" s="8" t="s">
        <v>2488</v>
      </c>
      <c r="D797" s="8" t="s">
        <v>2489</v>
      </c>
      <c r="E797" s="5" t="s">
        <v>57</v>
      </c>
      <c r="F797" s="5" t="s">
        <v>2490</v>
      </c>
      <c r="G797" s="5" t="s">
        <v>2774</v>
      </c>
      <c r="H797" s="5" t="s">
        <v>1473</v>
      </c>
      <c r="I797" s="19">
        <v>449.7</v>
      </c>
      <c r="J797" s="19" t="s">
        <v>106</v>
      </c>
      <c r="K797" s="19">
        <f>I797/120*10</f>
        <v>37.475000000000001</v>
      </c>
      <c r="L797" s="18">
        <v>50</v>
      </c>
      <c r="M797" s="8" t="s">
        <v>2303</v>
      </c>
      <c r="N797" s="8" t="s">
        <v>2304</v>
      </c>
    </row>
    <row r="798" spans="1:14" ht="22.5">
      <c r="A798" s="6" t="s">
        <v>2097</v>
      </c>
      <c r="B798" s="6" t="s">
        <v>1285</v>
      </c>
      <c r="C798" s="6" t="s">
        <v>1286</v>
      </c>
      <c r="D798" s="8" t="s">
        <v>2616</v>
      </c>
      <c r="E798" s="11" t="s">
        <v>1287</v>
      </c>
      <c r="F798" s="11" t="s">
        <v>2617</v>
      </c>
      <c r="G798" s="11" t="s">
        <v>11</v>
      </c>
      <c r="H798" s="11" t="s">
        <v>12</v>
      </c>
      <c r="I798" s="20">
        <v>277.7</v>
      </c>
      <c r="J798" s="20" t="s">
        <v>254</v>
      </c>
      <c r="K798" s="14" t="s">
        <v>254</v>
      </c>
      <c r="L798" s="14">
        <v>50</v>
      </c>
      <c r="M798" s="6"/>
      <c r="N798" s="6"/>
    </row>
    <row r="799" spans="1:14" ht="33.75">
      <c r="A799" s="6" t="s">
        <v>2098</v>
      </c>
      <c r="B799" s="6" t="s">
        <v>1285</v>
      </c>
      <c r="C799" s="6" t="s">
        <v>1286</v>
      </c>
      <c r="D799" s="6" t="s">
        <v>1291</v>
      </c>
      <c r="E799" s="11" t="s">
        <v>1287</v>
      </c>
      <c r="F799" s="11" t="s">
        <v>1288</v>
      </c>
      <c r="G799" s="11" t="s">
        <v>749</v>
      </c>
      <c r="H799" s="11" t="s">
        <v>2673</v>
      </c>
      <c r="I799" s="20">
        <v>277.7</v>
      </c>
      <c r="J799" s="20" t="s">
        <v>254</v>
      </c>
      <c r="K799" s="14" t="s">
        <v>254</v>
      </c>
      <c r="L799" s="14">
        <v>50</v>
      </c>
      <c r="M799" s="6"/>
      <c r="N799" s="6"/>
    </row>
    <row r="800" spans="1:14" ht="22.5">
      <c r="A800" s="6" t="s">
        <v>2099</v>
      </c>
      <c r="B800" s="6" t="s">
        <v>1292</v>
      </c>
      <c r="C800" s="6" t="s">
        <v>1293</v>
      </c>
      <c r="D800" s="6" t="s">
        <v>1294</v>
      </c>
      <c r="E800" s="11" t="s">
        <v>1295</v>
      </c>
      <c r="F800" s="11" t="s">
        <v>1296</v>
      </c>
      <c r="G800" s="11" t="s">
        <v>1289</v>
      </c>
      <c r="H800" s="11" t="s">
        <v>1290</v>
      </c>
      <c r="I800" s="20">
        <v>172.3</v>
      </c>
      <c r="J800" s="20" t="s">
        <v>254</v>
      </c>
      <c r="K800" s="14" t="s">
        <v>254</v>
      </c>
      <c r="L800" s="14">
        <v>50</v>
      </c>
      <c r="M800" s="6"/>
      <c r="N800" s="6"/>
    </row>
    <row r="801" spans="1:14" ht="22.5">
      <c r="A801" s="9" t="s">
        <v>1297</v>
      </c>
      <c r="B801" s="6" t="s">
        <v>1298</v>
      </c>
      <c r="C801" s="6" t="s">
        <v>1299</v>
      </c>
      <c r="D801" s="6" t="s">
        <v>1300</v>
      </c>
      <c r="E801" s="11" t="s">
        <v>1287</v>
      </c>
      <c r="F801" s="11" t="s">
        <v>1535</v>
      </c>
      <c r="G801" s="11" t="s">
        <v>2775</v>
      </c>
      <c r="H801" s="11" t="s">
        <v>82</v>
      </c>
      <c r="I801" s="20">
        <v>202.7</v>
      </c>
      <c r="J801" s="11" t="s">
        <v>254</v>
      </c>
      <c r="K801" s="14" t="s">
        <v>254</v>
      </c>
      <c r="L801" s="14">
        <v>50</v>
      </c>
      <c r="M801" s="6"/>
      <c r="N801" s="6"/>
    </row>
    <row r="802" spans="1:14" ht="33.75">
      <c r="A802" s="6" t="s">
        <v>2100</v>
      </c>
      <c r="B802" s="6" t="s">
        <v>1301</v>
      </c>
      <c r="C802" s="6" t="s">
        <v>779</v>
      </c>
      <c r="D802" s="6" t="s">
        <v>1302</v>
      </c>
      <c r="E802" s="11" t="s">
        <v>1295</v>
      </c>
      <c r="F802" s="11" t="s">
        <v>1303</v>
      </c>
      <c r="G802" s="11" t="s">
        <v>1289</v>
      </c>
      <c r="H802" s="11" t="s">
        <v>1290</v>
      </c>
      <c r="I802" s="20">
        <v>203.2</v>
      </c>
      <c r="J802" s="20" t="s">
        <v>254</v>
      </c>
      <c r="K802" s="14" t="s">
        <v>254</v>
      </c>
      <c r="L802" s="14">
        <v>50</v>
      </c>
      <c r="M802" s="6" t="s">
        <v>2311</v>
      </c>
      <c r="N802" s="6"/>
    </row>
    <row r="803" spans="1:14" ht="22.5">
      <c r="A803" s="6" t="s">
        <v>2101</v>
      </c>
      <c r="B803" s="6" t="s">
        <v>1304</v>
      </c>
      <c r="C803" s="6" t="s">
        <v>1305</v>
      </c>
      <c r="D803" s="6" t="s">
        <v>589</v>
      </c>
      <c r="E803" s="11" t="s">
        <v>1287</v>
      </c>
      <c r="F803" s="11" t="s">
        <v>1288</v>
      </c>
      <c r="G803" s="11" t="s">
        <v>11</v>
      </c>
      <c r="H803" s="11" t="s">
        <v>12</v>
      </c>
      <c r="I803" s="20">
        <v>162.19999999999999</v>
      </c>
      <c r="J803" s="20" t="s">
        <v>254</v>
      </c>
      <c r="K803" s="14" t="s">
        <v>254</v>
      </c>
      <c r="L803" s="14">
        <v>50</v>
      </c>
      <c r="M803" s="6"/>
      <c r="N803" s="6"/>
    </row>
    <row r="804" spans="1:14" ht="22.5">
      <c r="A804" s="6" t="s">
        <v>2102</v>
      </c>
      <c r="B804" s="6" t="s">
        <v>1306</v>
      </c>
      <c r="C804" s="6" t="s">
        <v>1307</v>
      </c>
      <c r="D804" s="6" t="s">
        <v>1308</v>
      </c>
      <c r="E804" s="11" t="s">
        <v>1309</v>
      </c>
      <c r="F804" s="11" t="s">
        <v>1310</v>
      </c>
      <c r="G804" s="11" t="s">
        <v>1289</v>
      </c>
      <c r="H804" s="11" t="s">
        <v>1290</v>
      </c>
      <c r="I804" s="20">
        <v>151.9</v>
      </c>
      <c r="J804" s="20" t="s">
        <v>1311</v>
      </c>
      <c r="K804" s="14">
        <f>I804/10*0.4</f>
        <v>6.0760000000000005</v>
      </c>
      <c r="L804" s="14">
        <v>50</v>
      </c>
      <c r="M804" s="6"/>
      <c r="N804" s="6"/>
    </row>
    <row r="805" spans="1:14" ht="45">
      <c r="A805" s="9" t="s">
        <v>1315</v>
      </c>
      <c r="B805" s="6" t="s">
        <v>1312</v>
      </c>
      <c r="C805" s="6" t="s">
        <v>1313</v>
      </c>
      <c r="D805" s="6" t="s">
        <v>1316</v>
      </c>
      <c r="E805" s="11" t="s">
        <v>1295</v>
      </c>
      <c r="F805" s="11" t="s">
        <v>1317</v>
      </c>
      <c r="G805" s="11" t="s">
        <v>1318</v>
      </c>
      <c r="H805" s="11" t="s">
        <v>1319</v>
      </c>
      <c r="I805" s="20">
        <v>285.89999999999998</v>
      </c>
      <c r="J805" s="20" t="s">
        <v>1314</v>
      </c>
      <c r="K805" s="14">
        <f>I805/1/5*0.3</f>
        <v>17.153999999999996</v>
      </c>
      <c r="L805" s="14">
        <v>50</v>
      </c>
      <c r="M805" s="6" t="s">
        <v>2312</v>
      </c>
      <c r="N805" s="6" t="s">
        <v>2313</v>
      </c>
    </row>
    <row r="806" spans="1:14" ht="45">
      <c r="A806" s="29">
        <v>7096060</v>
      </c>
      <c r="B806" s="29" t="s">
        <v>1320</v>
      </c>
      <c r="C806" s="29" t="s">
        <v>1321</v>
      </c>
      <c r="D806" s="29" t="s">
        <v>2967</v>
      </c>
      <c r="E806" s="15" t="s">
        <v>2355</v>
      </c>
      <c r="F806" s="15" t="s">
        <v>2968</v>
      </c>
      <c r="G806" s="15" t="s">
        <v>2969</v>
      </c>
      <c r="H806" s="15" t="s">
        <v>2970</v>
      </c>
      <c r="I806" s="21">
        <v>447.6</v>
      </c>
      <c r="J806" s="19" t="s">
        <v>1322</v>
      </c>
      <c r="K806" s="19">
        <f>I806/5*0.2</f>
        <v>17.904000000000003</v>
      </c>
      <c r="L806" s="14">
        <v>50</v>
      </c>
      <c r="M806" s="29" t="s">
        <v>2312</v>
      </c>
      <c r="N806" s="29" t="s">
        <v>2314</v>
      </c>
    </row>
    <row r="807" spans="1:14" ht="22.5">
      <c r="A807" s="6" t="s">
        <v>2103</v>
      </c>
      <c r="B807" s="6" t="s">
        <v>1323</v>
      </c>
      <c r="C807" s="6" t="s">
        <v>1324</v>
      </c>
      <c r="D807" s="6" t="s">
        <v>1326</v>
      </c>
      <c r="E807" s="11" t="s">
        <v>1295</v>
      </c>
      <c r="F807" s="11" t="s">
        <v>1327</v>
      </c>
      <c r="G807" s="11" t="s">
        <v>1328</v>
      </c>
      <c r="H807" s="11" t="s">
        <v>1329</v>
      </c>
      <c r="I807" s="20">
        <v>217.9</v>
      </c>
      <c r="J807" s="20" t="s">
        <v>1322</v>
      </c>
      <c r="K807" s="14">
        <f>I807/10*0.2</f>
        <v>4.3579999999999997</v>
      </c>
      <c r="L807" s="14">
        <v>50</v>
      </c>
      <c r="M807" s="6" t="s">
        <v>2315</v>
      </c>
      <c r="N807" s="6" t="s">
        <v>2316</v>
      </c>
    </row>
    <row r="808" spans="1:14" ht="22.5">
      <c r="A808" s="35" t="s">
        <v>2596</v>
      </c>
      <c r="B808" s="8" t="s">
        <v>1323</v>
      </c>
      <c r="C808" s="8" t="s">
        <v>1324</v>
      </c>
      <c r="D808" s="36" t="s">
        <v>1325</v>
      </c>
      <c r="E808" s="5" t="s">
        <v>1295</v>
      </c>
      <c r="F808" s="5" t="s">
        <v>2928</v>
      </c>
      <c r="G808" s="5" t="s">
        <v>1722</v>
      </c>
      <c r="H808" s="5" t="s">
        <v>12</v>
      </c>
      <c r="I808" s="19">
        <v>146.80000000000001</v>
      </c>
      <c r="J808" s="21" t="s">
        <v>1322</v>
      </c>
      <c r="K808" s="48">
        <f>I808/5*0.2</f>
        <v>5.8720000000000008</v>
      </c>
      <c r="L808" s="14">
        <v>50</v>
      </c>
      <c r="M808" s="6" t="s">
        <v>2315</v>
      </c>
      <c r="N808" s="6" t="s">
        <v>2316</v>
      </c>
    </row>
    <row r="809" spans="1:14" ht="33.75">
      <c r="A809" s="6" t="s">
        <v>2104</v>
      </c>
      <c r="B809" s="40" t="s">
        <v>1330</v>
      </c>
      <c r="C809" s="40" t="s">
        <v>1331</v>
      </c>
      <c r="D809" s="40" t="s">
        <v>1468</v>
      </c>
      <c r="E809" s="14" t="s">
        <v>1295</v>
      </c>
      <c r="F809" s="14" t="s">
        <v>1469</v>
      </c>
      <c r="G809" s="14" t="s">
        <v>1470</v>
      </c>
      <c r="H809" s="14" t="s">
        <v>50</v>
      </c>
      <c r="I809" s="20">
        <v>441.7</v>
      </c>
      <c r="J809" s="14" t="s">
        <v>1332</v>
      </c>
      <c r="K809" s="14">
        <f>I809/1/2.5*0.1</f>
        <v>17.668000000000003</v>
      </c>
      <c r="L809" s="14">
        <v>50</v>
      </c>
      <c r="M809" s="6" t="s">
        <v>2317</v>
      </c>
      <c r="N809" s="6" t="s">
        <v>2318</v>
      </c>
    </row>
    <row r="810" spans="1:14" ht="33.75">
      <c r="A810" s="67" t="s">
        <v>2105</v>
      </c>
      <c r="B810" s="67" t="s">
        <v>1330</v>
      </c>
      <c r="C810" s="67" t="s">
        <v>2929</v>
      </c>
      <c r="D810" s="67" t="s">
        <v>1436</v>
      </c>
      <c r="E810" s="34" t="s">
        <v>1437</v>
      </c>
      <c r="F810" s="34" t="s">
        <v>1849</v>
      </c>
      <c r="G810" s="34" t="s">
        <v>1689</v>
      </c>
      <c r="H810" s="34" t="s">
        <v>1319</v>
      </c>
      <c r="I810" s="20">
        <v>278.3</v>
      </c>
      <c r="J810" s="20" t="s">
        <v>1322</v>
      </c>
      <c r="K810" s="14">
        <f>I810/1/5*0.2</f>
        <v>11.132000000000001</v>
      </c>
      <c r="L810" s="14">
        <v>50</v>
      </c>
      <c r="M810" s="6" t="s">
        <v>2317</v>
      </c>
      <c r="N810" s="6" t="s">
        <v>2316</v>
      </c>
    </row>
    <row r="811" spans="1:14" ht="45">
      <c r="A811" s="9" t="s">
        <v>1336</v>
      </c>
      <c r="B811" s="6" t="s">
        <v>1334</v>
      </c>
      <c r="C811" s="6" t="s">
        <v>1335</v>
      </c>
      <c r="D811" s="6" t="s">
        <v>1337</v>
      </c>
      <c r="E811" s="11" t="s">
        <v>1295</v>
      </c>
      <c r="F811" s="11" t="s">
        <v>1338</v>
      </c>
      <c r="G811" s="11" t="s">
        <v>367</v>
      </c>
      <c r="H811" s="11" t="s">
        <v>12</v>
      </c>
      <c r="I811" s="20">
        <v>357.9</v>
      </c>
      <c r="J811" s="11" t="s">
        <v>1332</v>
      </c>
      <c r="K811" s="14">
        <f>I811/2.5*0.1</f>
        <v>14.316000000000001</v>
      </c>
      <c r="L811" s="14">
        <v>50</v>
      </c>
      <c r="M811" s="6" t="s">
        <v>2312</v>
      </c>
      <c r="N811" s="6" t="s">
        <v>2313</v>
      </c>
    </row>
    <row r="812" spans="1:14" ht="45">
      <c r="A812" s="6" t="s">
        <v>2106</v>
      </c>
      <c r="B812" s="40" t="s">
        <v>1334</v>
      </c>
      <c r="C812" s="40" t="s">
        <v>1335</v>
      </c>
      <c r="D812" s="40" t="s">
        <v>2410</v>
      </c>
      <c r="E812" s="14" t="s">
        <v>1437</v>
      </c>
      <c r="F812" s="14" t="s">
        <v>2930</v>
      </c>
      <c r="G812" s="14" t="s">
        <v>1689</v>
      </c>
      <c r="H812" s="14" t="s">
        <v>1319</v>
      </c>
      <c r="I812" s="20">
        <v>357.9</v>
      </c>
      <c r="J812" s="14" t="s">
        <v>1332</v>
      </c>
      <c r="K812" s="14">
        <f>I812/2.5*0.1</f>
        <v>14.316000000000001</v>
      </c>
      <c r="L812" s="14">
        <v>50</v>
      </c>
      <c r="M812" s="6" t="s">
        <v>2312</v>
      </c>
      <c r="N812" s="6" t="s">
        <v>2313</v>
      </c>
    </row>
    <row r="813" spans="1:14" ht="45">
      <c r="A813" s="6" t="s">
        <v>2107</v>
      </c>
      <c r="B813" s="40" t="s">
        <v>1334</v>
      </c>
      <c r="C813" s="40" t="s">
        <v>1335</v>
      </c>
      <c r="D813" s="40" t="s">
        <v>1682</v>
      </c>
      <c r="E813" s="14" t="s">
        <v>1295</v>
      </c>
      <c r="F813" s="14" t="s">
        <v>1338</v>
      </c>
      <c r="G813" s="14" t="s">
        <v>1683</v>
      </c>
      <c r="H813" s="14" t="s">
        <v>39</v>
      </c>
      <c r="I813" s="20">
        <v>357.9</v>
      </c>
      <c r="J813" s="14" t="s">
        <v>1332</v>
      </c>
      <c r="K813" s="14">
        <f>I813/1/2.5*0.1</f>
        <v>14.316000000000001</v>
      </c>
      <c r="L813" s="14">
        <v>50</v>
      </c>
      <c r="M813" s="6" t="s">
        <v>2312</v>
      </c>
      <c r="N813" s="6" t="s">
        <v>2313</v>
      </c>
    </row>
    <row r="814" spans="1:14" ht="45">
      <c r="A814" s="6" t="s">
        <v>2108</v>
      </c>
      <c r="B814" s="40" t="s">
        <v>1334</v>
      </c>
      <c r="C814" s="40" t="s">
        <v>1335</v>
      </c>
      <c r="D814" s="40" t="s">
        <v>1682</v>
      </c>
      <c r="E814" s="14" t="s">
        <v>1295</v>
      </c>
      <c r="F814" s="14" t="s">
        <v>3049</v>
      </c>
      <c r="G814" s="14" t="s">
        <v>1683</v>
      </c>
      <c r="H814" s="14" t="s">
        <v>39</v>
      </c>
      <c r="I814" s="20">
        <v>1073.7</v>
      </c>
      <c r="J814" s="14" t="s">
        <v>1332</v>
      </c>
      <c r="K814" s="14">
        <f>I814/3/2.5*0.1</f>
        <v>14.316000000000003</v>
      </c>
      <c r="L814" s="14">
        <v>50</v>
      </c>
      <c r="M814" s="6" t="s">
        <v>2312</v>
      </c>
      <c r="N814" s="6" t="s">
        <v>2313</v>
      </c>
    </row>
    <row r="815" spans="1:14" ht="45">
      <c r="A815" s="6" t="s">
        <v>2109</v>
      </c>
      <c r="B815" s="40" t="s">
        <v>1334</v>
      </c>
      <c r="C815" s="40" t="s">
        <v>1335</v>
      </c>
      <c r="D815" s="40" t="s">
        <v>1684</v>
      </c>
      <c r="E815" s="14" t="s">
        <v>1295</v>
      </c>
      <c r="F815" s="14" t="s">
        <v>3050</v>
      </c>
      <c r="G815" s="14" t="s">
        <v>1685</v>
      </c>
      <c r="H815" s="14" t="s">
        <v>1319</v>
      </c>
      <c r="I815" s="20">
        <v>357.9</v>
      </c>
      <c r="J815" s="14" t="s">
        <v>1332</v>
      </c>
      <c r="K815" s="14">
        <f>I815/1/2.5*0.1</f>
        <v>14.316000000000001</v>
      </c>
      <c r="L815" s="14">
        <v>50</v>
      </c>
      <c r="M815" s="6" t="s">
        <v>2312</v>
      </c>
      <c r="N815" s="6" t="s">
        <v>2313</v>
      </c>
    </row>
    <row r="816" spans="1:14" ht="45">
      <c r="A816" s="67" t="s">
        <v>2110</v>
      </c>
      <c r="B816" s="67" t="s">
        <v>1334</v>
      </c>
      <c r="C816" s="67" t="s">
        <v>1335</v>
      </c>
      <c r="D816" s="67" t="s">
        <v>1791</v>
      </c>
      <c r="E816" s="34" t="s">
        <v>1295</v>
      </c>
      <c r="F816" s="5" t="s">
        <v>2665</v>
      </c>
      <c r="G816" s="34" t="s">
        <v>642</v>
      </c>
      <c r="H816" s="34" t="s">
        <v>643</v>
      </c>
      <c r="I816" s="19">
        <v>359.2</v>
      </c>
      <c r="J816" s="86" t="s">
        <v>1332</v>
      </c>
      <c r="K816" s="79">
        <f>I816/2.5*0.1</f>
        <v>14.368000000000002</v>
      </c>
      <c r="L816" s="14">
        <v>50</v>
      </c>
      <c r="M816" s="67" t="s">
        <v>2312</v>
      </c>
      <c r="N816" s="67" t="s">
        <v>2313</v>
      </c>
    </row>
    <row r="817" spans="1:14" ht="45">
      <c r="A817" s="8" t="s">
        <v>2111</v>
      </c>
      <c r="B817" s="8" t="s">
        <v>1334</v>
      </c>
      <c r="C817" s="8" t="s">
        <v>1335</v>
      </c>
      <c r="D817" s="8" t="s">
        <v>1865</v>
      </c>
      <c r="E817" s="5" t="s">
        <v>1295</v>
      </c>
      <c r="F817" s="5" t="s">
        <v>1866</v>
      </c>
      <c r="G817" s="5" t="s">
        <v>1328</v>
      </c>
      <c r="H817" s="5" t="s">
        <v>1867</v>
      </c>
      <c r="I817" s="20">
        <v>357.9</v>
      </c>
      <c r="J817" s="5" t="s">
        <v>1332</v>
      </c>
      <c r="K817" s="19">
        <f>I817/2.5*0.1</f>
        <v>14.316000000000001</v>
      </c>
      <c r="L817" s="14">
        <v>50</v>
      </c>
      <c r="M817" s="67" t="s">
        <v>2312</v>
      </c>
      <c r="N817" s="67" t="s">
        <v>2313</v>
      </c>
    </row>
    <row r="818" spans="1:14" ht="45">
      <c r="A818" s="37" t="s">
        <v>2776</v>
      </c>
      <c r="B818" s="8" t="s">
        <v>1334</v>
      </c>
      <c r="C818" s="8" t="s">
        <v>1335</v>
      </c>
      <c r="D818" s="8" t="s">
        <v>2777</v>
      </c>
      <c r="E818" s="5" t="s">
        <v>1295</v>
      </c>
      <c r="F818" s="5" t="s">
        <v>2778</v>
      </c>
      <c r="G818" s="5" t="s">
        <v>2779</v>
      </c>
      <c r="H818" s="5" t="s">
        <v>1319</v>
      </c>
      <c r="I818" s="21">
        <v>357.9</v>
      </c>
      <c r="J818" s="15" t="s">
        <v>1332</v>
      </c>
      <c r="K818" s="19">
        <f>I818/2.5*0.1</f>
        <v>14.316000000000001</v>
      </c>
      <c r="L818" s="14">
        <v>50</v>
      </c>
      <c r="M818" s="67" t="s">
        <v>2312</v>
      </c>
      <c r="N818" s="67" t="s">
        <v>2313</v>
      </c>
    </row>
    <row r="819" spans="1:14" ht="45">
      <c r="A819" s="8">
        <v>7099011</v>
      </c>
      <c r="B819" s="8" t="s">
        <v>1334</v>
      </c>
      <c r="C819" s="8" t="s">
        <v>1335</v>
      </c>
      <c r="D819" s="8" t="s">
        <v>2780</v>
      </c>
      <c r="E819" s="48" t="s">
        <v>2781</v>
      </c>
      <c r="F819" s="15" t="s">
        <v>2782</v>
      </c>
      <c r="G819" s="5" t="s">
        <v>2783</v>
      </c>
      <c r="H819" s="5" t="s">
        <v>2784</v>
      </c>
      <c r="I819" s="21">
        <v>813.5</v>
      </c>
      <c r="J819" s="15" t="s">
        <v>1332</v>
      </c>
      <c r="K819" s="21">
        <f>(I819/30)/0.2*0.1</f>
        <v>13.558333333333332</v>
      </c>
      <c r="L819" s="14">
        <v>50</v>
      </c>
      <c r="M819" s="67" t="s">
        <v>2312</v>
      </c>
      <c r="N819" s="67" t="s">
        <v>2313</v>
      </c>
    </row>
    <row r="820" spans="1:14" ht="45">
      <c r="A820" s="8">
        <v>7099012</v>
      </c>
      <c r="B820" s="8" t="s">
        <v>1334</v>
      </c>
      <c r="C820" s="8" t="s">
        <v>1335</v>
      </c>
      <c r="D820" s="8" t="s">
        <v>2780</v>
      </c>
      <c r="E820" s="48" t="s">
        <v>2781</v>
      </c>
      <c r="F820" s="15" t="s">
        <v>2785</v>
      </c>
      <c r="G820" s="5" t="s">
        <v>2783</v>
      </c>
      <c r="H820" s="5" t="s">
        <v>2784</v>
      </c>
      <c r="I820" s="21">
        <v>813.5</v>
      </c>
      <c r="J820" s="15" t="s">
        <v>1332</v>
      </c>
      <c r="K820" s="21">
        <f>(I820/30)/0.2*0.1</f>
        <v>13.558333333333332</v>
      </c>
      <c r="L820" s="14">
        <v>50</v>
      </c>
      <c r="M820" s="67" t="s">
        <v>2312</v>
      </c>
      <c r="N820" s="67" t="s">
        <v>2313</v>
      </c>
    </row>
    <row r="821" spans="1:14" ht="56.25">
      <c r="A821" s="9" t="s">
        <v>1339</v>
      </c>
      <c r="B821" s="6" t="s">
        <v>1340</v>
      </c>
      <c r="C821" s="6" t="s">
        <v>1341</v>
      </c>
      <c r="D821" s="6" t="s">
        <v>1342</v>
      </c>
      <c r="E821" s="38" t="s">
        <v>1343</v>
      </c>
      <c r="F821" s="11" t="s">
        <v>1344</v>
      </c>
      <c r="G821" s="11" t="s">
        <v>1345</v>
      </c>
      <c r="H821" s="11" t="s">
        <v>242</v>
      </c>
      <c r="I821" s="21">
        <v>448</v>
      </c>
      <c r="J821" s="20" t="s">
        <v>254</v>
      </c>
      <c r="K821" s="21" t="s">
        <v>254</v>
      </c>
      <c r="L821" s="14">
        <v>50</v>
      </c>
      <c r="M821" s="6" t="s">
        <v>2319</v>
      </c>
      <c r="N821" s="6" t="s">
        <v>3013</v>
      </c>
    </row>
    <row r="822" spans="1:14" ht="56.25">
      <c r="A822" s="9" t="s">
        <v>1686</v>
      </c>
      <c r="B822" s="6" t="s">
        <v>1340</v>
      </c>
      <c r="C822" s="6" t="s">
        <v>1341</v>
      </c>
      <c r="D822" s="6" t="s">
        <v>1687</v>
      </c>
      <c r="E822" s="11" t="s">
        <v>1343</v>
      </c>
      <c r="F822" s="11" t="s">
        <v>1344</v>
      </c>
      <c r="G822" s="11" t="s">
        <v>1688</v>
      </c>
      <c r="H822" s="11" t="s">
        <v>12</v>
      </c>
      <c r="I822" s="20">
        <v>231.4</v>
      </c>
      <c r="J822" s="20" t="s">
        <v>254</v>
      </c>
      <c r="K822" s="14" t="s">
        <v>254</v>
      </c>
      <c r="L822" s="14">
        <v>50</v>
      </c>
      <c r="M822" s="6" t="s">
        <v>2319</v>
      </c>
      <c r="N822" s="6" t="s">
        <v>3013</v>
      </c>
    </row>
    <row r="823" spans="1:14" ht="56.25">
      <c r="A823" s="67" t="s">
        <v>1796</v>
      </c>
      <c r="B823" s="67" t="s">
        <v>1340</v>
      </c>
      <c r="C823" s="67" t="s">
        <v>1341</v>
      </c>
      <c r="D823" s="67" t="s">
        <v>1789</v>
      </c>
      <c r="E823" s="34" t="s">
        <v>1343</v>
      </c>
      <c r="F823" s="34" t="s">
        <v>1344</v>
      </c>
      <c r="G823" s="34" t="s">
        <v>1776</v>
      </c>
      <c r="H823" s="34" t="s">
        <v>12</v>
      </c>
      <c r="I823" s="20">
        <v>230.6</v>
      </c>
      <c r="J823" s="39" t="s">
        <v>254</v>
      </c>
      <c r="K823" s="18" t="s">
        <v>254</v>
      </c>
      <c r="L823" s="14">
        <v>50</v>
      </c>
      <c r="M823" s="6" t="s">
        <v>2319</v>
      </c>
      <c r="N823" s="6" t="s">
        <v>3013</v>
      </c>
    </row>
    <row r="824" spans="1:14" ht="56.25">
      <c r="A824" s="9" t="s">
        <v>1346</v>
      </c>
      <c r="B824" s="6" t="s">
        <v>1340</v>
      </c>
      <c r="C824" s="6" t="s">
        <v>1347</v>
      </c>
      <c r="D824" s="6" t="s">
        <v>1348</v>
      </c>
      <c r="E824" s="11" t="s">
        <v>1349</v>
      </c>
      <c r="F824" s="11" t="s">
        <v>1350</v>
      </c>
      <c r="G824" s="11" t="s">
        <v>1351</v>
      </c>
      <c r="H824" s="11" t="s">
        <v>527</v>
      </c>
      <c r="I824" s="20">
        <v>179.5</v>
      </c>
      <c r="J824" s="20" t="s">
        <v>254</v>
      </c>
      <c r="K824" s="14" t="s">
        <v>254</v>
      </c>
      <c r="L824" s="14">
        <v>50</v>
      </c>
      <c r="M824" s="6" t="s">
        <v>2320</v>
      </c>
      <c r="N824" s="6" t="s">
        <v>2672</v>
      </c>
    </row>
    <row r="825" spans="1:14" ht="56.25">
      <c r="A825" s="9" t="s">
        <v>2416</v>
      </c>
      <c r="B825" s="6" t="s">
        <v>1340</v>
      </c>
      <c r="C825" s="6" t="s">
        <v>1356</v>
      </c>
      <c r="D825" s="6" t="s">
        <v>2417</v>
      </c>
      <c r="E825" s="11" t="s">
        <v>1349</v>
      </c>
      <c r="F825" s="11" t="s">
        <v>1350</v>
      </c>
      <c r="G825" s="11" t="s">
        <v>2418</v>
      </c>
      <c r="H825" s="11" t="s">
        <v>527</v>
      </c>
      <c r="I825" s="20">
        <v>127.5</v>
      </c>
      <c r="J825" s="20" t="s">
        <v>254</v>
      </c>
      <c r="K825" s="5" t="s">
        <v>254</v>
      </c>
      <c r="L825" s="14">
        <v>50</v>
      </c>
      <c r="M825" s="6" t="s">
        <v>2820</v>
      </c>
      <c r="N825" s="6" t="s">
        <v>2492</v>
      </c>
    </row>
    <row r="826" spans="1:14" ht="56.25">
      <c r="A826" s="9" t="s">
        <v>2419</v>
      </c>
      <c r="B826" s="6" t="s">
        <v>2420</v>
      </c>
      <c r="C826" s="6" t="s">
        <v>1356</v>
      </c>
      <c r="D826" s="6" t="s">
        <v>2421</v>
      </c>
      <c r="E826" s="11" t="s">
        <v>2422</v>
      </c>
      <c r="F826" s="11" t="s">
        <v>2423</v>
      </c>
      <c r="G826" s="11" t="s">
        <v>2424</v>
      </c>
      <c r="H826" s="11" t="s">
        <v>50</v>
      </c>
      <c r="I826" s="20">
        <v>127.5</v>
      </c>
      <c r="J826" s="20" t="s">
        <v>254</v>
      </c>
      <c r="K826" s="5" t="s">
        <v>254</v>
      </c>
      <c r="L826" s="14">
        <v>50</v>
      </c>
      <c r="M826" s="6" t="s">
        <v>2491</v>
      </c>
      <c r="N826" s="6" t="s">
        <v>2492</v>
      </c>
    </row>
    <row r="827" spans="1:14" ht="56.25">
      <c r="A827" s="9" t="s">
        <v>2425</v>
      </c>
      <c r="B827" s="6" t="s">
        <v>2420</v>
      </c>
      <c r="C827" s="6" t="s">
        <v>1356</v>
      </c>
      <c r="D827" s="6" t="s">
        <v>2426</v>
      </c>
      <c r="E827" s="11" t="s">
        <v>2422</v>
      </c>
      <c r="F827" s="11" t="s">
        <v>2423</v>
      </c>
      <c r="G827" s="11" t="s">
        <v>2424</v>
      </c>
      <c r="H827" s="11" t="s">
        <v>50</v>
      </c>
      <c r="I827" s="20">
        <v>127.5</v>
      </c>
      <c r="J827" s="20" t="s">
        <v>254</v>
      </c>
      <c r="K827" s="5" t="s">
        <v>254</v>
      </c>
      <c r="L827" s="14">
        <v>50</v>
      </c>
      <c r="M827" s="6" t="s">
        <v>2491</v>
      </c>
      <c r="N827" s="6" t="s">
        <v>2492</v>
      </c>
    </row>
    <row r="828" spans="1:14" ht="56.25">
      <c r="A828" s="9" t="s">
        <v>2427</v>
      </c>
      <c r="B828" s="6" t="s">
        <v>2420</v>
      </c>
      <c r="C828" s="6" t="s">
        <v>1356</v>
      </c>
      <c r="D828" s="6" t="s">
        <v>2428</v>
      </c>
      <c r="E828" s="11" t="s">
        <v>2422</v>
      </c>
      <c r="F828" s="11" t="s">
        <v>2423</v>
      </c>
      <c r="G828" s="11" t="s">
        <v>2424</v>
      </c>
      <c r="H828" s="11" t="s">
        <v>50</v>
      </c>
      <c r="I828" s="20">
        <v>127.5</v>
      </c>
      <c r="J828" s="20" t="s">
        <v>254</v>
      </c>
      <c r="K828" s="5" t="s">
        <v>254</v>
      </c>
      <c r="L828" s="14">
        <v>50</v>
      </c>
      <c r="M828" s="6" t="s">
        <v>2491</v>
      </c>
      <c r="N828" s="6" t="s">
        <v>2492</v>
      </c>
    </row>
    <row r="829" spans="1:14" ht="56.25">
      <c r="A829" s="9" t="s">
        <v>2433</v>
      </c>
      <c r="B829" s="6" t="s">
        <v>2420</v>
      </c>
      <c r="C829" s="6" t="s">
        <v>1356</v>
      </c>
      <c r="D829" s="6" t="s">
        <v>2429</v>
      </c>
      <c r="E829" s="11" t="s">
        <v>2422</v>
      </c>
      <c r="F829" s="11" t="s">
        <v>2423</v>
      </c>
      <c r="G829" s="11" t="s">
        <v>2424</v>
      </c>
      <c r="H829" s="11" t="s">
        <v>50</v>
      </c>
      <c r="I829" s="20">
        <v>127.5</v>
      </c>
      <c r="J829" s="20" t="s">
        <v>254</v>
      </c>
      <c r="K829" s="5" t="s">
        <v>254</v>
      </c>
      <c r="L829" s="14">
        <v>50</v>
      </c>
      <c r="M829" s="6" t="s">
        <v>2491</v>
      </c>
      <c r="N829" s="6" t="s">
        <v>2492</v>
      </c>
    </row>
    <row r="830" spans="1:14" ht="67.5">
      <c r="A830" s="9" t="s">
        <v>1352</v>
      </c>
      <c r="B830" s="6" t="s">
        <v>1340</v>
      </c>
      <c r="C830" s="6" t="s">
        <v>1347</v>
      </c>
      <c r="D830" s="6" t="s">
        <v>1353</v>
      </c>
      <c r="E830" s="11" t="s">
        <v>1349</v>
      </c>
      <c r="F830" s="11" t="s">
        <v>1354</v>
      </c>
      <c r="G830" s="11" t="s">
        <v>1351</v>
      </c>
      <c r="H830" s="11" t="s">
        <v>527</v>
      </c>
      <c r="I830" s="20">
        <v>304</v>
      </c>
      <c r="J830" s="20" t="s">
        <v>254</v>
      </c>
      <c r="K830" s="14" t="s">
        <v>254</v>
      </c>
      <c r="L830" s="14">
        <v>50</v>
      </c>
      <c r="M830" s="6" t="s">
        <v>2322</v>
      </c>
      <c r="N830" s="6" t="s">
        <v>2321</v>
      </c>
    </row>
    <row r="831" spans="1:14" ht="33.75">
      <c r="A831" s="6" t="s">
        <v>1355</v>
      </c>
      <c r="B831" s="6" t="s">
        <v>1340</v>
      </c>
      <c r="C831" s="6" t="s">
        <v>1356</v>
      </c>
      <c r="D831" s="6" t="s">
        <v>1357</v>
      </c>
      <c r="E831" s="11" t="s">
        <v>1358</v>
      </c>
      <c r="F831" s="11" t="s">
        <v>1359</v>
      </c>
      <c r="G831" s="11" t="s">
        <v>1360</v>
      </c>
      <c r="H831" s="11" t="s">
        <v>819</v>
      </c>
      <c r="I831" s="20">
        <v>4099.7</v>
      </c>
      <c r="J831" s="5" t="s">
        <v>254</v>
      </c>
      <c r="K831" s="5" t="s">
        <v>254</v>
      </c>
      <c r="L831" s="14">
        <v>50</v>
      </c>
      <c r="M831" s="6" t="s">
        <v>2323</v>
      </c>
      <c r="N831" s="6" t="s">
        <v>2343</v>
      </c>
    </row>
    <row r="832" spans="1:14" ht="33.75">
      <c r="A832" s="8" t="s">
        <v>1839</v>
      </c>
      <c r="B832" s="63" t="s">
        <v>1340</v>
      </c>
      <c r="C832" s="8" t="s">
        <v>1356</v>
      </c>
      <c r="D832" s="8" t="s">
        <v>1840</v>
      </c>
      <c r="E832" s="5" t="s">
        <v>1358</v>
      </c>
      <c r="F832" s="5" t="s">
        <v>1359</v>
      </c>
      <c r="G832" s="5" t="s">
        <v>1842</v>
      </c>
      <c r="H832" s="5" t="s">
        <v>527</v>
      </c>
      <c r="I832" s="20">
        <v>1380.6</v>
      </c>
      <c r="J832" s="5" t="s">
        <v>254</v>
      </c>
      <c r="K832" s="5" t="s">
        <v>254</v>
      </c>
      <c r="L832" s="14">
        <v>50</v>
      </c>
      <c r="M832" s="8" t="s">
        <v>2324</v>
      </c>
      <c r="N832" s="8" t="s">
        <v>2325</v>
      </c>
    </row>
    <row r="833" spans="1:14" ht="33.75">
      <c r="A833" s="9" t="s">
        <v>2434</v>
      </c>
      <c r="B833" s="6" t="s">
        <v>1340</v>
      </c>
      <c r="C833" s="6" t="s">
        <v>1356</v>
      </c>
      <c r="D833" s="6" t="s">
        <v>2430</v>
      </c>
      <c r="E833" s="11" t="s">
        <v>1358</v>
      </c>
      <c r="F833" s="11" t="s">
        <v>1359</v>
      </c>
      <c r="G833" s="11" t="s">
        <v>2431</v>
      </c>
      <c r="H833" s="11" t="s">
        <v>50</v>
      </c>
      <c r="I833" s="20">
        <v>1343.1</v>
      </c>
      <c r="J833" s="26" t="s">
        <v>254</v>
      </c>
      <c r="K833" s="26" t="s">
        <v>254</v>
      </c>
      <c r="L833" s="14">
        <v>50</v>
      </c>
      <c r="M833" s="8" t="s">
        <v>2324</v>
      </c>
      <c r="N833" s="6" t="s">
        <v>2432</v>
      </c>
    </row>
    <row r="834" spans="1:14" ht="33.75">
      <c r="A834" s="37" t="s">
        <v>2597</v>
      </c>
      <c r="B834" s="37" t="s">
        <v>1340</v>
      </c>
      <c r="C834" s="37" t="s">
        <v>1356</v>
      </c>
      <c r="D834" s="37" t="s">
        <v>2598</v>
      </c>
      <c r="E834" s="39" t="s">
        <v>1358</v>
      </c>
      <c r="F834" s="65" t="s">
        <v>1359</v>
      </c>
      <c r="G834" s="65" t="s">
        <v>2431</v>
      </c>
      <c r="H834" s="65" t="s">
        <v>50</v>
      </c>
      <c r="I834" s="20">
        <v>3258.1</v>
      </c>
      <c r="J834" s="65" t="s">
        <v>254</v>
      </c>
      <c r="K834" s="65" t="s">
        <v>254</v>
      </c>
      <c r="L834" s="84">
        <v>50</v>
      </c>
      <c r="M834" s="92" t="s">
        <v>2599</v>
      </c>
      <c r="N834" s="92" t="s">
        <v>2432</v>
      </c>
    </row>
    <row r="835" spans="1:14" ht="33.75">
      <c r="A835" s="37" t="s">
        <v>2821</v>
      </c>
      <c r="B835" s="29" t="s">
        <v>1340</v>
      </c>
      <c r="C835" s="29" t="s">
        <v>1356</v>
      </c>
      <c r="D835" s="29" t="s">
        <v>2822</v>
      </c>
      <c r="E835" s="15" t="s">
        <v>1358</v>
      </c>
      <c r="F835" s="15" t="s">
        <v>1359</v>
      </c>
      <c r="G835" s="5" t="s">
        <v>2823</v>
      </c>
      <c r="H835" s="15" t="s">
        <v>1473</v>
      </c>
      <c r="I835" s="20">
        <v>2491.3000000000002</v>
      </c>
      <c r="J835" s="15" t="s">
        <v>254</v>
      </c>
      <c r="K835" s="15" t="s">
        <v>254</v>
      </c>
      <c r="L835" s="14">
        <v>50</v>
      </c>
      <c r="M835" s="29" t="s">
        <v>2599</v>
      </c>
      <c r="N835" s="29" t="s">
        <v>2824</v>
      </c>
    </row>
    <row r="836" spans="1:14" ht="33.75">
      <c r="A836" s="37" t="s">
        <v>2825</v>
      </c>
      <c r="B836" s="37" t="s">
        <v>1340</v>
      </c>
      <c r="C836" s="37" t="s">
        <v>1356</v>
      </c>
      <c r="D836" s="37" t="s">
        <v>2826</v>
      </c>
      <c r="E836" s="39" t="s">
        <v>1358</v>
      </c>
      <c r="F836" s="39" t="s">
        <v>1841</v>
      </c>
      <c r="G836" s="39" t="s">
        <v>2827</v>
      </c>
      <c r="H836" s="5" t="s">
        <v>393</v>
      </c>
      <c r="I836" s="20">
        <v>4099.7</v>
      </c>
      <c r="J836" s="15" t="s">
        <v>254</v>
      </c>
      <c r="K836" s="21" t="s">
        <v>254</v>
      </c>
      <c r="L836" s="14">
        <v>50</v>
      </c>
      <c r="M836" s="29" t="s">
        <v>2828</v>
      </c>
      <c r="N836" s="29" t="s">
        <v>2829</v>
      </c>
    </row>
    <row r="837" spans="1:14" ht="56.25">
      <c r="A837" s="35" t="s">
        <v>2830</v>
      </c>
      <c r="B837" s="8" t="s">
        <v>1340</v>
      </c>
      <c r="C837" s="8" t="s">
        <v>1356</v>
      </c>
      <c r="D837" s="8" t="s">
        <v>2831</v>
      </c>
      <c r="E837" s="5" t="s">
        <v>1349</v>
      </c>
      <c r="F837" s="5" t="s">
        <v>2832</v>
      </c>
      <c r="G837" s="5" t="s">
        <v>2833</v>
      </c>
      <c r="H837" s="5" t="s">
        <v>50</v>
      </c>
      <c r="I837" s="20">
        <v>179.5</v>
      </c>
      <c r="J837" s="60" t="s">
        <v>254</v>
      </c>
      <c r="K837" s="60" t="s">
        <v>254</v>
      </c>
      <c r="L837" s="19">
        <v>50</v>
      </c>
      <c r="M837" s="29" t="s">
        <v>2322</v>
      </c>
      <c r="N837" s="29" t="s">
        <v>2834</v>
      </c>
    </row>
    <row r="838" spans="1:14" ht="56.25">
      <c r="A838" s="35" t="s">
        <v>2835</v>
      </c>
      <c r="B838" s="8" t="s">
        <v>1340</v>
      </c>
      <c r="C838" s="8" t="s">
        <v>1356</v>
      </c>
      <c r="D838" s="8" t="s">
        <v>2836</v>
      </c>
      <c r="E838" s="5" t="s">
        <v>1349</v>
      </c>
      <c r="F838" s="5" t="s">
        <v>2832</v>
      </c>
      <c r="G838" s="5" t="s">
        <v>2833</v>
      </c>
      <c r="H838" s="5" t="s">
        <v>50</v>
      </c>
      <c r="I838" s="20">
        <v>179.5</v>
      </c>
      <c r="J838" s="60" t="s">
        <v>254</v>
      </c>
      <c r="K838" s="60" t="s">
        <v>254</v>
      </c>
      <c r="L838" s="19">
        <v>50</v>
      </c>
      <c r="M838" s="29" t="s">
        <v>2837</v>
      </c>
      <c r="N838" s="29" t="s">
        <v>2834</v>
      </c>
    </row>
    <row r="839" spans="1:14" ht="56.25">
      <c r="A839" s="35" t="s">
        <v>2838</v>
      </c>
      <c r="B839" s="8" t="s">
        <v>1340</v>
      </c>
      <c r="C839" s="8" t="s">
        <v>1356</v>
      </c>
      <c r="D839" s="8" t="s">
        <v>2839</v>
      </c>
      <c r="E839" s="5" t="s">
        <v>1349</v>
      </c>
      <c r="F839" s="5" t="s">
        <v>2832</v>
      </c>
      <c r="G839" s="5" t="s">
        <v>2833</v>
      </c>
      <c r="H839" s="5" t="s">
        <v>50</v>
      </c>
      <c r="I839" s="20">
        <v>179.5</v>
      </c>
      <c r="J839" s="60" t="s">
        <v>254</v>
      </c>
      <c r="K839" s="60" t="s">
        <v>254</v>
      </c>
      <c r="L839" s="19">
        <v>50</v>
      </c>
      <c r="M839" s="29" t="s">
        <v>2840</v>
      </c>
      <c r="N839" s="29" t="s">
        <v>2841</v>
      </c>
    </row>
  </sheetData>
  <autoFilter ref="A1:AS839" xr:uid="{8B6C62F8-560E-475B-BDBF-53320C3514BC}"/>
  <pageMargins left="0.7" right="0.7" top="0.75" bottom="0.75" header="0.3" footer="0.3"/>
  <pageSetup paperSize="9" scale="50" fitToHeight="0" orientation="landscape" r:id="rId1"/>
  <headerFooter>
    <oddHeader>&amp;L&amp;"Arial,Bold"Lista A. &amp;"Arial,Regular"Lekovi koji se propisuju i izdaju na obrascu lekarskog recepta</oddHeader>
    <oddFooter>&amp;R&amp;"Arial,Regular"Strana &amp;P</oddFooter>
  </headerFooter>
  <rowBreaks count="1" manualBreakCount="1">
    <brk id="809"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Lista A</vt:lpstr>
      <vt:lpstr>'Lista A'!Print_Area</vt:lpstr>
      <vt:lpstr>'Lista 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Jovana Mihić</dc:creator>
  <cp:lastModifiedBy>Milica Stevanovic</cp:lastModifiedBy>
  <cp:lastPrinted>2026-01-29T10:05:15Z</cp:lastPrinted>
  <dcterms:created xsi:type="dcterms:W3CDTF">2014-09-09T11:48:25Z</dcterms:created>
  <dcterms:modified xsi:type="dcterms:W3CDTF">2026-01-29T10:06:08Z</dcterms:modified>
</cp:coreProperties>
</file>