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0.0.3.14\Lekovi\Lista lekova\LISTA LEKOVA 2026\Lista za sajt\obezbojeno\"/>
    </mc:Choice>
  </mc:AlternateContent>
  <xr:revisionPtr revIDLastSave="0" documentId="13_ncr:1_{D6D5FB5D-8989-4608-A06A-68BC4F10BBC2}" xr6:coauthVersionLast="36" xr6:coauthVersionMax="36" xr10:uidLastSave="{00000000-0000-0000-0000-000000000000}"/>
  <bookViews>
    <workbookView xWindow="0" yWindow="0" windowWidth="21570" windowHeight="7050" xr2:uid="{00000000-000D-0000-FFFF-FFFF00000000}"/>
  </bookViews>
  <sheets>
    <sheet name="Sheet1" sheetId="1" r:id="rId1"/>
  </sheets>
  <definedNames>
    <definedName name="_xlnm._FilterDatabase" localSheetId="0" hidden="1">Sheet1!$A$1:$N$1018</definedName>
    <definedName name="_xlnm.Print_Area" localSheetId="0">Sheet1!$A$1:$N$1018</definedName>
    <definedName name="_xlnm.Print_Titles" localSheetId="0">Sheet1!$1:$1</definedName>
  </definedNames>
  <calcPr calcId="191029"/>
</workbook>
</file>

<file path=xl/calcChain.xml><?xml version="1.0" encoding="utf-8"?>
<calcChain xmlns="http://schemas.openxmlformats.org/spreadsheetml/2006/main">
  <c r="K810" i="1" l="1"/>
  <c r="K809" i="1"/>
  <c r="K903" i="1"/>
  <c r="K820" i="1"/>
  <c r="K808" i="1"/>
  <c r="K807" i="1"/>
  <c r="K806" i="1"/>
  <c r="K805" i="1"/>
  <c r="K670" i="1"/>
  <c r="K669" i="1"/>
  <c r="K668" i="1"/>
  <c r="K667" i="1"/>
  <c r="K536" i="1"/>
  <c r="K535" i="1"/>
  <c r="K513" i="1"/>
  <c r="K512" i="1"/>
  <c r="K457" i="1"/>
  <c r="K458" i="1"/>
  <c r="K460" i="1"/>
  <c r="K459" i="1"/>
  <c r="K442" i="1"/>
  <c r="K443" i="1"/>
  <c r="K441" i="1"/>
  <c r="K436" i="1"/>
  <c r="K435" i="1"/>
  <c r="K434" i="1"/>
  <c r="K397" i="1"/>
  <c r="K364" i="1"/>
  <c r="K330" i="1"/>
  <c r="K89" i="1"/>
  <c r="K88" i="1"/>
  <c r="K74" i="1"/>
  <c r="K957" i="1" l="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4" i="1"/>
  <c r="K902" i="1"/>
  <c r="K901" i="1"/>
  <c r="K900" i="1"/>
  <c r="K899" i="1"/>
  <c r="K898" i="1"/>
  <c r="K897" i="1"/>
  <c r="K896" i="1"/>
  <c r="K895" i="1"/>
  <c r="K894" i="1"/>
  <c r="K893" i="1"/>
  <c r="K892" i="1"/>
  <c r="K891" i="1"/>
  <c r="K855" i="1"/>
  <c r="K854" i="1"/>
  <c r="K853"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19" i="1"/>
  <c r="K818" i="1"/>
  <c r="K817" i="1"/>
  <c r="K816" i="1"/>
  <c r="K815" i="1"/>
  <c r="K814" i="1"/>
  <c r="K813" i="1"/>
  <c r="K812" i="1"/>
  <c r="K811" i="1"/>
  <c r="K804" i="1"/>
  <c r="K803" i="1"/>
  <c r="K802" i="1"/>
  <c r="K801" i="1"/>
  <c r="K800" i="1"/>
  <c r="K799" i="1"/>
  <c r="K798" i="1"/>
  <c r="K797" i="1"/>
  <c r="K796" i="1"/>
  <c r="K795" i="1"/>
  <c r="K794" i="1"/>
  <c r="K769" i="1"/>
  <c r="K768" i="1"/>
  <c r="K767" i="1"/>
  <c r="K766" i="1"/>
  <c r="K765" i="1"/>
  <c r="K764" i="1"/>
  <c r="K763" i="1"/>
  <c r="K762" i="1"/>
  <c r="K761" i="1"/>
  <c r="K760" i="1"/>
  <c r="K759" i="1"/>
  <c r="K758" i="1"/>
  <c r="K666" i="1"/>
  <c r="K665" i="1"/>
  <c r="K664"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4" i="1"/>
  <c r="K533" i="1"/>
  <c r="K532" i="1"/>
  <c r="K531" i="1"/>
  <c r="K530" i="1"/>
  <c r="K529" i="1"/>
  <c r="K528" i="1"/>
  <c r="K527" i="1"/>
  <c r="K526" i="1"/>
  <c r="K525" i="1"/>
  <c r="K524" i="1"/>
  <c r="K523" i="1"/>
  <c r="K522" i="1"/>
  <c r="K521" i="1"/>
  <c r="K520" i="1"/>
  <c r="K519" i="1"/>
  <c r="K518" i="1"/>
  <c r="K517" i="1"/>
  <c r="K516" i="1"/>
  <c r="K515" i="1"/>
  <c r="K514"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56" i="1"/>
  <c r="K455" i="1"/>
  <c r="K454" i="1"/>
  <c r="K453" i="1"/>
  <c r="K452" i="1"/>
  <c r="K451" i="1"/>
  <c r="K450" i="1"/>
  <c r="K449" i="1"/>
  <c r="K448" i="1"/>
  <c r="K447" i="1"/>
  <c r="K446" i="1"/>
  <c r="K445" i="1"/>
  <c r="K444" i="1"/>
  <c r="K440" i="1"/>
  <c r="K439" i="1"/>
  <c r="K438" i="1"/>
  <c r="K437"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29" i="1"/>
  <c r="K328" i="1"/>
  <c r="K327" i="1"/>
  <c r="K326" i="1"/>
  <c r="K325" i="1"/>
  <c r="K324" i="1"/>
  <c r="K323" i="1"/>
  <c r="K322" i="1"/>
  <c r="K321" i="1"/>
  <c r="K320" i="1"/>
  <c r="K319" i="1"/>
  <c r="K313" i="1"/>
  <c r="K312" i="1"/>
  <c r="K311" i="1"/>
  <c r="K310" i="1"/>
  <c r="K309" i="1"/>
  <c r="K308" i="1"/>
  <c r="K307" i="1"/>
  <c r="K306" i="1"/>
  <c r="K305" i="1"/>
  <c r="K304" i="1"/>
  <c r="K303" i="1"/>
  <c r="K302" i="1"/>
  <c r="K301" i="1"/>
  <c r="K300" i="1"/>
  <c r="K299" i="1"/>
  <c r="K297" i="1"/>
  <c r="K296" i="1"/>
  <c r="K295" i="1"/>
  <c r="K294" i="1"/>
  <c r="K293" i="1"/>
  <c r="K292" i="1"/>
  <c r="K291" i="1"/>
  <c r="K290" i="1"/>
  <c r="K289" i="1"/>
  <c r="K288" i="1"/>
  <c r="K158" i="1"/>
  <c r="K157" i="1"/>
  <c r="K156" i="1"/>
  <c r="K155" i="1"/>
  <c r="K154" i="1"/>
  <c r="K153" i="1"/>
  <c r="K152" i="1"/>
  <c r="K149" i="1"/>
  <c r="K148" i="1"/>
  <c r="K147" i="1"/>
  <c r="K146" i="1"/>
  <c r="K145" i="1"/>
  <c r="K144" i="1"/>
  <c r="K143" i="1"/>
  <c r="K142" i="1"/>
  <c r="K141" i="1"/>
  <c r="K140" i="1"/>
  <c r="K139" i="1"/>
  <c r="K138" i="1"/>
  <c r="K137" i="1"/>
  <c r="K134" i="1"/>
  <c r="K133" i="1"/>
  <c r="K132" i="1"/>
  <c r="K131" i="1"/>
  <c r="K130" i="1"/>
  <c r="K129" i="1"/>
  <c r="K128" i="1"/>
  <c r="K127" i="1"/>
  <c r="K126"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4" i="1"/>
  <c r="K93" i="1"/>
  <c r="K92" i="1"/>
  <c r="K91" i="1"/>
  <c r="K90" i="1"/>
  <c r="K87" i="1"/>
  <c r="K86" i="1"/>
  <c r="K85" i="1"/>
  <c r="K84" i="1"/>
  <c r="K83" i="1"/>
  <c r="K82" i="1"/>
  <c r="K81" i="1"/>
  <c r="K80" i="1"/>
  <c r="K79" i="1"/>
  <c r="K78" i="1"/>
  <c r="K77" i="1"/>
  <c r="K76" i="1"/>
  <c r="K75"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1" i="1"/>
  <c r="K40" i="1"/>
  <c r="K39" i="1"/>
  <c r="K36" i="1"/>
  <c r="K35" i="1"/>
  <c r="K34" i="1"/>
  <c r="K33"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<sst xmlns="http://schemas.openxmlformats.org/spreadsheetml/2006/main" count="11421" uniqueCount="3883">
  <si>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</si>
  <si>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</si>
  <si>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</si>
  <si>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</si>
  <si>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</si>
  <si>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</si>
  <si>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</si>
  <si>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</si>
  <si>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</si>
  <si>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</si>
  <si>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</si>
  <si>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</si>
  <si>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</si>
  <si>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</si>
  <si>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rastvor za injekciju/infuziju</t>
  </si>
  <si>
    <t>Hemofarm a.d.</t>
  </si>
  <si>
    <t>Republika Srbija</t>
  </si>
  <si>
    <t>0,3 g</t>
  </si>
  <si>
    <t>-</t>
  </si>
  <si>
    <t>0122120</t>
  </si>
  <si>
    <t>A02BC01</t>
  </si>
  <si>
    <t>omeprazol</t>
  </si>
  <si>
    <t>OMEPROL</t>
  </si>
  <si>
    <t>prašak za rastvor za infuziju</t>
  </si>
  <si>
    <t>bočica, 1 po 40 mg</t>
  </si>
  <si>
    <t>Sofarimex-Industria Quimica E Farmaceutica S.A.</t>
  </si>
  <si>
    <t>Portugalija</t>
  </si>
  <si>
    <t>20 mg</t>
  </si>
  <si>
    <t>0122751</t>
  </si>
  <si>
    <t>A02BC02</t>
  </si>
  <si>
    <t>pantoprazol</t>
  </si>
  <si>
    <t>CONTROLOC</t>
  </si>
  <si>
    <t>prašak za rastvor za injekciju</t>
  </si>
  <si>
    <t>Takeda GmbH</t>
  </si>
  <si>
    <t>Nemačka</t>
  </si>
  <si>
    <t>40 mg</t>
  </si>
  <si>
    <t>0122927</t>
  </si>
  <si>
    <t>NOLPAZA</t>
  </si>
  <si>
    <t>bočica staklena, 1 po 40 mg</t>
  </si>
  <si>
    <t xml:space="preserve"> Krka d.d.; Sofarimex - Industria Quimica e Farmaceutica S.A.; Laboratorios Alcala Farma S.L.</t>
  </si>
  <si>
    <t>Slovenija; Portugalija; Španija</t>
  </si>
  <si>
    <t>0122003</t>
  </si>
  <si>
    <t>PANTOPRAZOL NORMON</t>
  </si>
  <si>
    <t>bočica staklena, 50 po 40 mg</t>
  </si>
  <si>
    <t>Laboratorios Normon S.A.</t>
  </si>
  <si>
    <t>Španija</t>
  </si>
  <si>
    <t>0122004</t>
  </si>
  <si>
    <t>ULSEPAN</t>
  </si>
  <si>
    <t>World Medicine Ilac San. Ve Tic. A.S.</t>
  </si>
  <si>
    <t>Turska</t>
  </si>
  <si>
    <t>0122753</t>
  </si>
  <si>
    <t>PORTORIN</t>
  </si>
  <si>
    <t>bočica staklena, 10 po 40 mg</t>
  </si>
  <si>
    <t>Demo SA Pharmaceutical Industry</t>
  </si>
  <si>
    <t>Grčka</t>
  </si>
  <si>
    <t>0122814</t>
  </si>
  <si>
    <t>A02BC05</t>
  </si>
  <si>
    <t>esomeprazol</t>
  </si>
  <si>
    <t>PEPTIX</t>
  </si>
  <si>
    <t>prašak za rastvor za injekciju/infuziju</t>
  </si>
  <si>
    <t>Hemofarm A.D</t>
  </si>
  <si>
    <t>30 mg</t>
  </si>
  <si>
    <t>0122816</t>
  </si>
  <si>
    <t>SOLEZOL</t>
  </si>
  <si>
    <t>Anfarm Hellas S.A.</t>
  </si>
  <si>
    <t>0122122</t>
  </si>
  <si>
    <t>DEMOLOX</t>
  </si>
  <si>
    <t>0123138</t>
  </si>
  <si>
    <t>A03BA01</t>
  </si>
  <si>
    <t>atropin</t>
  </si>
  <si>
    <t>ATROPIN SOPHARMA</t>
  </si>
  <si>
    <t>rastvor za injekciju</t>
  </si>
  <si>
    <t>ampula, 10 po 1 ml (1mg/ml)</t>
  </si>
  <si>
    <t>Sopharma AD</t>
  </si>
  <si>
    <t>Bugarska</t>
  </si>
  <si>
    <t>1,5 mg</t>
  </si>
  <si>
    <t>0123137</t>
  </si>
  <si>
    <t>ampula, 100 po 1 ml (1mg/ml)</t>
  </si>
  <si>
    <t>0123140</t>
  </si>
  <si>
    <t>A03BB01</t>
  </si>
  <si>
    <t>hioscin-butilbromid</t>
  </si>
  <si>
    <t>BUSCOPAN</t>
  </si>
  <si>
    <t>ampula, 6 po 1 ml (20 mg/1 ml)</t>
  </si>
  <si>
    <t>Boehringer Ingelheim Espana S.A.</t>
  </si>
  <si>
    <t>60 mg</t>
  </si>
  <si>
    <t>0124302</t>
  </si>
  <si>
    <t>A03FA01</t>
  </si>
  <si>
    <t>metoklopramid</t>
  </si>
  <si>
    <t xml:space="preserve">KLOMETOL  </t>
  </si>
  <si>
    <t>ampula,10 po 2 ml  (10 mg/2 ml)</t>
  </si>
  <si>
    <t>Galenika a.d.</t>
  </si>
  <si>
    <t>Galenika A.D. Beograd</t>
  </si>
  <si>
    <t>0124530</t>
  </si>
  <si>
    <t>A04AA01</t>
  </si>
  <si>
    <t>ondansetron</t>
  </si>
  <si>
    <t>ONDASAN</t>
  </si>
  <si>
    <t xml:space="preserve"> ampula, 5 po 4 mg/2 ml</t>
  </si>
  <si>
    <t>Slaviamed d.o.o.</t>
  </si>
  <si>
    <t>16 mg</t>
  </si>
  <si>
    <t>STAC;Lek se uvodi u terapiju kod povraćanja uz hemio ili radioterapiju i kod postoperativne mučnine i povraćanja kod pacijenata kod kojih je metoklopramid kontraindikovan, kao i pacijenata kod kojih nije došlo do povoljnog terapijskog odgovora po inicijalnom parenteralnom davanju metoklopramida.</t>
  </si>
  <si>
    <t>0124531</t>
  </si>
  <si>
    <t>ONDA</t>
  </si>
  <si>
    <t>ampula, 4mg/2ml, 1 po 2ml</t>
  </si>
  <si>
    <t>Vianex S.A</t>
  </si>
  <si>
    <t>0124533</t>
  </si>
  <si>
    <t>ampula, 8mg/4ml, 1 po 4ml</t>
  </si>
  <si>
    <t>0124535</t>
  </si>
  <si>
    <t>ONDANSETRON PEYTON</t>
  </si>
  <si>
    <t>ampula, 5 po 2 ml (4mg/2ml)</t>
  </si>
  <si>
    <t>Peckforton Pharmaceuticals Limited;  Peckforton Pharmaceuticals Limited; Sidefarma- SOC. Industrial Expansao Farmaceutica, S.A.; UAB Norameda</t>
  </si>
  <si>
    <t>Velika Britanija; Velika Britanija; Portugalija; Litvanija</t>
  </si>
  <si>
    <t>0124574</t>
  </si>
  <si>
    <t>A04AA05</t>
  </si>
  <si>
    <t>palonosetron</t>
  </si>
  <si>
    <t>ALOXI</t>
  </si>
  <si>
    <t>bočica staklena, 1 po 5 ml (250 mcg/5 ml)</t>
  </si>
  <si>
    <t>Helsinn Birex Pharmaceuticals Ltd; PharmaSwiss d.o.o.</t>
  </si>
  <si>
    <t>Irska; Republika Srbija</t>
  </si>
  <si>
    <t>0,25 mg</t>
  </si>
  <si>
    <t>STAC;  Prevencija akutne i odložene mučnine i povraćanja kod odraslih, koji su povezani sa izrazito emetogenom hemioterapijom karcinoma zasnovanom na cisplatinu u toku tri dana hemioterapije kod svakog ciklusa.</t>
  </si>
  <si>
    <t>PharmaSwiss d.o.o.</t>
  </si>
  <si>
    <t>0124592</t>
  </si>
  <si>
    <t>PALOSTRA</t>
  </si>
  <si>
    <t>bočica staklena, 1 po 5 ml (250mcg/5ml)</t>
  </si>
  <si>
    <t>Genepharm SA</t>
  </si>
  <si>
    <t>0124591</t>
  </si>
  <si>
    <t>FERANT</t>
  </si>
  <si>
    <t>ampula, 1 po 5 ml (250mcg/5ml)</t>
  </si>
  <si>
    <t>Medochemie LTD (Ampoule injectable facility)</t>
  </si>
  <si>
    <t>Kipar</t>
  </si>
  <si>
    <t>0124583</t>
  </si>
  <si>
    <t>PALONOSETRON FRESENIUS KABI</t>
  </si>
  <si>
    <t>Fresenius Kabi Austria GmbH</t>
  </si>
  <si>
    <t>Austrija</t>
  </si>
  <si>
    <t>0124124</t>
  </si>
  <si>
    <t>PALONOSETRON ACCORD</t>
  </si>
  <si>
    <t>bočica staklena, 1 po 5mL (250mcg/5mL)</t>
  </si>
  <si>
    <t>Accord Healthcare Polska SP. Z.O.O.</t>
  </si>
  <si>
    <t>Poljska</t>
  </si>
  <si>
    <t>A04AA55</t>
  </si>
  <si>
    <t>palonosetron, netupitant</t>
  </si>
  <si>
    <t>AKYNZEO</t>
  </si>
  <si>
    <t>kapsula, tvrda</t>
  </si>
  <si>
    <t>blister, 1 po (0.5mg+300mg)</t>
  </si>
  <si>
    <t>Helsinn Birex Pharmaceuticals Ltd.</t>
  </si>
  <si>
    <t>Irska</t>
  </si>
  <si>
    <t>1 kapsula</t>
  </si>
  <si>
    <t>1. Prevencija akutne i odložene mučnine i povraćanja izazvanih visoko emetogenom antineoplastičnom hemioterapijom na bazi cisplatina (T88.7, Y43.3).
2. Prevencija mučnine i povraćanja kod bolesnica sa karcinomom dojke koje se leče hemioterapijskim protokolima koji sadrže kombinaciju lekova antraciklina sa ciklofosfamidom (tzv. AC kombinaciju), od prvog i tokom ponavljanih ciklusa hemioterapije.</t>
  </si>
  <si>
    <t>STAC</t>
  </si>
  <si>
    <t>1124587</t>
  </si>
  <si>
    <t>A04AD12</t>
  </si>
  <si>
    <t>aprepitant</t>
  </si>
  <si>
    <t>EMEND</t>
  </si>
  <si>
    <t>blister, 1 po 125 mg, 2 po 80 mg</t>
  </si>
  <si>
    <t>Merck Sharp &amp; Dohme B.V.</t>
  </si>
  <si>
    <t>Holandija</t>
  </si>
  <si>
    <t>95 mg</t>
  </si>
  <si>
    <t>1124589</t>
  </si>
  <si>
    <t>NAUZEX</t>
  </si>
  <si>
    <t>Rontis Hellas Medical and Pharmaceutical Products S.A.; Teva Operations Poland SP.Z.O.O.; Merckle GmbH</t>
  </si>
  <si>
    <t>Grčka; Poljska; Nemačka</t>
  </si>
  <si>
    <t>Grčka; Grčka</t>
  </si>
  <si>
    <t>0127452</t>
  </si>
  <si>
    <t>A05BA..</t>
  </si>
  <si>
    <t>ornitinaspartat</t>
  </si>
  <si>
    <t>HEPA-MERZ</t>
  </si>
  <si>
    <t>rastvor za infuziju</t>
  </si>
  <si>
    <t>10 po (5 g/10 ml)</t>
  </si>
  <si>
    <t>Merz Pharma GmbH&amp;Co. KGaA</t>
  </si>
  <si>
    <t>A06AD65</t>
  </si>
  <si>
    <t>makrogol, natrijum-hlorid, kalijum hlorid, natrijum-hidrogenkarbonat, natrijum-sulfat</t>
  </si>
  <si>
    <t xml:space="preserve">FORTRANS </t>
  </si>
  <si>
    <t>prašak za oralni rastvor</t>
  </si>
  <si>
    <t>kesica, 4 po 74 g (64g+1,46g+0,75g+1,68g+5,7g)</t>
  </si>
  <si>
    <t>Beaufour Ipsen Industrie</t>
  </si>
  <si>
    <t>Francuska</t>
  </si>
  <si>
    <t>STAC;  Hospitalna priprema pacijenata za kolonoskopiju i irigografiju.</t>
  </si>
  <si>
    <t>A07EA06</t>
  </si>
  <si>
    <t>budesonid</t>
  </si>
  <si>
    <t>BUDENOFALK</t>
  </si>
  <si>
    <t>rektalna pena</t>
  </si>
  <si>
    <t>kontejner pod pritiskom sa ventilom za doziranje, 14 po 1.2g (2mg/doza)</t>
  </si>
  <si>
    <t>Dr. Falk Pharma GmbH</t>
  </si>
  <si>
    <t>1 doza</t>
  </si>
  <si>
    <t>Ulcerozni kolitis (K51)</t>
  </si>
  <si>
    <t>5129473</t>
  </si>
  <si>
    <t>A07EC02</t>
  </si>
  <si>
    <t>mesalazin</t>
  </si>
  <si>
    <t>SALOFALK</t>
  </si>
  <si>
    <t>rektalna suspenzija</t>
  </si>
  <si>
    <t>boca plastična, 7 po 60 ml (4 g/60 ml)</t>
  </si>
  <si>
    <t>Dr Falk Pharma GmbH</t>
  </si>
  <si>
    <t>1,5 g</t>
  </si>
  <si>
    <t>Lečenje ulceroznog kolitisa (K51) kao monoterapija ili u kombinaciji sa kortikosteroidom.</t>
  </si>
  <si>
    <t>5129132</t>
  </si>
  <si>
    <t>PENTASA</t>
  </si>
  <si>
    <t>bočica, 7 po 100 ml (1 g/100 ml)</t>
  </si>
  <si>
    <t>Ferring-Lečiva, A.S.</t>
  </si>
  <si>
    <t>Češka</t>
  </si>
  <si>
    <t>0051750</t>
  </si>
  <si>
    <t>A11DA01</t>
  </si>
  <si>
    <t xml:space="preserve">tiamin  </t>
  </si>
  <si>
    <t>VITAMIN B1 ALKALOID</t>
  </si>
  <si>
    <t>ampula, 50 po 1 ml (100 mg/1 ml)</t>
  </si>
  <si>
    <t xml:space="preserve">Alkaloid a.d. </t>
  </si>
  <si>
    <t>Republika Severna Makedonija</t>
  </si>
  <si>
    <t>50 mg</t>
  </si>
  <si>
    <t>0052201</t>
  </si>
  <si>
    <t>A11DB..</t>
  </si>
  <si>
    <t>tiamin, piridoksin, cijanokobalamin</t>
  </si>
  <si>
    <t>MILGAMMA N</t>
  </si>
  <si>
    <t>ampula, 5 po 2 ml (100mg/2ml+100mg/2ml+1 mg/2ml)</t>
  </si>
  <si>
    <t>Worwag Pharma GmBH&amp;Co.KG</t>
  </si>
  <si>
    <t>Neurološki simptomi uzrokovani deficijencijom vitamina B1, B6, B12 koja se ne može korigovati ishranom:
1. Wernickeova encefalopatija usled deficita vitamina B1 (E51.2)
2. Senzomotorna polineuropatija uzrokovana deficitom vitamina B1 ili B6 (G63.4)
3. Funikularna mijeloza u sklopu megaloblastne anemije usled deficita vitamina B12 (D53; G32.0)
4.Senzitivna neuropatija uzrokovana deficitom vitamina B12 (G63.4)</t>
  </si>
  <si>
    <t>0052184</t>
  </si>
  <si>
    <t>A11EA..</t>
  </si>
  <si>
    <t>vitamini B-kompleksa (tiamin, riboflavin, piridoksin, nikotinamid, kalcijum-pantotenat, cijanokobalamin)</t>
  </si>
  <si>
    <t>BEVIPLEX</t>
  </si>
  <si>
    <t xml:space="preserve">liofilizat za rastvor za injekciju </t>
  </si>
  <si>
    <t>5 x (40 mg + 4 mg + 8 mg + 100 mg + 10 mg + 0,004 mg)</t>
  </si>
  <si>
    <t>0051845</t>
  </si>
  <si>
    <t>A11GA01</t>
  </si>
  <si>
    <t>askorbinska kiselina</t>
  </si>
  <si>
    <t>VITAMIN C</t>
  </si>
  <si>
    <t>ampula, 50 po 5 ml (500 mg/5 ml)</t>
  </si>
  <si>
    <t>Galenika a.d. Beograd</t>
  </si>
  <si>
    <t>0,2 g</t>
  </si>
  <si>
    <t>0051548</t>
  </si>
  <si>
    <t>VITAMIN C SOPHARMA</t>
  </si>
  <si>
    <t>ampula, 10 po 5 ml (100mg/ml)</t>
  </si>
  <si>
    <t>0051351</t>
  </si>
  <si>
    <t>A11HA02</t>
  </si>
  <si>
    <t>piridoksin (vitamin B6)</t>
  </si>
  <si>
    <t xml:space="preserve">BEDOXIN </t>
  </si>
  <si>
    <t>ampula, 50 po 2 ml (50 mg/2 ml)</t>
  </si>
  <si>
    <t>0,16 g</t>
  </si>
  <si>
    <t>1174015</t>
  </si>
  <si>
    <t>A16AA..</t>
  </si>
  <si>
    <t>alfa-okso-(R,S)-izoleucin, kalcijumova so, alfa-okso-leucin, kalcijumova so, alfa-okso-fenilalanin, kalcijumova so, alfa-okso-valin, kalcijumova so, alfa-hidroksi-(R,S)-metionin, kalcijumova so, lizin, treonin, triptofan, histidin, tirozin</t>
  </si>
  <si>
    <t>KETOSTERIL</t>
  </si>
  <si>
    <t>film tableta</t>
  </si>
  <si>
    <t>blister, 100 po (67 mg + 101 mg + 68 mg + 86 mg + 59 mg + 75 mg + 53 mg + 23 mg + 38 mg + 30 mg)</t>
  </si>
  <si>
    <t>Labesfal-Laboratorios Almiro S.A.</t>
  </si>
  <si>
    <t>Prevencija i terapija oštećenja nastalih usled poremećaja metabolizma proteina u hroničnoj bubrežnoj insuficijenciji uz smanjeni unos proteina putem hrane od 40g/dan (za odrasle) i manje, tj. kod pacijenata sa brzinom glomerularne filtracije (GFR) između 5 i 15 ml/min. Neophodna je primena Ketosteril tableta sve dok je GFR ispod 25 ml/min.</t>
  </si>
  <si>
    <t>0062036</t>
  </si>
  <si>
    <t>B01AB01</t>
  </si>
  <si>
    <t>heparin</t>
  </si>
  <si>
    <t>HEPARIN GALENIKA</t>
  </si>
  <si>
    <t>ampula, 5 po 5000 i.j./1 ml</t>
  </si>
  <si>
    <t>10000 i.j.</t>
  </si>
  <si>
    <t>0062037</t>
  </si>
  <si>
    <t>ampula, 10 po 25000 i.j./5 ml</t>
  </si>
  <si>
    <t>0062161</t>
  </si>
  <si>
    <t>B01AB02</t>
  </si>
  <si>
    <t>antitrombin III</t>
  </si>
  <si>
    <t>ANTITROMBIN III TAKEDA</t>
  </si>
  <si>
    <t>prašak i rastvarač za rastvor za infuziju</t>
  </si>
  <si>
    <t>1 po 10 ml (500 i.j./10 ml)</t>
  </si>
  <si>
    <t>Takeda Manufacturing Austria AG</t>
  </si>
  <si>
    <t>2100 i.j.</t>
  </si>
  <si>
    <t>1. Profilaksa i lečenje tromboembolijskih komplikacija urođenog nedostatka antitrombina III.
2. Profilaksa i lečenje koagulacionih poremećaja i komplikacija kod bolesnika sa transplantacijom jetre i utvrđenim nedostatkom antitrombina III.</t>
  </si>
  <si>
    <t>0062162</t>
  </si>
  <si>
    <t>1 po 20 ml (1000 i.j./20 ml)</t>
  </si>
  <si>
    <t>Profilaksa i lečenje tromboembolijskih komplikacija urođenog nedostatka antitrombina III.</t>
  </si>
  <si>
    <t>0062170</t>
  </si>
  <si>
    <t>KYBERNIN P 500</t>
  </si>
  <si>
    <t>prašak i rastvarač za rastvor za injekciju/infuziju</t>
  </si>
  <si>
    <t>bočica sa praškom i bočica sa rastvaračem, 1 po 10 ml (500 i.j./10ml)</t>
  </si>
  <si>
    <t>CSL Behring GmbH</t>
  </si>
  <si>
    <t>0062163</t>
  </si>
  <si>
    <t>ATENATIV 500</t>
  </si>
  <si>
    <t>bočica sa praškom i bočica sa rastvaračem, 1 po 10 ml (50 i.j./ ml)</t>
  </si>
  <si>
    <t>Octapharma AB</t>
  </si>
  <si>
    <t>Švedska</t>
  </si>
  <si>
    <t>0062164</t>
  </si>
  <si>
    <t>ATENATIV 1000</t>
  </si>
  <si>
    <t>bočica sa praškom i bočica sa rastvaračem, 1 po 20 ml (50 i.j./ ml)</t>
  </si>
  <si>
    <t>0062210</t>
  </si>
  <si>
    <t>B01AB04</t>
  </si>
  <si>
    <t>dalteparin- natrijum</t>
  </si>
  <si>
    <t>FRAGMIN</t>
  </si>
  <si>
    <t>rastvor za injekciju u napunjenom injekcionom špricu</t>
  </si>
  <si>
    <t>napunjen injekcioni špric,10 po 2500 i.j./0.2 ml</t>
  </si>
  <si>
    <t>Pfizer Manufacturing Belgium NV</t>
  </si>
  <si>
    <t>Belgija</t>
  </si>
  <si>
    <t>2500 i.j.</t>
  </si>
  <si>
    <t>1. Pre i postoperativna profilaksa tromboembolije kod visokorizičnih hirurških intervencija, ukupno do 35 dana
2. Lečenje tromboza dubokih vena u ambulantnim uslovima do postizanja terapijskog INR (2,0-3,0) uz paralelnu primenu oralnih antikoagulanasa na predlog specijaliste, u bolničkim uslovima i duže, u zavisnosti od procene odgovarajućeg specijaliste
3. Profilaksa kod bolesnika sa značajno povećanim rizikom od nastanka venske tromboembolije koji su privremeno imobilizirani zbog akutne bolesti (zatajivanja srca, respiratorne insuficijencije, teških infekcija)
4. Lečenje nestabilne angine pektoris, non Q  infarkta miokarda i u sklopu protokola perkutanih koronarnih intervencija (PCI/PTCA).
5. Profilaksa venske tromboembolijske bolesti kod trudnica sa visokim rizikom tokom trudnoće i 6 nedelja postpartalno; Profilaksa ponovljenih gubitaka ploda kod trudnica sa prethodnim habitualnim pobačajima i utvrđenim naslednom trombofilijom ili antifosfolipidnim sindromom.</t>
  </si>
  <si>
    <t>0062211</t>
  </si>
  <si>
    <t>napunjen injekcioni špric,10 po 5000 i.j./0.2 ml</t>
  </si>
  <si>
    <t>0062205</t>
  </si>
  <si>
    <t>B01AB05</t>
  </si>
  <si>
    <t>enoksaparin</t>
  </si>
  <si>
    <t>CLEXANE</t>
  </si>
  <si>
    <t>napunjen injekcioni špric sa iglom, 10 po 0,2 ml (2000 i.j./0,2 ml)</t>
  </si>
  <si>
    <t>Sanofi Winthrop Industrie; Chinoin Pharmaceutical Chemical Works Co.Ltd.</t>
  </si>
  <si>
    <t>Francuska; Mađarska</t>
  </si>
  <si>
    <t>2000 i.j.</t>
  </si>
  <si>
    <t>1. Pre i postoperativna profilaksa tromboembolije kod visokorizičnih hirurških intervencija, ukupno do 35 dana
2. Lečenje tromboza dubokih vena u ambulantnim uslovima do postizanja terapijskog INR (2,0-3,0) uz paralelnu primenu oralnih antikoagulanasa na predlog specijaliste, u bolničkim uslovima i duže, u zavisnosti od procene odgovarajućeg specijaliste
3. Profilaksa kod bolesnika sa značajno povećanim rizikom od nastanka venske tromboembolije koji su privremeno imobilizirani zbog akutne bolesti (zatajivanja srca, respiratorne insuficijencije, teških infekcija)
4. Lečenje nestabilne angine pektoris, non Q  infarkta miokarda i u sklopu protokola perkutanih koronarnih intervencija (PCI/PTCA).
5. Profilaksa venske tromboembolijske bolesti kod trudnica sa visokim rizikom tokom trudnoće i 6 nedelja postpartalno; Profilaksa ponovljenih gubitaka ploda kod trudnica sa prethodnim habitualnim pobačajima i utvrđenim naslednom trombofilijom ili antifosfolipidnim sindromom.
6. U lečenju pacijenata sa akutnim infarktom miokarda sa elevacijom ST segmenta (STEMI ).</t>
  </si>
  <si>
    <t>0062206</t>
  </si>
  <si>
    <t>napunjen injekcioni špric sa iglom, 10 po 0,4 ml (4000 i.j./0,4 ml)</t>
  </si>
  <si>
    <t>0062207</t>
  </si>
  <si>
    <t>napunjen injekcioni špric sa iglom, 10 po 0,6 ml (6000 i.j./0,6 ml)</t>
  </si>
  <si>
    <t>0062208</t>
  </si>
  <si>
    <t>napunjen injekcioni špric sa iglom, 10 po 0,8 ml (8000 i.j./0,8 ml)</t>
  </si>
  <si>
    <t>0062000</t>
  </si>
  <si>
    <t>enoksaparin-natrijum</t>
  </si>
  <si>
    <t>INHIXA</t>
  </si>
  <si>
    <t>napunjen injekcioni špric, 10 po 0,2 ml (20mg/0,2ml)</t>
  </si>
  <si>
    <t>0062001</t>
  </si>
  <si>
    <t>napunjen injekcioni špric sa štitnikom za iglu, 10 po 0,2 ml (20mg/0,2ml)</t>
  </si>
  <si>
    <t>0062002</t>
  </si>
  <si>
    <t>napunjen injekcioni špric, 10 po 0,4 ml (40mg/0,4ml)</t>
  </si>
  <si>
    <t>0062003</t>
  </si>
  <si>
    <t>napunjen injekcioni špric sa štitnikom za iglu, 10 po 0,4 ml (40mg/0,4ml)</t>
  </si>
  <si>
    <t>0062004</t>
  </si>
  <si>
    <t>napunjen injekcioni špric, 10 po 0,6 ml (60mg/0,6ml)</t>
  </si>
  <si>
    <t>0062005</t>
  </si>
  <si>
    <t>napunjen injekcioni špric sa štitnikom za iglu, 10 po 0,6 ml (60mg/0,6ml)</t>
  </si>
  <si>
    <t>0062006</t>
  </si>
  <si>
    <t>napunjen injekcioni špric, 10 po 0,8 ml (80mg/0,8ml)</t>
  </si>
  <si>
    <t>0062007</t>
  </si>
  <si>
    <t>napunjen injekcioni špric sa štitnikom za iglu, 10 po 0,8 ml (80mg/0,8ml)</t>
  </si>
  <si>
    <t>0062300</t>
  </si>
  <si>
    <t>B01AB06</t>
  </si>
  <si>
    <t>nadroparin kalcijum</t>
  </si>
  <si>
    <t xml:space="preserve">FRAXIPARINE </t>
  </si>
  <si>
    <t>rastvor za injekciju u napunjenom injekcionom špricu; 10 po 2850 i.j /0.3ml</t>
  </si>
  <si>
    <t>Aspen Notre Dame de Bondeville</t>
  </si>
  <si>
    <t>2850 i.j.</t>
  </si>
  <si>
    <t>0062400</t>
  </si>
  <si>
    <t>rastvor za injekciju u napunjenom injekcionom špricu; 10 po 3800 i.j /0,4ml</t>
  </si>
  <si>
    <t>0062302</t>
  </si>
  <si>
    <t>rastvor za injekciju u napunjenom injekcionom špricu; 10 po 5700 i.j /0,6ml</t>
  </si>
  <si>
    <t>0064130</t>
  </si>
  <si>
    <t>B01AD02</t>
  </si>
  <si>
    <t>alteplaza</t>
  </si>
  <si>
    <t>ACTILYSE</t>
  </si>
  <si>
    <t>liobočica sa rastvaračem, 1 po 50 ml (50 mg/50 ml)</t>
  </si>
  <si>
    <t>Boehringer Ingelheim Pharma GmbH &amp; Co. KG</t>
  </si>
  <si>
    <t>0,1 g</t>
  </si>
  <si>
    <t xml:space="preserve">STAC </t>
  </si>
  <si>
    <t>0064060</t>
  </si>
  <si>
    <t>B01AD11</t>
  </si>
  <si>
    <t>tenekteplaza</t>
  </si>
  <si>
    <t>METALYSE</t>
  </si>
  <si>
    <t>prašak i rastvarač za rastvor za injekciju</t>
  </si>
  <si>
    <t>liobočica sa rastvaračem u špricu, 1 po 10 ml (50 mg/10 ml)</t>
  </si>
  <si>
    <t>1069611</t>
  </si>
  <si>
    <t>B01AE07</t>
  </si>
  <si>
    <t>dabigatraneteksilat</t>
  </si>
  <si>
    <t>PRADAXA</t>
  </si>
  <si>
    <t>blister, 30 po 75 mg</t>
  </si>
  <si>
    <t>Boehringer Ingelheim Pharma GmbH &amp; Co.KG</t>
  </si>
  <si>
    <t>Prevencija venske tromboembolije kod odraslih pacijenata koji se podvrgavaju elektivnom hirurškom zahvatu zamene kuka ili kolena.</t>
  </si>
  <si>
    <t xml:space="preserve">  STAC </t>
  </si>
  <si>
    <t>1069614</t>
  </si>
  <si>
    <t>blister, 30 po 110 mg</t>
  </si>
  <si>
    <t>1069619</t>
  </si>
  <si>
    <t>BEREVIN</t>
  </si>
  <si>
    <t>blister, 60 po 110 mg</t>
  </si>
  <si>
    <t>Gedeon Richter PLC</t>
  </si>
  <si>
    <t>Mađarska</t>
  </si>
  <si>
    <t>0.3 g</t>
  </si>
  <si>
    <t>0062420</t>
  </si>
  <si>
    <t>B01AX05</t>
  </si>
  <si>
    <t>fondaparinuks-natrijum</t>
  </si>
  <si>
    <t>ARIXTRA</t>
  </si>
  <si>
    <t>rastvor za injekciju , napunjen injekcioni špric, 10 po 2.5mg /0.5 ml</t>
  </si>
  <si>
    <t xml:space="preserve">Aspen Notre Dame de Bondeville </t>
  </si>
  <si>
    <t>2,5mg</t>
  </si>
  <si>
    <t>1. Nestabilna angina ili infarkt miokarda bez elevacije ST segmenta (UA/NSTEMI) kod pacijenata kod kojih nije indikovano urgentno (manje 120 minuta) invazivno lečenje (PCI);
2. Infarkt miokarda sa elevcijom ST segmenta (STEMI) kod pacijenata koji se leče tromboliticima ili koji u početku ne smeju da dobiju drugi oblik reperfuzivne terapije.</t>
  </si>
  <si>
    <t>1069600</t>
  </si>
  <si>
    <t>B01AF01</t>
  </si>
  <si>
    <t>rivaroksaban</t>
  </si>
  <si>
    <t>XARELTO</t>
  </si>
  <si>
    <t>blister, 10 po 10 mg</t>
  </si>
  <si>
    <t>Bayer Healthcare Manufacturing S.R.L.; Bayer Pharma AG</t>
  </si>
  <si>
    <t>Italija; Nemačka</t>
  </si>
  <si>
    <t xml:space="preserve"> STAC</t>
  </si>
  <si>
    <t>1068051</t>
  </si>
  <si>
    <t>RIVAROKSABAN SK</t>
  </si>
  <si>
    <t>Combino Pharm (Malta) LTD</t>
  </si>
  <si>
    <t>Malta</t>
  </si>
  <si>
    <t>1068070</t>
  </si>
  <si>
    <t>RUNAPLAX</t>
  </si>
  <si>
    <t>blister, 28 po 10 mg</t>
  </si>
  <si>
    <t>Salutas Pharma GmbH</t>
  </si>
  <si>
    <t>TROMBOCEN</t>
  </si>
  <si>
    <t>film tableta</t>
  </si>
  <si>
    <t>blister, 30 po 10 mg</t>
  </si>
  <si>
    <t>XERDOXO</t>
  </si>
  <si>
    <t xml:space="preserve"> blister, 14 po 10 mg</t>
  </si>
  <si>
    <t>Krka d.d., Novo Mesto; Tad Pharma GMBH</t>
  </si>
  <si>
    <t>Slovenija; Nemačka</t>
  </si>
  <si>
    <t>RIVAROX</t>
  </si>
  <si>
    <t xml:space="preserve"> blister, 10 po 10 mg</t>
  </si>
  <si>
    <t xml:space="preserve"> Republika Srbija</t>
  </si>
  <si>
    <t>CORVIVA</t>
  </si>
  <si>
    <t>1068076</t>
  </si>
  <si>
    <t>RUFIXALO</t>
  </si>
  <si>
    <t>Alkaloid AD Skopje</t>
  </si>
  <si>
    <t>1068077</t>
  </si>
  <si>
    <t>1068025</t>
  </si>
  <si>
    <t>B01AF02</t>
  </si>
  <si>
    <t>apiksaban</t>
  </si>
  <si>
    <t>ELIQUIS</t>
  </si>
  <si>
    <t>film tablete</t>
  </si>
  <si>
    <t>blister, 10 po 2,5 mg</t>
  </si>
  <si>
    <t>blister, 60 po 2,5 mg</t>
  </si>
  <si>
    <t>0065040</t>
  </si>
  <si>
    <t>B02AA02</t>
  </si>
  <si>
    <t>traneksaminska kiselina</t>
  </si>
  <si>
    <t>TRANEXAMIC MEDOCHEMIE</t>
  </si>
  <si>
    <t>ampula, 10 po 5 ml (500 mg/5 ml)</t>
  </si>
  <si>
    <t>Medochemie Ltd.
 (Ampoule injectable facility)</t>
  </si>
  <si>
    <t>2 g</t>
  </si>
  <si>
    <t xml:space="preserve"> 1. Lokalna fibrinoliza - kratkotrajna primena u profilaksi i lečenju kod pacijenata koji su pod velikim rizikom od krvarenja tokom i posle operacije kod prostatektomije, konizacije cerviksa i hirurških procedura i dentalnih ekstrakcija kod bolesnika sa hemofilijom;
 2. Sistemska fibrinoliza - hemoragijske komplikacije povezane sa trombolitičkom terapijom i krvarenje povezano sa diseminovanom intravaskularnom koagulacijom, kod koje je predominantna aktivacija fibrinolitičkog sistema.</t>
  </si>
  <si>
    <t>0050970</t>
  </si>
  <si>
    <t>B02BA01</t>
  </si>
  <si>
    <t>fitomenadion (vitamin K1)</t>
  </si>
  <si>
    <t xml:space="preserve">KONAKION MM </t>
  </si>
  <si>
    <t xml:space="preserve"> ampula, 5 po 10 mg/1 ml</t>
  </si>
  <si>
    <t>F. Hoffmann-La Roche Ltd.</t>
  </si>
  <si>
    <t>Švajcarska</t>
  </si>
  <si>
    <t>0050974</t>
  </si>
  <si>
    <t xml:space="preserve"> ampula, 5 po 2 mg/0,2 ml</t>
  </si>
  <si>
    <t>9067081</t>
  </si>
  <si>
    <t>B02BC30</t>
  </si>
  <si>
    <t>fibrinogen, koagulacioni faktor XIII, humani,  aprotinin, trombin, kalcijum hlorid</t>
  </si>
  <si>
    <t>BERIPLAST P Combi-Set 1ml</t>
  </si>
  <si>
    <t>prašak i rastvarač za lepak za tkivo</t>
  </si>
  <si>
    <t>bočica,  4 po 1 (set 1 mL);   (90 mg/1mL  + 60 i.j./1mL  + 1000 KIU/1mL  + 500 i.j./1mL  + 5,9 mg /1mL)</t>
  </si>
  <si>
    <t>BERIPLAST P Combi-Set 3ml</t>
  </si>
  <si>
    <t>bočica, 4 po 1 (set 3 mL); (270 mg/ 3mL + 180 i.j./ 3mL + 3000 KIU/ 3mL + 1500 i.j./ 3mL + 17,7mg/3mL)</t>
  </si>
  <si>
    <t>0066014</t>
  </si>
  <si>
    <t>B02BD02</t>
  </si>
  <si>
    <t>humani faktor koagulacije VIII</t>
  </si>
  <si>
    <t>OCTANATE 250</t>
  </si>
  <si>
    <t>bočica sa praškom i bočica sa rastvaračem, 1 po 5 ml (50 i.j./ml)</t>
  </si>
  <si>
    <t>Octapharma Pharmazeutika Produktionsges m.b.H; Octapharma AB; Octapharma S.A.S.</t>
  </si>
  <si>
    <t>Austrija; Švedska; Francuska</t>
  </si>
  <si>
    <t>500 i.j.</t>
  </si>
  <si>
    <t>0066012</t>
  </si>
  <si>
    <t>koagulacioni faktor VIII, humani</t>
  </si>
  <si>
    <t>OCTANATE 500</t>
  </si>
  <si>
    <t>bočica sa praškom i bočica sa rastvaračem, 1 po 10 ml (50 i.j./ml)</t>
  </si>
  <si>
    <t>Octapharma Pharmazeutika Produktionsges m.b.H; Octapharma S.A.S; Octapharma AB</t>
  </si>
  <si>
    <t>Austrija; Francuska; Švedska</t>
  </si>
  <si>
    <t>0066013</t>
  </si>
  <si>
    <t>OCTANATE 1000</t>
  </si>
  <si>
    <t>bočica sa praškom i bočica sa rastvaračem, 1 po 10 ml (100 i.j./ml)</t>
  </si>
  <si>
    <t>0066610</t>
  </si>
  <si>
    <t>koagulacioni faktor VIII (antihemofilni faktor VIII)</t>
  </si>
  <si>
    <t>BERIATE</t>
  </si>
  <si>
    <t>bočica sa praškom i bočica sa rastvaračem, 1 po 2,5 ml (250 i.j./2,5 ml)</t>
  </si>
  <si>
    <t>0066611</t>
  </si>
  <si>
    <t>bočica sa praškom i bočica sa rastvaračem, 1 po 5 ml (500 i.j./5 ml)</t>
  </si>
  <si>
    <t>0066612</t>
  </si>
  <si>
    <t>bočica sa praškom i bočica sa rastvaračem, 1 po 10 ml (1000 i.j./10 ml)</t>
  </si>
  <si>
    <t>ZLB Behring GmbH</t>
  </si>
  <si>
    <t>0066630</t>
  </si>
  <si>
    <t>HAEMOCTIN SDH</t>
  </si>
  <si>
    <t xml:space="preserve"> liobočica, 1 po 250 i.j. (50i.j./ml + 5ml vode za inj.)</t>
  </si>
  <si>
    <t>Biotest Pharma GmbH</t>
  </si>
  <si>
    <t>0066631</t>
  </si>
  <si>
    <t>liobočica, 1 po 500 i.j.(50 i.j./ml + 10ml vode za inj.)</t>
  </si>
  <si>
    <t>0066632</t>
  </si>
  <si>
    <t>liobočica, 1 po 1000 i.j. (100 i.j./ml + 10 ml vode za inj.)</t>
  </si>
  <si>
    <t>0066105</t>
  </si>
  <si>
    <t>bočica sa praškom i bočica sa rastvaračem, 1 po 10 ml (500 i.j/10ml)</t>
  </si>
  <si>
    <t>Kedrion S.P.A</t>
  </si>
  <si>
    <t>Italija</t>
  </si>
  <si>
    <t>500 i.j</t>
  </si>
  <si>
    <t>0066106</t>
  </si>
  <si>
    <t>bočica sa praškom i bočica sa rastvaračem, 1 po 10 ml (1000 i.j/10ml)</t>
  </si>
  <si>
    <t>500i.j</t>
  </si>
  <si>
    <t>oktokog alfa</t>
  </si>
  <si>
    <t>Baxalta Belgium Manufacturing S.A.</t>
  </si>
  <si>
    <t>0066918</t>
  </si>
  <si>
    <t>ADVATE</t>
  </si>
  <si>
    <t>bočica sa praškom i bočica sa rastvaračem, 1 po 5 ml (250 i.j./5ml)</t>
  </si>
  <si>
    <t>0066917</t>
  </si>
  <si>
    <t>bočica sa praškom i bočica sa rastvaračem, 1 po 5 ml (500 i.j./5ml)</t>
  </si>
  <si>
    <t>0066916</t>
  </si>
  <si>
    <t>bočica sa praškom i bočica sa rastvaračem, 1 po 5 ml (1000 i.j./5ml)</t>
  </si>
  <si>
    <t>0066770</t>
  </si>
  <si>
    <t>moroktokog alfa</t>
  </si>
  <si>
    <t>REFACTO AF</t>
  </si>
  <si>
    <t>bočica sa praškom i napunjeni injekcioni špric sa rastvaračem, 1 po 4 ml (250 i.j./4 ml)</t>
  </si>
  <si>
    <t>Wyeth Farma S.A.</t>
  </si>
  <si>
    <t>0066771</t>
  </si>
  <si>
    <t>bočica sa praškom i napunjeni injekcioni špric sa rastvaračem, 1 po 4 ml (500 i.j./4 ml)</t>
  </si>
  <si>
    <t>0066772</t>
  </si>
  <si>
    <t>bočica sa praškom i napunjeni injekcioni špric sa rastvaračem, 1 po 4 ml (1000 i.j./4 ml)</t>
  </si>
  <si>
    <t>0066773</t>
  </si>
  <si>
    <t>bočica sa praškom i napunjeni injekcioni špric sa rastvaračem,1 po 4 ml (2000 i.j./4 ml)</t>
  </si>
  <si>
    <t>0066180</t>
  </si>
  <si>
    <t>simoktokog alfa</t>
  </si>
  <si>
    <t>NUWIQ</t>
  </si>
  <si>
    <t>bočica sa praškom i napunjeni injekcioni špric sa rastvaračem, 1 po 2.5ml (250i.j/2.5ml)</t>
  </si>
  <si>
    <t>0066181</t>
  </si>
  <si>
    <t>bočica sa praškom i napunjeni injekcioni špric sa rastvaračem, 1 po 2.5ml (500i.j/2.5ml)</t>
  </si>
  <si>
    <t>0066182</t>
  </si>
  <si>
    <t>bočica sa praškom i napunjeni injekcioni špric sa rastvaračem, 1 po 2.5ml (1000 i.j/2.5ml)</t>
  </si>
  <si>
    <t>0066183</t>
  </si>
  <si>
    <t>bočica sa praškom i napunjeni injekcioni špric sa rastvaračem, 1 po 2.5ml (2000i.j/2.5ml)</t>
  </si>
  <si>
    <t>0069001</t>
  </si>
  <si>
    <t>turoktokog alfa</t>
  </si>
  <si>
    <t>NOVOEIGHT</t>
  </si>
  <si>
    <t>bočica sa praškom i napunjeni injekcioni špric sa rastvaračem 1 po 4 ml (250i.j)</t>
  </si>
  <si>
    <t>Novo Nordisk A/S</t>
  </si>
  <si>
    <t>Danska</t>
  </si>
  <si>
    <t>0069002</t>
  </si>
  <si>
    <t>bočica sa praškom i napunjeni injekcioni špric sa rastvaračem 1 po 4 ml (500i.j)</t>
  </si>
  <si>
    <t>0069003</t>
  </si>
  <si>
    <t>bočica sa praškom i napunjeni injekcioni špric sa rastvaračem 1 po 4 ml (1000i.j)</t>
  </si>
  <si>
    <t>0069006</t>
  </si>
  <si>
    <t>turoktokog alfa pegol</t>
  </si>
  <si>
    <t>ESPEROCT</t>
  </si>
  <si>
    <t>bočica sa praškom i napunjeni injekcioni špric sa rastvaračem, 1 po 4 ml ( 500 i.j./4ml)</t>
  </si>
  <si>
    <t>0069007</t>
  </si>
  <si>
    <t>bočica sa praškom i napunjeni injekcioni špric sa rastvaračem, 1 po 4 ml ( 1000 i.j./4ml)</t>
  </si>
  <si>
    <t>0069008</t>
  </si>
  <si>
    <t>bočica sa praškom i napunjeni injekcioni špric sa rastvaračem, 1 po 4 ml ( 2000 i.j./4ml)</t>
  </si>
  <si>
    <t>B02BD03</t>
  </si>
  <si>
    <t>antiinhibitorski kompleks faktora VIII</t>
  </si>
  <si>
    <t>FEIBA NF</t>
  </si>
  <si>
    <t>Za dokazane inhibitore na koagulacioni faktor VIII i faktor IX, na osnovu mišljenja hematologa ili interniste ili pedijatra u centrima za lečenje hemofilije.</t>
  </si>
  <si>
    <t>0066007</t>
  </si>
  <si>
    <t>B02BD04</t>
  </si>
  <si>
    <t>koagulacioni faktor IX, humani</t>
  </si>
  <si>
    <t>OCTANINE F</t>
  </si>
  <si>
    <t>prašak i rastvaraĉ za rastvor za injekciju</t>
  </si>
  <si>
    <t>Octapharma Pharmazeutika Produktionsges m.b.H</t>
  </si>
  <si>
    <t>350 i.j.</t>
  </si>
  <si>
    <t>0066171</t>
  </si>
  <si>
    <t>IMMUNINE</t>
  </si>
  <si>
    <t>bočica sa praškom i bočica sa rastvaračem, 1 po 5 ml (600 i.j./5 ml)</t>
  </si>
  <si>
    <t>Baxter AG;  Takeda Manufacturing Austria AG</t>
  </si>
  <si>
    <t>Austrija; Austrija</t>
  </si>
  <si>
    <t>0066501</t>
  </si>
  <si>
    <t>HAEMONINE 500</t>
  </si>
  <si>
    <t>bočica sa praškom i bočica sa rastvaračem, 1 po 5 ml (100 i.j./ml)</t>
  </si>
  <si>
    <t>0066500</t>
  </si>
  <si>
    <t>HAEMONINE 1000</t>
  </si>
  <si>
    <t>0066020</t>
  </si>
  <si>
    <t>humani faktor koagulacije IX</t>
  </si>
  <si>
    <t>AIMAFIX</t>
  </si>
  <si>
    <t>350 i.j</t>
  </si>
  <si>
    <t>0066110</t>
  </si>
  <si>
    <t>nonakog alfa</t>
  </si>
  <si>
    <t>BENEFIX</t>
  </si>
  <si>
    <t>bočica sa praškom i napunjeni injekcioni špric sa rastvaračem, 1 po 5 ml (250i.j/5ml)</t>
  </si>
  <si>
    <t>0066111</t>
  </si>
  <si>
    <t>bočica sa praškom i napunjeni injekcioni špric sa rastvaračem, 1 po 5 ml (500i.j/5ml)</t>
  </si>
  <si>
    <t>0066112</t>
  </si>
  <si>
    <t>bočica sa praškom i napunjeni injekcioni špric sa rastvaračem, 1 po 5 ml (1000i.j/5ml)</t>
  </si>
  <si>
    <t>0066113</t>
  </si>
  <si>
    <t>bočica sa praškom i napunjeni injekcioni špric sa rastvaračem, 1 po 5 ml (2000i.j/5ml)</t>
  </si>
  <si>
    <t>0066050</t>
  </si>
  <si>
    <t>nonakog beta pegol</t>
  </si>
  <si>
    <t>REFIXIA</t>
  </si>
  <si>
    <t>0066051</t>
  </si>
  <si>
    <t>0066200</t>
  </si>
  <si>
    <t>B02BD06</t>
  </si>
  <si>
    <t>von Willebrand-ov faktor (vWF:RCof), koagulacioni faktor VIII, humani</t>
  </si>
  <si>
    <t>HAEMATE P 250</t>
  </si>
  <si>
    <t>bočica sa praškom i bočica sa rastvaračem, 1 po 5 ml (600i.j./5mL+250i.j./5mL)</t>
  </si>
  <si>
    <t>7200 i.j.</t>
  </si>
  <si>
    <t>Terapija i profilaksa krvarenja kod pacijenata sa kongenitalnom (hemofilija A) ili stečenom deficijencijom faktora VIII, Von Willebrandova bolest sa deficijencijom faktora VIII.</t>
  </si>
  <si>
    <t>0066201</t>
  </si>
  <si>
    <t>HAEMATE P 500</t>
  </si>
  <si>
    <t>bočica sa praškom i bočica sa rastvaračem, 1 po 10 ml (1200i.j./10ml+500i.j./10ml)</t>
  </si>
  <si>
    <t>0066202</t>
  </si>
  <si>
    <t>HAEMATE P 1000</t>
  </si>
  <si>
    <t>bočica sa praškom i bočica sa rastvaračem, 1 po 15 ml (2400i.j./15ml+1000i.j./15ml)</t>
  </si>
  <si>
    <t>0066210</t>
  </si>
  <si>
    <t>von Willebrand-ov faktor (vWF:RCof), humani koagulacioni faktor VIII, humani</t>
  </si>
  <si>
    <t>IMMUNATE</t>
  </si>
  <si>
    <t>bočica sa praškom i bočica sa rastvaračem, 1 po 5 ml (190 i.j./5 ml + 250 i.j./5 ml)</t>
  </si>
  <si>
    <t>Baxter AG, Takeda Manufacturing Austria AG</t>
  </si>
  <si>
    <t>0066212</t>
  </si>
  <si>
    <t>bočica sa praškom i bočica sa rastvaračem, 1 po 5 ml (375 i.j./5 ml + 500 i.j./5 ml)</t>
  </si>
  <si>
    <t>0066211</t>
  </si>
  <si>
    <t>bočica sa praškom i bočica sa rastvaračem, 1 po 10 ml (750 i.j./10 ml + 1000 i.j./10 ml)</t>
  </si>
  <si>
    <t>0066702</t>
  </si>
  <si>
    <t xml:space="preserve">von Willebrand-ov faktor (vWF:RCof), koagulacioni faktor VIII, humani  </t>
  </si>
  <si>
    <t>WILATE 500</t>
  </si>
  <si>
    <t>bočica sa praškom i bočica sa rastvaračem 1 po 5ml (500i.j./5ml + 500i.j./5ml)</t>
  </si>
  <si>
    <t xml:space="preserve">Octapharma Pharmazeutika Produktionsges M.B.H </t>
  </si>
  <si>
    <t>7200i.j</t>
  </si>
  <si>
    <t>0066703</t>
  </si>
  <si>
    <t>WILATE 1000</t>
  </si>
  <si>
    <t>bočica sa praškom i bočica sa rastvaračem 1 po 10ml (1000i.j./10ml + 1000i.j./10ml)</t>
  </si>
  <si>
    <t>0066704</t>
  </si>
  <si>
    <t>humani von Willebrand-ov faktor, humani faktor koagulacije VIII</t>
  </si>
  <si>
    <t>FANHDI</t>
  </si>
  <si>
    <t>bočica sa praškom i napunjeni injekcioni špric sa rastvaračem, 1 po 10 ml (30 i.j. VWF/ml + 25 i.j. FVIII/ml)</t>
  </si>
  <si>
    <t>Instituto Grifols, S.A.</t>
  </si>
  <si>
    <t>0066705</t>
  </si>
  <si>
    <t>bočica sa praškom i napunjeni injekcioni špric sa rastvaračem, 1 po 10 ml (60 i.j. VWF/ml + 50 i.j. FVIII/ml)</t>
  </si>
  <si>
    <t>0066706</t>
  </si>
  <si>
    <t>bočica sa praškom i napunjeni injekcioni špric sa rastvaračem, 1 po 10 ml (120 i.j. VWF/ml + 100 i.j. FVIII/ml)</t>
  </si>
  <si>
    <t>0066707</t>
  </si>
  <si>
    <t>bočica sa praškom i napunjeni injekcioni špric sa rastvaračem, 1 po 15 ml (120 i.j. VWF/ml + 100 i.j. FVIII/ml)</t>
  </si>
  <si>
    <t>0066000</t>
  </si>
  <si>
    <t>B02BD08</t>
  </si>
  <si>
    <t>eptakog alfa (aktivirani)</t>
  </si>
  <si>
    <t>NOVOSEVEN</t>
  </si>
  <si>
    <t>bočica sa praškom i napunjeni injekcioni špric sa rastvaračem, 1 po 1 ml (1mg/1ml)</t>
  </si>
  <si>
    <t>2500000 i.j.</t>
  </si>
  <si>
    <t>Kod pacijenata sa urođenom hemofilijom koji imaju inhibitore na faktore VIII ili IX&gt;5 BU, odnosno kod pacijenata sa urođenom hemofilijom kod kojih se očekuje ispoljavanje snažnog anamnestičkog odgovora na primenu faktora VIII ili IX, te urođeni deficit faktora VII, a na osnovu mišljenja hematologa ili interniste ili pedijatra u centrima za lečenje hemofilije.</t>
  </si>
  <si>
    <t>0066070</t>
  </si>
  <si>
    <t>B02BX01</t>
  </si>
  <si>
    <t>etamsilat</t>
  </si>
  <si>
    <t>DICYNONE</t>
  </si>
  <si>
    <t>ampula, 10 po 2 ml (250 mg/ 2 ml)</t>
  </si>
  <si>
    <t>Lek farmacevtska družba d.d.</t>
  </si>
  <si>
    <t>Slovenija</t>
  </si>
  <si>
    <t>tableta</t>
  </si>
  <si>
    <t>blister, 30 po 250 mg</t>
  </si>
  <si>
    <t>0069692</t>
  </si>
  <si>
    <t>B02BX06</t>
  </si>
  <si>
    <t>emicizumab</t>
  </si>
  <si>
    <t>HEMLIBRA</t>
  </si>
  <si>
    <t>bočica staklena, 1 po 1 ml (30 mg/ml)</t>
  </si>
  <si>
    <t>15 mg</t>
  </si>
  <si>
    <t>1. Profilaksa epizoda krvarenja kod pacijenata sa hemofilijom A sa inhibitorima faktora VIII, a na osnovu mišljenja hematologa ili interniste ili pedijatra u centrima za lečenje hemofilije.
2. Rutinska profilaksa epizoda krvarenja kod bolesnika sa teškom hemofilijom A (urođeni nedostatak faktora VIII, FVIII &lt;1%) bez inhibitora faktora VIII:
a) deca i osobe kod kojih primena čestih intravenskih injekcija  nije moguća ili je veoma otežana zbog slabog venskog pristupa,
b) bolesnici koji sebi ne mogu redovno aplikovati lek intravenskim putem (npr.zbog hemofiličnog oštećenja zglobova ruke ili drugog objektivnog stanja),
c) osobe koje uz profilaktičku terapiju koncentratom FVIII imaju godišnje više od 2.5 krvarenja u zglobove,
d) osobe kod kojih je na osnovu kliničkih ili laboratoorijskih pokazatelja povećan rizik od pojave inhibitora FVIII</t>
  </si>
  <si>
    <t>0069690</t>
  </si>
  <si>
    <t>bočica staklena, 1 po 0,4 ml (60 mg/0,4 ml)</t>
  </si>
  <si>
    <t>0069691</t>
  </si>
  <si>
    <t>bočica staklena, 1 po 0,7 ml (105 mg/0,7 ml)</t>
  </si>
  <si>
    <t>0069693</t>
  </si>
  <si>
    <t>bočica staklena, 1 po 1 ml (150 mg/ml)</t>
  </si>
  <si>
    <t>0060250</t>
  </si>
  <si>
    <t>B03AC..</t>
  </si>
  <si>
    <t>gvožđe (III) hidroksid saharoza kompleks</t>
  </si>
  <si>
    <t>FERROVIN</t>
  </si>
  <si>
    <t xml:space="preserve"> rastvor za injekciju/infuziju</t>
  </si>
  <si>
    <t>Rafarm S.A.</t>
  </si>
  <si>
    <t>0060251</t>
  </si>
  <si>
    <t>B03AC02</t>
  </si>
  <si>
    <t>gvožđe (III)-hidroksid saharoza kompleks</t>
  </si>
  <si>
    <t>FERRUM Sandoz</t>
  </si>
  <si>
    <t>koncentrat  za rastvor za infuziju</t>
  </si>
  <si>
    <t>5 po 5ml (100mg/5ml)</t>
  </si>
  <si>
    <t>Salutas Pharma GMBH</t>
  </si>
  <si>
    <t>0051560</t>
  </si>
  <si>
    <t>B03BA03</t>
  </si>
  <si>
    <t>hidroksokobalamin</t>
  </si>
  <si>
    <t xml:space="preserve">OHB 12 </t>
  </si>
  <si>
    <t>ampula, 5 po 2500 mcg/2 ml</t>
  </si>
  <si>
    <t>20 mcg</t>
  </si>
  <si>
    <t>0179315</t>
  </si>
  <si>
    <t>B05AA01</t>
  </si>
  <si>
    <t>albumin, humani</t>
  </si>
  <si>
    <t>HUMAN ALBUMIN 20% TAKEDA</t>
  </si>
  <si>
    <t>bočica staklena, 1 po 50 ml, 200g/L</t>
  </si>
  <si>
    <t>bočica, 1 po 50 ml (20%)</t>
  </si>
  <si>
    <t>0179190</t>
  </si>
  <si>
    <t>albumin</t>
  </si>
  <si>
    <t>HUMAN ALBUMIN 20% BEHRING</t>
  </si>
  <si>
    <t>0179360</t>
  </si>
  <si>
    <t>ALBIOMIN 20%</t>
  </si>
  <si>
    <t>staklena bočica, 1 po 50 ml (20%)</t>
  </si>
  <si>
    <t>0179188</t>
  </si>
  <si>
    <t>FLEXBUMIN 20%</t>
  </si>
  <si>
    <t>kesa, 24 po 50 ml (20%)</t>
  </si>
  <si>
    <t>0179187</t>
  </si>
  <si>
    <t>kesa, 12 po 100 ml (20%)</t>
  </si>
  <si>
    <t>0179003</t>
  </si>
  <si>
    <t>ALBUNORM 20%</t>
  </si>
  <si>
    <t>Octapharma Pharmazeutika Produktionsges M.B.H; Octapharma S.A.S; Octapharma AB; Octapharma Produktionsgesellschaft Deutschland MBH;</t>
  </si>
  <si>
    <t>Austrija;
Francuska;
Švedska;
Nemačka;</t>
  </si>
  <si>
    <t>0179004</t>
  </si>
  <si>
    <t>0179001</t>
  </si>
  <si>
    <t>ALBUNORM 5%</t>
  </si>
  <si>
    <t>0179002</t>
  </si>
  <si>
    <t>0179000</t>
  </si>
  <si>
    <t>0179551</t>
  </si>
  <si>
    <t>ALBUTEIN 20%</t>
  </si>
  <si>
    <t>bočica staklena, 1 po 50 ml (200g/L)</t>
  </si>
  <si>
    <t xml:space="preserve">Instituto Grifols, S.A. </t>
  </si>
  <si>
    <t>0179552</t>
  </si>
  <si>
    <t>bočica staklena, 1 po 100 ml (200g/L)</t>
  </si>
  <si>
    <t>0013454</t>
  </si>
  <si>
    <t xml:space="preserve">UMAN ALBUMIN </t>
  </si>
  <si>
    <t>Kedrion S.P.A.</t>
  </si>
  <si>
    <t>0013453</t>
  </si>
  <si>
    <t>B.Braun Medical SA</t>
  </si>
  <si>
    <t>0174030</t>
  </si>
  <si>
    <t>B05BA01</t>
  </si>
  <si>
    <t>alanin, arginin, cistein, fenilalanin, glicin, histidin, izoleucin, leucin, lizin, metionin, prolin, serin, glacijalna sirćetna kiselina, treonin, triptofan, valin</t>
  </si>
  <si>
    <t>HEPASOL 8%</t>
  </si>
  <si>
    <t>boca, 1 po 500 ml (4,64 g/l + 10,72 g/l + 0,52 g/l + 0,88 g/l + 5,82 g/l + 2,8 g/ + 10,4 g/l + 13,09 g/l + 6,88 g/l + 1,1 g/l + 5,73 g/l + 2,24 g/l + 4,42 g/l + 4,4 g/l + 0,7 g/l + 10,08 g/l)</t>
  </si>
  <si>
    <t xml:space="preserve">Hemomont d.o.o. </t>
  </si>
  <si>
    <t>Republika Crna Gora</t>
  </si>
  <si>
    <t>0174041</t>
  </si>
  <si>
    <t>alanin, arginin, asparaginska kiselina, cistein, glutaminska kiselina, glicin, histidin, izoleucin, leucin, lizin, metionin, fenilalanin, prolin, serin, taurin, treonin, triptofan, tirozin, valin</t>
  </si>
  <si>
    <t>VAMINOLACT</t>
  </si>
  <si>
    <t>boca staklena, 10 po 100 ml (6.3g/l+4.1g/l+4.1g/l+1g/l+7.1g/l+2.1g/l+2.1g/l+3.1g/l+7g/l+5.6g/l+1.3g/l+2.7g/l+5.6g/l+3.8g/l+300mg/l+3.6g/l+1.4g/l+500mg/l+3.6g/l)</t>
  </si>
  <si>
    <t>izoleucin, leucin, valin, lizin, metionin, treonin, fenilalanin, alanin, arginin, glicin, histidin, prolin, serin, tirozin, taurin, triptofan</t>
  </si>
  <si>
    <t>0174021</t>
  </si>
  <si>
    <t>AMINOVEN 10%</t>
  </si>
  <si>
    <t>boca staklena, 10 po 500 ml</t>
  </si>
  <si>
    <t>0174023</t>
  </si>
  <si>
    <t>AMINOVEN 15%</t>
  </si>
  <si>
    <t>B05BA02</t>
  </si>
  <si>
    <t>emulzija za infuziju</t>
  </si>
  <si>
    <t>0171291</t>
  </si>
  <si>
    <t>ulje soje prečišćeno</t>
  </si>
  <si>
    <t>plastična kesa, 10 po 100 ml (20%)</t>
  </si>
  <si>
    <t>Fresenius Kabi AB</t>
  </si>
  <si>
    <t>0171289</t>
  </si>
  <si>
    <t>plastična kesa, 12 po 500 ml (20%)</t>
  </si>
  <si>
    <t>0171297</t>
  </si>
  <si>
    <t>prečišćeno sojino ulje, trigliceridi srednje dužine lanaca, prečišćeno maslinovo ulje, riblje ulje bogato omega-3 kiselinama</t>
  </si>
  <si>
    <t>boca, 10 po 100ml (60g/l + 60g/l + 50g/l + 30g/l)</t>
  </si>
  <si>
    <t>0171298</t>
  </si>
  <si>
    <t>boca, 10 po 250ml (60g/l + 60g/l + 50g/l + 30g/l)</t>
  </si>
  <si>
    <t>0171299</t>
  </si>
  <si>
    <t>boca, 10 po 500ml (60g/l + 60g/l + 50g/l + 30g/l)</t>
  </si>
  <si>
    <t>0173220</t>
  </si>
  <si>
    <t>B05BA03</t>
  </si>
  <si>
    <t>glukoza</t>
  </si>
  <si>
    <t>GLUCOSI INFUNDIBILE  5%</t>
  </si>
  <si>
    <t>boca, 1 po 500 ml (5%)</t>
  </si>
  <si>
    <t>0173225</t>
  </si>
  <si>
    <t>GLUCOSI INFUNDIBILE  10%</t>
  </si>
  <si>
    <t>boca, 1 po 500 ml (10%)</t>
  </si>
  <si>
    <t>0173306</t>
  </si>
  <si>
    <t>GLUKOZA 5% B.BRAUN</t>
  </si>
  <si>
    <t>boca plastična, Ecoflac plus, 20 po 100 ml (50 g/l)</t>
  </si>
  <si>
    <t>B. Braun Melsungen AG;  B. Braun Medical SA</t>
  </si>
  <si>
    <t>Nemačka; Španija</t>
  </si>
  <si>
    <t>0173305</t>
  </si>
  <si>
    <t>boca plastična, Ecoflac plus, 10 po 500ml (50 g/L)</t>
  </si>
  <si>
    <t>B.Braun Melsungen AG; B.Braun Medical SA</t>
  </si>
  <si>
    <t xml:space="preserve">Nemačka; Španija </t>
  </si>
  <si>
    <t>0173300</t>
  </si>
  <si>
    <t>GLUKOZA 10% B.BRAUN</t>
  </si>
  <si>
    <t>0173245</t>
  </si>
  <si>
    <t>GLUCOSE 5% FRESENIUS</t>
  </si>
  <si>
    <t>boca plastična, 10 po 500 ml (5%)</t>
  </si>
  <si>
    <t>Fresenius Kabi Polska SP. Z O.O.; Fresenius Kabi Deutschland GmbH; Fresenius Kabi Italia S.R.L.</t>
  </si>
  <si>
    <t>Poljska; Nemačka; Italija</t>
  </si>
  <si>
    <t>0173244</t>
  </si>
  <si>
    <t>boca plastična, 20 po 250 ml (5%)</t>
  </si>
  <si>
    <t>0173243</t>
  </si>
  <si>
    <t xml:space="preserve"> boca plastična, 40 po 100 ml (5%)</t>
  </si>
  <si>
    <t>0173246</t>
  </si>
  <si>
    <t>kesa, 20 po 500 ml (5%)</t>
  </si>
  <si>
    <t>Fresenius Kabi Norge AS; Fresenius Kabi France - Louviers; Fresenius Kabi Deutschland GmbH</t>
  </si>
  <si>
    <t>Norveška; Francuska; Nemačka</t>
  </si>
  <si>
    <t>0173902</t>
  </si>
  <si>
    <t>kesa, 30 po 250 ml (5%)</t>
  </si>
  <si>
    <t>0173521</t>
  </si>
  <si>
    <t>GLUKOZA 5% IMUNA ENVIBAG</t>
  </si>
  <si>
    <t>kesa, 40 po 100 ml (5%)</t>
  </si>
  <si>
    <t>Imuna Pharm, A.S</t>
  </si>
  <si>
    <t>Slovačka</t>
  </si>
  <si>
    <t>0173520</t>
  </si>
  <si>
    <t>kesa, 18 po 250 ml (5%)</t>
  </si>
  <si>
    <t>0173519</t>
  </si>
  <si>
    <t>kesa, 10 po 500 ml (5%)</t>
  </si>
  <si>
    <t>0173515</t>
  </si>
  <si>
    <t>GLUKOZA 10% IMUNA ENVIBAG</t>
  </si>
  <si>
    <t>kesa, 40 po 100 ml (10%)</t>
  </si>
  <si>
    <t>0173514</t>
  </si>
  <si>
    <t>kesa, 18 po 250 ml (10%)</t>
  </si>
  <si>
    <t>0173510</t>
  </si>
  <si>
    <t>kesa, 10 po 500 ml (10%)</t>
  </si>
  <si>
    <t>9175236</t>
  </si>
  <si>
    <t>GLUKOZA 10% FRESENIUS KABI</t>
  </si>
  <si>
    <t>boca plastična, 10 po 500 ml (10%)</t>
  </si>
  <si>
    <t>Fresenius Kabi Polska SP. Z.O.O;
Fresenius Kabi Deutschland GmbH;
Fresenius Kabi Italia S.R.L.</t>
  </si>
  <si>
    <t>boca plastična, 10 po 500 mL (50g/L)</t>
  </si>
  <si>
    <t>Vioser S.A. Parenteral Solutions Industry</t>
  </si>
  <si>
    <t>boca plastična, 10 po 100 mL (50g/L)</t>
  </si>
  <si>
    <t>boca plastična, 10 po 500 mL (100g/L)</t>
  </si>
  <si>
    <t>0171307</t>
  </si>
  <si>
    <t>B05BA10</t>
  </si>
  <si>
    <t>glukoza, alanin, arginin, aspartanska kiselina, glutaminska kiselina, glicin, histidin, izoleucin, leucin, lizin, metionin, fenilalanin, prolin, serin, treonin, triptofan, tirozin, valin, kalcijum-hlorid, natrijum-glicerofosfat, magnezijum-sulfat, kalijum-hlorid, natrijum-acetat, ulje soje</t>
  </si>
  <si>
    <t>KABIVEN</t>
  </si>
  <si>
    <t>4 po 1026 ml (900 kcal)</t>
  </si>
  <si>
    <t>Fresenius Kabi AB; Fresenius Kabi Austrija GmBH</t>
  </si>
  <si>
    <t>Švedska; Austrija</t>
  </si>
  <si>
    <t>0171301</t>
  </si>
  <si>
    <t>glukoza, alanin, arginin, asparaginska kiselina, glutaminska kiselina, glicin, histidin, izoleucin, leucin, lizin, metionin, fenilalanin, prolin, serin, treonin, triptofan, tirozin, valin, kalcijum-hlorid, natrijum-glicerofosfat, magnezijum-sulfat, kalijum-hlorid, natrijum-acetat, ulje soje</t>
  </si>
  <si>
    <t>4 po 1540 ml (1400 kcal)</t>
  </si>
  <si>
    <t>0171309</t>
  </si>
  <si>
    <t>3 po 2566 ml (2300 kcal)</t>
  </si>
  <si>
    <t>0171404</t>
  </si>
  <si>
    <t>KABIVEN PERIPHERAL</t>
  </si>
  <si>
    <t>4 po 1440 ml (1000 kcal)</t>
  </si>
  <si>
    <t>0171121</t>
  </si>
  <si>
    <t>alanin, arginin, glicin, histidin, izoleucin, leucin, lizin, metionin, fenilalanin, prolin, serin, treonin, triptofan, tirozin, valin, natrijum-acetat, natrijum-glicerofosfat, kalijum-hlorid, magnezijum-hlorid, glukoza, kalcijum-hlorid, maslinovo i sojino ulje, mešavina</t>
  </si>
  <si>
    <t>OLICLINOMEL N4-550E</t>
  </si>
  <si>
    <t>kesa, 4 po 2000 ml (11,39g/l + 6,33g/l + 5,67g/l + 2,64g/l + 3,3g/l + 4,02g/l + 3,19g/l + 2,2g/l + 3,08g/l + 3,74g/l + 2,75g/l + 2,31g/l + 0,99g/l + 0,22g/l + 3,19g/l + 2,45g/l + 5,36g/l + 2,98g/l + 1,12g/l + 200g/l + 0,74g/l + 100g/l)</t>
  </si>
  <si>
    <t>Baxter S.A.</t>
  </si>
  <si>
    <t>0171123</t>
  </si>
  <si>
    <t>OLICLINOMEL N7-1000E</t>
  </si>
  <si>
    <t>kesa, 6 po 1000 ml (20,7g/l + 11,5g/l + 10,3g/l + 4,8g/l + 6g/l + 7,3g/l + 5,8g/l + 4g/l + 5,6g/l + 6,8g/l + 5g/l + 4,2g/l + 1,8g/l + 0,4g/l + 5,8g/l + 6,12g/l + 5,36g/l + 4,47g/l + 1,12g/l + 400g/l + 0,74g/l + 200g/l)</t>
  </si>
  <si>
    <t>0171124</t>
  </si>
  <si>
    <t>kesa, 4 po 2000 ml (20,7g/l + 11,5g/l + 10,3g/l + 4,8g/l + 6g/l + 7,3g/l + 5,8g/l + 4g/l + 5,6g/l + 6,8g/l + 5g/l + 4,2g/l + 1,8g/l + 0,4g/l + 5,8g/l + 6,12g/l + 5,36g/l + 4,47g/l + 1,12g/l + 400g/l + 0,74g/l + 200g/l)</t>
  </si>
  <si>
    <t>B.Braun Melsungen AG</t>
  </si>
  <si>
    <t>0174205</t>
  </si>
  <si>
    <t>glukoza monohidrat, alanin, arginin, glicin, histidin, izoleucin, leucin, lizin-acetat, metionin, fenilalanin, prolin, serin, taurin, treonin, triptofan, tirozin, valin, kalcijum-hlorid dihidrat, natrijum-glicerofosfat hidrat, magnezijum-sulfat heptahidrat, kalijum-hlorid, natrijum-acetat trihidrat, cink-sulfat heptahidrat, prečišćeno sojino ulje, trigliceridi srednje dužine lanaca, prečišćeno maslinovo ulje, riblje ulje bogato omega-3 kiselinama</t>
  </si>
  <si>
    <t xml:space="preserve">SMOFKABIVEN </t>
  </si>
  <si>
    <t>kesa, 3 po 2463ml (2700kcal) (420g/l + 14g/l + 12g/l + 11g/l + 3g/l + 5g/l + 7,4g/l + 6,6g/l + 4,3g/l + 5,1g/l + 11,2g/l + 6,5g/l + 1g/l + 4,4g/l + 2g/l +0,4g/l + 6,2g/l + 0,56g/l + 4,18g/l + 1,2g/l + 4,48g/l + 3,4g/l + 0,0129g/l + 60g/l + 60g/l + 50g/l + 30g/l)</t>
  </si>
  <si>
    <t>0174201</t>
  </si>
  <si>
    <t>kesa, 4 po 1477ml (1600kcal) (420g/l + 14g/l + 12g/l + 11g/l + 3g/l + 5g/l + 7,4g/l + 6,6g/l + 4,3g/l + 5,1g/l + 11,2g/l + 6,5g/l + 1g/l + 4,4g/l + 2g/l +0,4g/l + 6,2g/l + 0,56g/l + 4,18g/l + 1,2g/l + 4,48g/l + 3,4g/l + 0,0129g/l + 60g/l + 60g/l + 50g/l + 30g/l)</t>
  </si>
  <si>
    <t>Fresenius Kabi AB;Fresenius Kabi Austrija GmBH</t>
  </si>
  <si>
    <t>0171346</t>
  </si>
  <si>
    <t>glukoza, alanin, arginin, glicin, histidin, izoleucin, leucin, lizin, metionin, fenilalanin, prolin, serin, taurin, treonin, triptofan, tirozin, valin, kalcijum-hlorid, natrijum-glicerofosfat, magnezijum-sulfat, kalijum-hlorid, natrijum-acetat, cink-sulfat, prečišćeno sojino ulje, trigliceridi, srednje dužine lanca, prečišćeno maslinovo ulje, riblje ulje bogato omega-3 kiselinama</t>
  </si>
  <si>
    <t>SMOFKABIVEN PERIPHERAL</t>
  </si>
  <si>
    <t>kesa, 4 po 1206ml (800kcal) (130g/L+14g/L+12g/L+11g/L+3g/L+5g/L+7.4g/L+6.6g/L+4.3g/L+5.1g/L+11.2g/L+6.5g/L+1g/L+4.4g/L+2g/L+0.4g/L+6.2g/L+0.56g/L+4.18g/L+1.2g/L+4.48g/L+3.4g/L+0.0129g/L+60g/L+60g/L+50g/L+30g/L)</t>
  </si>
  <si>
    <t>0171345</t>
  </si>
  <si>
    <t>kesa, 4 po 1904mL (1300kcal) (130g/L+14g/L+12g/L+11g/L+3g/L+5g/L+7.4g/L+6.6g/L+4.3g/L+5.1g/L+11.2g/L+6.5g/L+1g/L+4.4g/L+2g/L+0.4g/L+6.2g/L+0.56g/L+4.18g/L+1.2g/L+4.48g/L+3.4g/L+0.0129g/L+60g/L+60g/L+50g/L+30g/L;)</t>
  </si>
  <si>
    <t>0175260</t>
  </si>
  <si>
    <t>B05BB01</t>
  </si>
  <si>
    <t>natrijum hlorid, kalijum hlorid, kalcijum hlorid</t>
  </si>
  <si>
    <t xml:space="preserve">NATRII CHLORIDI INFUNDIBILE COMP. (Ringerov rastv) </t>
  </si>
  <si>
    <t>boca plasticna, 1 po 500 ml (8,6 g/l+0,3 g/l+ 0,33 g/l)</t>
  </si>
  <si>
    <t>0175315</t>
  </si>
  <si>
    <t>natrijum-hlorid, kalijum-hlorid, kalcijum-hlorid</t>
  </si>
  <si>
    <t>RINGEROV RASTVOR B.BRAUN</t>
  </si>
  <si>
    <t>boca plastična, Ecoflac plus, 10 po 500 ml (8.6 g/L+0.3 g/L+0.33 g/L)</t>
  </si>
  <si>
    <t>B.Braun Melsungen AG;</t>
  </si>
  <si>
    <t>0175316</t>
  </si>
  <si>
    <t>boca plastična, Ecoflac plus, 10 po 1000 ml (8.6 g/L+0.3 g/L+0.33 g/L)</t>
  </si>
  <si>
    <t>0175515</t>
  </si>
  <si>
    <t>boca plasticna, 1 po 500 ml  (8,6 g/l+0,3 g/l+ 0,33 g/l)</t>
  </si>
  <si>
    <t>0175331</t>
  </si>
  <si>
    <t>natrijum-hlorid, kalijum-hlorid,
kalcijum-hlorid</t>
  </si>
  <si>
    <t>RINGEROV RASTVOR BAXTER</t>
  </si>
  <si>
    <t>kesa, 1 po 500 ml (8,6 g/l +  0,3 g/l + 0,33 g/l)</t>
  </si>
  <si>
    <t>Bieffe Medital S.A.; Baxter Healthcare Limited; Baxter S.A.</t>
  </si>
  <si>
    <t>Španija; Velika Britanija; Belgija</t>
  </si>
  <si>
    <t>0175338</t>
  </si>
  <si>
    <t>RINGER IMUNA ENVIBAG</t>
  </si>
  <si>
    <t>kesa, 10 po 500ml (8,6g/L + 0,3 g/L + 0,33g/L)</t>
  </si>
  <si>
    <t>0175337</t>
  </si>
  <si>
    <t>RINGER'S SOLUTION FRESENIUS KABI</t>
  </si>
  <si>
    <t>boca plastična, 10 po 500 ml (8.6 g/L+0.3 g/L+0.33 g/L)</t>
  </si>
  <si>
    <t xml:space="preserve">Fresenuius Kabi Polska SP. Z.O.O.;
Fresenuius Kabi Deutschland GmbH;
Fresenius Kabi Italia S.R.L.
</t>
  </si>
  <si>
    <t>Poljska;
Nemačka;
Italija</t>
  </si>
  <si>
    <t>0175185</t>
  </si>
  <si>
    <t>natrijum-hlorid, kalijum-hlorid, kalcijum-hlorid, natrijum-laktat</t>
  </si>
  <si>
    <t>boca, 1 po 500 ml (6,02 g/l + 0,373 g/l + 0,294 g/l + 3,25 g/l)</t>
  </si>
  <si>
    <t>0175420</t>
  </si>
  <si>
    <t>HARTMANOV RASTVOR BAXTER</t>
  </si>
  <si>
    <t>kesa, 1 po 500 ml (6 g/l + 0,4 g/l + 0,27 g/l + 3,2 g/l)</t>
  </si>
  <si>
    <t>Bieffe Medital S.A.; Baxter Healthcare LTD; Baxter S.A.</t>
  </si>
  <si>
    <t>0175320</t>
  </si>
  <si>
    <t>HARTMANOV RASTVOR B.BRAUN</t>
  </si>
  <si>
    <t>boca plastična, Ecoflac plus, 10 po 500 ml (6 g/L+0.4 g/L+0.27g/L+6,24 g/L)</t>
  </si>
  <si>
    <t>0175321</t>
  </si>
  <si>
    <t>boca plastična, Ecoflac plus, 10 po 1000 ml (6 g/L+0.4 g/L+0.27g/L+6,24 g/L)</t>
  </si>
  <si>
    <t>0175586</t>
  </si>
  <si>
    <t>HARTMANN'S SOLUTION FRESENIUS KABI</t>
  </si>
  <si>
    <t>boca plastična, 10 po 500 ml (6 g/L+0.4 g/L+0.27g/L+6,34 g/L)</t>
  </si>
  <si>
    <t>Fresenuius Kabi Polska SP. Z.O.O.;
Fresenuius Kabi Deutschland GmbH;
Fresenius Kabi Italia S.R.L.</t>
  </si>
  <si>
    <t>0175020</t>
  </si>
  <si>
    <t>HARTMANOV RASTVOR/VIOSER</t>
  </si>
  <si>
    <t>boca plastična, 10 po 500 mL (6 g/L+0.3 g/L+0.2g/L+3.1g/L)</t>
  </si>
  <si>
    <t>0175322</t>
  </si>
  <si>
    <t>natrijum-hlorid</t>
  </si>
  <si>
    <t>NATRIJUM HLORID 0.9% B.Braun</t>
  </si>
  <si>
    <t>boca plastična, Ecoflac plus, 20 po 50ml (9g/L)</t>
  </si>
  <si>
    <t>0175312</t>
  </si>
  <si>
    <t>natrijum hlorid</t>
  </si>
  <si>
    <t>NATRIJUM  HLORID 0.9% B.BRAUN</t>
  </si>
  <si>
    <t>boca plastična, Ecoflac plus, 20 po 100 ml (9g/l)</t>
  </si>
  <si>
    <t>B. Braun Melsungen AG; B. Braun Pharmaceuticals S.A.; B. Braun Medical SA</t>
  </si>
  <si>
    <t>Nemačka; Rumunija; Španija</t>
  </si>
  <si>
    <t>0175585</t>
  </si>
  <si>
    <t>boca plastična, Ecoflac plus, 10 po 250mL (9g/L)</t>
  </si>
  <si>
    <t>0175310</t>
  </si>
  <si>
    <t>boca plastična, Ecoflac plus, 10 po 500mL (9g/L)</t>
  </si>
  <si>
    <t>B.Braun Melsungen AG; B.Braun Medical SA;</t>
  </si>
  <si>
    <t>0175311</t>
  </si>
  <si>
    <t>boca plastična, Ecoflac plus, 10 po 1000mL (9g/L)</t>
  </si>
  <si>
    <t>B.Braun Avitum AG Werk Glandorf; B.Braun Melsungen AG; B.Braun Medical SA</t>
  </si>
  <si>
    <t>Nemačka; Nemačka; Španija</t>
  </si>
  <si>
    <t>0175001</t>
  </si>
  <si>
    <t>NATRIJUM HLORID 0.9% IMUNA ENVIBAG</t>
  </si>
  <si>
    <t>kesa, 40 po 100 ml (9g/l)</t>
  </si>
  <si>
    <t>0175003</t>
  </si>
  <si>
    <t>kesa, 18 po 250 ml (9g/l)</t>
  </si>
  <si>
    <t>0175005</t>
  </si>
  <si>
    <t>kesa, 10 po 500 ml (9g/l)</t>
  </si>
  <si>
    <t>0175007</t>
  </si>
  <si>
    <t>kesa, 10 po 1000 ml (9g/l)</t>
  </si>
  <si>
    <t>0400430</t>
  </si>
  <si>
    <t>B05BC01</t>
  </si>
  <si>
    <t>manitol</t>
  </si>
  <si>
    <t>MANITOL HF 20%</t>
  </si>
  <si>
    <t>boca staklena, 1 po 250 ml 20%</t>
  </si>
  <si>
    <t>0400431</t>
  </si>
  <si>
    <t>MANITOL HF 10%</t>
  </si>
  <si>
    <t>boca staklena, 1 po 500 ml 10%</t>
  </si>
  <si>
    <t>0400505</t>
  </si>
  <si>
    <t xml:space="preserve">MANITOL 20 IMUNA ENVIBAG </t>
  </si>
  <si>
    <t>kesa, 40 po 100 ml (20%)</t>
  </si>
  <si>
    <t>0400504</t>
  </si>
  <si>
    <t>kesa, 18 po 250 ml (20%)</t>
  </si>
  <si>
    <t>0400503</t>
  </si>
  <si>
    <t>kesa, 10 po 500 ml (20%)</t>
  </si>
  <si>
    <t>0400425</t>
  </si>
  <si>
    <t xml:space="preserve">MANITOL 10 IMUNA ENVIBAG </t>
  </si>
  <si>
    <t>0400424</t>
  </si>
  <si>
    <t>0400423</t>
  </si>
  <si>
    <t>9175213</t>
  </si>
  <si>
    <t>B05CX10</t>
  </si>
  <si>
    <t>manitol, sorbitol</t>
  </si>
  <si>
    <t>ISPIROL</t>
  </si>
  <si>
    <t>rastvor za ispiranje bešike</t>
  </si>
  <si>
    <t>kesa, 5 l (5,4 g/l + 27 g/l)</t>
  </si>
  <si>
    <t>B05DB..</t>
  </si>
  <si>
    <t>glukoza, natrijum-hlorid, natrijum-laktat, kalcijum-hlorid, magnezijum-hlorid</t>
  </si>
  <si>
    <t>DIANEAL PD4</t>
  </si>
  <si>
    <t>rastvor za peritonealnu dijalizu</t>
  </si>
  <si>
    <t>Baxter Healthcare S.A.</t>
  </si>
  <si>
    <t>9175732</t>
  </si>
  <si>
    <t>9175735</t>
  </si>
  <si>
    <t>9175738</t>
  </si>
  <si>
    <t>9175741</t>
  </si>
  <si>
    <t>B05DA..</t>
  </si>
  <si>
    <t>ikodekstrin, natrijum-hlorid, natrijum-laktat, kalcijum-hlorid, magnezijum-hlorid</t>
  </si>
  <si>
    <t>EXTRANEAL</t>
  </si>
  <si>
    <t xml:space="preserve"> Baxter Healthcare S.A.</t>
  </si>
  <si>
    <t xml:space="preserve"> Irska</t>
  </si>
  <si>
    <t>9175739</t>
  </si>
  <si>
    <t>B05DB.</t>
  </si>
  <si>
    <t>tirozin, triptofan, fenilalanin, treonin, serin, prolin, glicin, alanin, valin, metionin, izoleucin, leucin, lizin, histidin, arginin, kalcijum-hlorid, magnezijum-hlorid, natrijum-laktat, natrijum-hlorid</t>
  </si>
  <si>
    <t>NUTRINEAL PD4</t>
  </si>
  <si>
    <t>9175716</t>
  </si>
  <si>
    <t>natrijum-hlorid, natrijum-laktat, kalcijum-hlorid, magnezijum-hlorid, glukoza</t>
  </si>
  <si>
    <t>BALANCE 1.5% glukoze,1.25 mmol/l kalcijuma</t>
  </si>
  <si>
    <t>kesa, 4 po 2000 ml (5.64g/l + 3.925g/l + 0.1838g/l + 0.1017g/l + 15g/l)</t>
  </si>
  <si>
    <t>Fresenius Medical Care Deutschland GmbH</t>
  </si>
  <si>
    <t>9175717</t>
  </si>
  <si>
    <t>BALANCE 2.3% glukoze,1.25 mmol/l kalcijuma</t>
  </si>
  <si>
    <t>kesa, 4 po 2000 ml (5.64g/l + 3.925g/l + 0.1838g/l + 0.1017g/l + 22.73g/l)</t>
  </si>
  <si>
    <t>9175718</t>
  </si>
  <si>
    <t>BALANCE 4.25% glukoze,1.25 mmol/l kalcijuma</t>
  </si>
  <si>
    <t>kesa, 4 po 2000 ml (5.64g/l + 3.925g/l + 0.1838g/l + 0.1017g/l + 42,5 g/l)</t>
  </si>
  <si>
    <t>9175701</t>
  </si>
  <si>
    <t>BALANCE 2.3% glukoze, 1.25 mmol/l kalcijuma</t>
  </si>
  <si>
    <t xml:space="preserve">rastvor za peritonealnu dijalizu </t>
  </si>
  <si>
    <t>kesa, 4 po 2500 ml (5.64g/L+3.925g/L+0.1838g/L+0.1017g/L+22.73g/L)</t>
  </si>
  <si>
    <t>Fresenius Medical Care Deutschiland GmBh</t>
  </si>
  <si>
    <t>9175700</t>
  </si>
  <si>
    <t>BALANCE 1.5% glukoze, 1.25 mmol/l kalcijuma</t>
  </si>
  <si>
    <t xml:space="preserve">kesa, 4 po 2500 ml (5.64g/L+3.925g/L+0.1838g/L+0.1017g/L+15g/L) </t>
  </si>
  <si>
    <t>9175704</t>
  </si>
  <si>
    <t>kesa, 2 po 5000 ml (5,64g/L+3,925g/L+0,1838g/L+0,1017g/L+22,73g/L)</t>
  </si>
  <si>
    <t>9175703</t>
  </si>
  <si>
    <t>9175760</t>
  </si>
  <si>
    <t>glukoza, natrijum-hlorid, kalcijum-hlorid, magnezijum-hlorid, natrijum-hidrogenkarbonat, natrijum-laktat</t>
  </si>
  <si>
    <t>PHYSIONEAL 40 glukoza 1,36% m/v /13,6 mg/ml</t>
  </si>
  <si>
    <t>dvostruka plastična kesa, 1 po 2000 ml (13,6g/l+5,38g/l+0,184g/l+0,051g/l+2,1g/l+1,68g/l)</t>
  </si>
  <si>
    <t>9175762</t>
  </si>
  <si>
    <t>jednostruka plastična kesa, 1 po 2500 ml (13,6g/l+5,38g/l+0,184g/l+0,051g/l+2,1g/l+1,68g/l)</t>
  </si>
  <si>
    <t>9175761</t>
  </si>
  <si>
    <t>dvostruka plastična kesa, 1 po 2500 ml (13,6g/l+5,38g/l+0,184g/l+0,051g/l+2,1g/l+1,68g/l)</t>
  </si>
  <si>
    <t>9175765</t>
  </si>
  <si>
    <t>PHYSIONEAL 40 glukoza 2,27% m/v /22,7 mg/ml</t>
  </si>
  <si>
    <t>jednostruka plastična kesa, 1 po 2500 ml (22,7g/l+5,38g/l+0,184g/l+0,051g/l+2,1g/l+1,68g/l)</t>
  </si>
  <si>
    <t>9175763</t>
  </si>
  <si>
    <t>dvostruka plastična kesa, 1 po 2000 ml (22,7g/l+5,38g/l+0,184g/l+0,051g/l+2,1g/l+1,68g/l)</t>
  </si>
  <si>
    <t>9175764</t>
  </si>
  <si>
    <t>dvostruka plastična kesa, 1 po 2500 ml (22,7g/l+5,38g/l+0,184g/l+0,051g/l+2,1g/l+1,68g/l)</t>
  </si>
  <si>
    <t>9175766</t>
  </si>
  <si>
    <t>PHYSIONEAL 40 glukoza 3,86% m/v /38,6 mg/ml</t>
  </si>
  <si>
    <t>dvostruka plastična kesa, 1 po 2000 ml (38,6g/l+5,38g/l+0,184g/l+0,051g/l+2,1g/l+1,68g/l)</t>
  </si>
  <si>
    <t>0175150</t>
  </si>
  <si>
    <t>B05XA01</t>
  </si>
  <si>
    <t>kalijum hlorid</t>
  </si>
  <si>
    <t>KALIUM CHLORID FRESENIUS</t>
  </si>
  <si>
    <t>koncentrat za rastvor za infuziju</t>
  </si>
  <si>
    <t>20 po 20 ml (1 mmol/ml)</t>
  </si>
  <si>
    <t>Fresenius Kabi Norge AS</t>
  </si>
  <si>
    <t>Norveška</t>
  </si>
  <si>
    <t>0175333</t>
  </si>
  <si>
    <t>kalijum-hlorid</t>
  </si>
  <si>
    <t>KALIJUM HLORID 7,45% B.BRAUN</t>
  </si>
  <si>
    <t>ampula Mini-plasco Connect, 20 po 20 ml</t>
  </si>
  <si>
    <t>B.Braun Melsungen</t>
  </si>
  <si>
    <t>0175335</t>
  </si>
  <si>
    <t>boca staklena, 20 po 100 ml</t>
  </si>
  <si>
    <t>0133110</t>
  </si>
  <si>
    <t>B05XA02</t>
  </si>
  <si>
    <t>natrijum hidrogenkarbonat</t>
  </si>
  <si>
    <t>NATRIUMBICARBONAT "FRESENIUS" 8,4%</t>
  </si>
  <si>
    <t>boca staklena, 10 po 100 ml  (8,4%)</t>
  </si>
  <si>
    <t>0175240</t>
  </si>
  <si>
    <t>B05XA03</t>
  </si>
  <si>
    <t xml:space="preserve">NATRII CHLORIDI INFUNDIBILE </t>
  </si>
  <si>
    <t xml:space="preserve"> boca plastična, 1 po 500 ml 0,9%</t>
  </si>
  <si>
    <t>0170350</t>
  </si>
  <si>
    <t>NATRII CHLORIDI INFUNDIBILE 0,9%</t>
  </si>
  <si>
    <t>kesa, 1 po 100 ml (9 g/l)</t>
  </si>
  <si>
    <t>Bieffe Medital S.A.; Bieffe Medital SPA; Baxter Healthcare Limited; Baxter S.A.; Baxter Healthcare S.A.</t>
  </si>
  <si>
    <t>Španija; Italija; Velika Britanija; Belgija; Irska</t>
  </si>
  <si>
    <t>0175351</t>
  </si>
  <si>
    <t>kesa, 1 po 250 ml (9 g/l)</t>
  </si>
  <si>
    <t>0175352</t>
  </si>
  <si>
    <t>kesa, 1 po 500 ml (9 g/l)</t>
  </si>
  <si>
    <t>0175592</t>
  </si>
  <si>
    <t>NATRIJUM-HLORID KABI</t>
  </si>
  <si>
    <t>boca plastična, 10 po 500 ml (9g/L)</t>
  </si>
  <si>
    <t>Fresenius Kabi Polska SP. Z O.O.; Fresenius Kabi Italia S.R.L.; Fresenius Kabi Espana SA; Fresenius Kabi Deutschland GmbH</t>
  </si>
  <si>
    <t>Poljska; Italija; Španija; Nemačka</t>
  </si>
  <si>
    <t>0175593</t>
  </si>
  <si>
    <t>boca plastična, 20 po 250 ml (9g/L)</t>
  </si>
  <si>
    <t>0175594</t>
  </si>
  <si>
    <t>boca plastična, 40 po 100 ml (9g/L)</t>
  </si>
  <si>
    <t>0175591</t>
  </si>
  <si>
    <t>kesa, 20 po 500 ml (9g/L)</t>
  </si>
  <si>
    <t xml:space="preserve"> Fresenius Kabi Deutschland GmbH; Fresenius Kabi Norge AS; Fresenius Kabi France - Louviers</t>
  </si>
  <si>
    <t>Nemačka, Norveška; Francuska</t>
  </si>
  <si>
    <t>0175590</t>
  </si>
  <si>
    <t>kesa, 30 po 250 ml (9g/L)</t>
  </si>
  <si>
    <t>0175584</t>
  </si>
  <si>
    <t>kesa, 10 po 1000 ml (9g/L)</t>
  </si>
  <si>
    <t>0175102</t>
  </si>
  <si>
    <t>SODIUM CHLORIDE/VIOSER 0.9%</t>
  </si>
  <si>
    <t>boca plastična, 10 po 500mL (9g/L)</t>
  </si>
  <si>
    <t>0175101</t>
  </si>
  <si>
    <t>boca plastična, 10 po 250mL (9g/L)</t>
  </si>
  <si>
    <t>0175100</t>
  </si>
  <si>
    <t>boca plastična, 10 po 100mL (9g/L)</t>
  </si>
  <si>
    <t>0175103</t>
  </si>
  <si>
    <t>boca plastična, 10 po 1000mL (9g/L)</t>
  </si>
  <si>
    <t>0174050</t>
  </si>
  <si>
    <t>B05XB02</t>
  </si>
  <si>
    <t>alanil- glutamin</t>
  </si>
  <si>
    <t>DIPEPTIVEN</t>
  </si>
  <si>
    <t>boca, 10 po 100 ml (20 g/100 ml)</t>
  </si>
  <si>
    <t>Fresenius Kabi Austria GMBH</t>
  </si>
  <si>
    <t>0052720</t>
  </si>
  <si>
    <t>B05XC..</t>
  </si>
  <si>
    <t>tiamin, riboflavin, nikotinamid, piridoksin, pantotenska kiselina, askorbinska kiselina, biotin, folna kiselina, cijanokobalamin</t>
  </si>
  <si>
    <t>SOLUVIT N</t>
  </si>
  <si>
    <t>0050150</t>
  </si>
  <si>
    <t>retinol, fitomenadion, ergokalciferol, tokoferol</t>
  </si>
  <si>
    <t>VITALIPID N INFANT</t>
  </si>
  <si>
    <t>koncentrat za emulziju za infuziju</t>
  </si>
  <si>
    <t>ampula, 10 po 10 ml (135,3 mcg/ml + 20 mcg/ml + 1 mcg/ml + 0,64 mg/ml)</t>
  </si>
  <si>
    <t>Deficit liposolubilnih vitamina  A, D2, E, K1 uzrokovan različitim oboljenjima koji u osnovi imaju malapsorpciju ili malnutriciju (K90). Lek se primenjuje samo kod dece do 11 godina starosti.</t>
  </si>
  <si>
    <t>0050151</t>
  </si>
  <si>
    <t>VITALIPID N ADULT</t>
  </si>
  <si>
    <t>ampula, 10 po 10 ml (194,1 mcg/ml + 15 mcg/ml + 0,5 mcg/ml + 0,91 mg/ml)</t>
  </si>
  <si>
    <t>Deficit liposolubilnih vitamina  A, D2, E, K1 uzrokovan različitim oboljenjima koji u osnovi imaju malapsorpciju ili malnutriciju (K90).</t>
  </si>
  <si>
    <t>0100255</t>
  </si>
  <si>
    <t>C01AA05</t>
  </si>
  <si>
    <t>digoksin</t>
  </si>
  <si>
    <t>DIGOXIN SOPHARMA</t>
  </si>
  <si>
    <t>ampula, 10 po 2 ml (0,25mg/ml)</t>
  </si>
  <si>
    <t>0101355</t>
  </si>
  <si>
    <t>C01BD01</t>
  </si>
  <si>
    <t>amjodaron</t>
  </si>
  <si>
    <t>CORDARONE</t>
  </si>
  <si>
    <t>ampula, 6 po 3 ml (150 mg/3 ml)</t>
  </si>
  <si>
    <t>0105001</t>
  </si>
  <si>
    <t>C01CA03</t>
  </si>
  <si>
    <t>norepinefrin</t>
  </si>
  <si>
    <t>NORADRENALIN MEDIKUNION</t>
  </si>
  <si>
    <t>ampula, 100 po 10ml (1mg/ml)</t>
  </si>
  <si>
    <t>6 mg</t>
  </si>
  <si>
    <t>0105002</t>
  </si>
  <si>
    <t>NORADRENALIN SINTETICA (BEZ DISULFITA)</t>
  </si>
  <si>
    <t>ampula, 10 po 1ml (1mg/ml)</t>
  </si>
  <si>
    <t>Sintetica SA</t>
  </si>
  <si>
    <t>0105003</t>
  </si>
  <si>
    <t>ampula, 10 po 4ml (4mg/4ml)</t>
  </si>
  <si>
    <t>ampula, 5 po 5 ml (50 mg/5 ml)</t>
  </si>
  <si>
    <t>Haupt Pharma Wulfing GmbH, Nemačka za Admeda Arzneimittel GmbH</t>
  </si>
  <si>
    <t>0,5 g</t>
  </si>
  <si>
    <t>0086001</t>
  </si>
  <si>
    <t>C01CA06</t>
  </si>
  <si>
    <t>fenilefrin</t>
  </si>
  <si>
    <t>BIORPHEN</t>
  </si>
  <si>
    <t>ampula, 10 po 5 mL (0.5mg/5mL)</t>
  </si>
  <si>
    <t>4 mg</t>
  </si>
  <si>
    <t>0086002</t>
  </si>
  <si>
    <t>ampula, 10 po 1 mL (10mg/mL)</t>
  </si>
  <si>
    <t>0105401</t>
  </si>
  <si>
    <t>C01CA07</t>
  </si>
  <si>
    <t>dobutamin</t>
  </si>
  <si>
    <t>DOBUTAMIN ADMEDA 250</t>
  </si>
  <si>
    <t>ampula, 1 po 50 ml (250 mg/50 ml)</t>
  </si>
  <si>
    <t>0105000</t>
  </si>
  <si>
    <t>DOBUTAMINE PANPHARMA</t>
  </si>
  <si>
    <t>bočica staklena, 10 po 20 ml (250mg/20ml)</t>
  </si>
  <si>
    <t>Panpharma GmBH</t>
  </si>
  <si>
    <t>0.5 g</t>
  </si>
  <si>
    <t>0102180</t>
  </si>
  <si>
    <t>C01DA02</t>
  </si>
  <si>
    <t>ampula, 50 po 1,6 ml (5 mg/1,6 ml)</t>
  </si>
  <si>
    <t>gliceriltrinitrat</t>
  </si>
  <si>
    <t>0103290</t>
  </si>
  <si>
    <t>C02CA06</t>
  </si>
  <si>
    <t>urapidil</t>
  </si>
  <si>
    <t>EBRANTIL 25</t>
  </si>
  <si>
    <t xml:space="preserve"> ampula, 5 po 25 mg/5 ml</t>
  </si>
  <si>
    <t>Takeda  GmbH;
Takeda Austria GmbH</t>
  </si>
  <si>
    <t>Nemačka;
Austrija</t>
  </si>
  <si>
    <t>0103291</t>
  </si>
  <si>
    <t>EBRANTIL 50</t>
  </si>
  <si>
    <t xml:space="preserve"> ampula, 5 po 50 mg/10 ml</t>
  </si>
  <si>
    <t>0103293</t>
  </si>
  <si>
    <t>URAPIDIL CARINOPHARM 25 mg</t>
  </si>
  <si>
    <t>ampula, 5 po 5 ml (25mg/5ml)</t>
  </si>
  <si>
    <t>Haupt Pharma Wulfing GmbH</t>
  </si>
  <si>
    <t>0103294</t>
  </si>
  <si>
    <t>URAPIDIL CARINOPHARM 50 mg</t>
  </si>
  <si>
    <t>ampula, 5 po 10 ml (50mg/10ml)</t>
  </si>
  <si>
    <t>0400411</t>
  </si>
  <si>
    <t>C03CA01</t>
  </si>
  <si>
    <t>furosemid</t>
  </si>
  <si>
    <t>FUROSEMID SOPHARMA</t>
  </si>
  <si>
    <t>ampula, 10 po 2 ml (10 mg/ml)</t>
  </si>
  <si>
    <t>0400142</t>
  </si>
  <si>
    <t>LASIX</t>
  </si>
  <si>
    <t>ampula, 6 po 2ml (20mg/2ml)</t>
  </si>
  <si>
    <t>Sanofi-Aventis Deutschland GmbH;
Delpharm Dijon</t>
  </si>
  <si>
    <t>Nemačka;
Francuska</t>
  </si>
  <si>
    <t>0400400</t>
  </si>
  <si>
    <t>ENTIX</t>
  </si>
  <si>
    <t>ampula, 50 po 2 mL (20mg/2mL)</t>
  </si>
  <si>
    <t>Laboratorios Basi-Industria Farmaceutica, S.A.</t>
  </si>
  <si>
    <t>0400404</t>
  </si>
  <si>
    <t>FUROSEMID ACCORD</t>
  </si>
  <si>
    <t>ampula, 10 po 2 mL (10mg/mL)</t>
  </si>
  <si>
    <t>Accord Healthcare Limited; Accord Healthcare Polska SP. Z.O.O.</t>
  </si>
  <si>
    <t>Velika Britanija; Poljska</t>
  </si>
  <si>
    <t>0107497</t>
  </si>
  <si>
    <t>C07AB02</t>
  </si>
  <si>
    <t>metoprolol</t>
  </si>
  <si>
    <t xml:space="preserve">PRESOLOL  </t>
  </si>
  <si>
    <t>ampula, 5 po 5 ml (5 mg/5 ml)</t>
  </si>
  <si>
    <t>0,15 g</t>
  </si>
  <si>
    <t>0107501</t>
  </si>
  <si>
    <t>PROMEROL</t>
  </si>
  <si>
    <t>ampula, 10 po 5 ml (1mg/ml)</t>
  </si>
  <si>
    <t>0107500</t>
  </si>
  <si>
    <t>ampula, 50 po 5 ml (1mg/ml)</t>
  </si>
  <si>
    <t>0402102</t>
  </si>
  <si>
    <t>NIMOTOP S</t>
  </si>
  <si>
    <t>bočica, 1 po 50 ml (10mg/50 ml)</t>
  </si>
  <si>
    <t>Bayer Pharma AG</t>
  </si>
  <si>
    <t xml:space="preserve"> 50 mg</t>
  </si>
  <si>
    <t>STAC;  Samo za lečenje bolesnika sa subarahnoidalnim krvarenjem.</t>
  </si>
  <si>
    <t>0402666</t>
  </si>
  <si>
    <t>C08CA06</t>
  </si>
  <si>
    <t>nimodipin</t>
  </si>
  <si>
    <t>NIMODIPIN CARINOPHARM</t>
  </si>
  <si>
    <t>bočica staklena, 10 po 50 ml (10mg/50ml)</t>
  </si>
  <si>
    <t>Solupharm Pharmazeutische Erzeugnisse GmbH</t>
  </si>
  <si>
    <t>0402730</t>
  </si>
  <si>
    <t>C08DA01</t>
  </si>
  <si>
    <t>verapamil</t>
  </si>
  <si>
    <t>ISOCOR</t>
  </si>
  <si>
    <t>ampula, 10 po 2 ml (2,5mg/ml)</t>
  </si>
  <si>
    <t>0,24 g</t>
  </si>
  <si>
    <t>1103462</t>
  </si>
  <si>
    <t>C09AA15</t>
  </si>
  <si>
    <t>zofenopril</t>
  </si>
  <si>
    <t>ZOFECARD</t>
  </si>
  <si>
    <t>blister, 28 po 7,5 mg</t>
  </si>
  <si>
    <t xml:space="preserve"> A. Menarini Manufacturing Logistics and Services  S.R.L.; Menarini - Von Heyden GmbH</t>
  </si>
  <si>
    <t xml:space="preserve">
1. Esencijalna hipertenzija: Lek je indikovan u terapiji blage do umerene esencijalne hipertenzije.
2. Akutni infarkt miokarda: Lek je indikovan u terapiji koja je započeta u prvih 24 sata kod pacijenata sa akutnim infarktom miokarda, sa ili bez znakova i simptoma srčane insuficijencije, koji su hemodinamski stabilni i ne primaju trombolitičku terapiju.</t>
  </si>
  <si>
    <t>D08AG02</t>
  </si>
  <si>
    <t>povidon jod</t>
  </si>
  <si>
    <t>POVIDON JOD HF</t>
  </si>
  <si>
    <t>rastvor za kožu</t>
  </si>
  <si>
    <t>boca plastična, 1 po 500 ml (10%)</t>
  </si>
  <si>
    <t>4156475</t>
  </si>
  <si>
    <t>povidon</t>
  </si>
  <si>
    <t>JODOKOMP BR</t>
  </si>
  <si>
    <t>Zorex Pharma d.o.o.</t>
  </si>
  <si>
    <t>4156474</t>
  </si>
  <si>
    <t>JODOKOMP</t>
  </si>
  <si>
    <t>4156472</t>
  </si>
  <si>
    <t>pena za kožu</t>
  </si>
  <si>
    <t>boca plastična, 1 po 100 ml (7,5%)</t>
  </si>
  <si>
    <t>4156471</t>
  </si>
  <si>
    <t>boca plastična, 1 po 500 ml (7,5%)</t>
  </si>
  <si>
    <t>0141132</t>
  </si>
  <si>
    <t>G02AB01</t>
  </si>
  <si>
    <t>metilergometrin</t>
  </si>
  <si>
    <t xml:space="preserve">METHYLERGOMETRIN </t>
  </si>
  <si>
    <t>injekcija</t>
  </si>
  <si>
    <t xml:space="preserve"> 50 po 0,1 mg/1 ml</t>
  </si>
  <si>
    <t>0,2 mg</t>
  </si>
  <si>
    <t>0141135</t>
  </si>
  <si>
    <t>4143125</t>
  </si>
  <si>
    <t>G02AD02</t>
  </si>
  <si>
    <t>dinoproston</t>
  </si>
  <si>
    <t xml:space="preserve">PREPIDIL </t>
  </si>
  <si>
    <t>endocervikalni gel</t>
  </si>
  <si>
    <t>napunjeni injekcioni špric, 1 po 3 g 
(0,5 mg/3g)</t>
  </si>
  <si>
    <t>0,5 mg</t>
  </si>
  <si>
    <t>6143120</t>
  </si>
  <si>
    <t>PROSTIN E2</t>
  </si>
  <si>
    <t>vaginalna tableta</t>
  </si>
  <si>
    <t>strip,1 po 4 kom (3mg)</t>
  </si>
  <si>
    <t>Sanico N.V.</t>
  </si>
  <si>
    <t>0143043</t>
  </si>
  <si>
    <t>G02AD04</t>
  </si>
  <si>
    <t xml:space="preserve">karboprost </t>
  </si>
  <si>
    <t xml:space="preserve">PROSTIN 15M </t>
  </si>
  <si>
    <t>ampula, 1 po 1ml (250mcg/mL)</t>
  </si>
  <si>
    <t>2,5 mg</t>
  </si>
  <si>
    <t>0048619</t>
  </si>
  <si>
    <t>G03BA03</t>
  </si>
  <si>
    <t xml:space="preserve">testosteron </t>
  </si>
  <si>
    <t>TESTOSTERON  DEPO</t>
  </si>
  <si>
    <t xml:space="preserve"> ampula, 5 po 1 ml (250 mg/ml)</t>
  </si>
  <si>
    <t>18 mg</t>
  </si>
  <si>
    <t>10 mg</t>
  </si>
  <si>
    <t>4137040</t>
  </si>
  <si>
    <t>G03DA04</t>
  </si>
  <si>
    <t>progesteron</t>
  </si>
  <si>
    <t>CRINONE</t>
  </si>
  <si>
    <t>vaginalni gel</t>
  </si>
  <si>
    <t>8%, aplikator, 15 po 1,125 g</t>
  </si>
  <si>
    <t>Central Pharma (Contract Packing) LTD</t>
  </si>
  <si>
    <t>Velika Britanija</t>
  </si>
  <si>
    <t>90 mg</t>
  </si>
  <si>
    <t xml:space="preserve">1. Za lečenje neplodnosti nastale usled neadekvatne lutealne faze (N97),
2. U toku invitro oplodnje (N97).   </t>
  </si>
  <si>
    <t>0048774</t>
  </si>
  <si>
    <t>PROLUTEX</t>
  </si>
  <si>
    <t>bočica staklena, 7 po 25mg</t>
  </si>
  <si>
    <t>IBSA Institut Biochimique S.A.</t>
  </si>
  <si>
    <t>5 mg</t>
  </si>
  <si>
    <t>0044086</t>
  </si>
  <si>
    <t>G03GA02</t>
  </si>
  <si>
    <t>menotrofin</t>
  </si>
  <si>
    <t>MENOPUR</t>
  </si>
  <si>
    <t>10 bočica po (75 i.j.) sa 10 amp. po 1ml rastvarača</t>
  </si>
  <si>
    <t>Ferring GmbH</t>
  </si>
  <si>
    <t>75 i.j.</t>
  </si>
  <si>
    <t xml:space="preserve">1. Sekundarni hipogonadotropizam (hipotalamusno i/ili pituitarno oštećenje). 2. Lečenje neplodnosti žene u postupku BMPO (N97).   </t>
  </si>
  <si>
    <t>Za indikaciju pod tačkom 1. lek se uvodi u terapiju na osnovu mišljenja endokrinologa zdravstvene ustanove koja obavlja zdravstvenu delatnost na tercijarnom nivou. Za indikaciju pod tačkom 2.  lek se uvodi u terapiju na osnovu mišljenja ginekologa zdravstvene ustanove koja obavlja zdravstvenu delatnost na sekundarnom ili tercijarnom nivou.</t>
  </si>
  <si>
    <t>0044087</t>
  </si>
  <si>
    <t>prašak i rastvarač  za rastvor za injekciju</t>
  </si>
  <si>
    <t>bočica sa praškom i napunjeni injekcioni špric sa rastvaračem, 1 po 1ml (600i.j)</t>
  </si>
  <si>
    <t xml:space="preserve">
1. Sekundarni hipogonadotropizam (hipotalamusno i/ili pituitarno oštećenje).
 2. Lečenje neplodnosti žene u postupku BMPO (N97).</t>
  </si>
  <si>
    <t>0044090</t>
  </si>
  <si>
    <t>MERIOFERT</t>
  </si>
  <si>
    <t>bočica (75 i.j.) sa praškom i ampula sa rastvaračem, 1 po 1ml</t>
  </si>
  <si>
    <t>IBSA Institut Biochemique S.A.</t>
  </si>
  <si>
    <t xml:space="preserve">1. Sekundarni hipogonadotropizam (hipotalamusno i/ili pituitarno oštećenje). 
2. Lečenje neplodnosti žene u postupku BMPO (N97).   </t>
  </si>
  <si>
    <t>0044412</t>
  </si>
  <si>
    <t>G03GA04</t>
  </si>
  <si>
    <t>urofolitropin</t>
  </si>
  <si>
    <t>FOSTIMON</t>
  </si>
  <si>
    <t>liobočica sa rastvaračem u ampuli, 1 po 1 ml (75 i.j./ml)</t>
  </si>
  <si>
    <t>G03GA05</t>
  </si>
  <si>
    <t>Merck Serono S.P.A.; Merck Serono SA</t>
  </si>
  <si>
    <t>Italija; Švajcarska</t>
  </si>
  <si>
    <t xml:space="preserve">1. Sekundarni hipogonadotropizam (hipotalamusno i/ili pituitarno oštećenje);
2. Infertilitet u žena udružen sa hroničnom anovulacijom u sindromu policističnih ovarijuma kod žena koje su rezistentne na prethodnu primenu metformina i klomifen citrata. 3. Lečenje neplodnosti žene u postupku BMPO (N97). </t>
  </si>
  <si>
    <t>Za indikaciju pod tačkom 1. lek se uvodi u terapiju na osnovu mišljenja endokrinologa zdravstvene ustanove koja obavlja zdravstvenu delatnost na tercijarnom nivou. Za indikaciju pod tačkom 2. lek se uvodi u terapiju na osnovu mišljenja ginekologa ili endokrinologa zdravstvene ustanove koja obavlja zdravstvenu delatnost na sekundarnom ili tercijarnom nivou.
Za indikaciju pod tačkom 3. lek se uvodi u terapiju na osnovu mišljenja ginekologa zdravstvene ustanove koja obavlja zdravstvenu delatnost na sekundarnom ili tercijarnom nivou.</t>
  </si>
  <si>
    <t>0044251</t>
  </si>
  <si>
    <t>folitropin alfa</t>
  </si>
  <si>
    <t>GONAL-F 300</t>
  </si>
  <si>
    <t>rastvor za injekciju u penu sa uloškom</t>
  </si>
  <si>
    <t>0044252</t>
  </si>
  <si>
    <t>GONAL-F 450</t>
  </si>
  <si>
    <t>0044253</t>
  </si>
  <si>
    <t>GONAL-F 900</t>
  </si>
  <si>
    <t>0044001</t>
  </si>
  <si>
    <t>BEMFOLA</t>
  </si>
  <si>
    <t>pen sa uloškom, 1 po 0.25 ml (150i.j./0.25 ml)</t>
  </si>
  <si>
    <t xml:space="preserve"> Gedeon Richter PLC</t>
  </si>
  <si>
    <t xml:space="preserve"> Mađarska</t>
  </si>
  <si>
    <t xml:space="preserve">75 i.j. </t>
  </si>
  <si>
    <t>0044002</t>
  </si>
  <si>
    <t>pen sa uloškom, 1 po 0.375 ml (225i.j./0.375 ml)</t>
  </si>
  <si>
    <t>0044000</t>
  </si>
  <si>
    <t>pen sa uloškom, 1 po 0,125 ml (75 i.j./0.125 ml)</t>
  </si>
  <si>
    <t>0044230</t>
  </si>
  <si>
    <t>G03GA06</t>
  </si>
  <si>
    <t>folitropin beta</t>
  </si>
  <si>
    <t>PUREGON</t>
  </si>
  <si>
    <t>rastvor za injekciju u ulošku</t>
  </si>
  <si>
    <t>uložak, 1 po 0,36 ml (300 i.j/0,36ml)</t>
  </si>
  <si>
    <t>Organon Ireland Limited</t>
  </si>
  <si>
    <t xml:space="preserve">1. Sekundarni hipogonadotropizam (hipotalamusno i/ili pituitarno oštećenje);
2. Infertilitet u žena udružen sa hroničnom anovulacijom u sindromu policističnih ovarijuma kod žena koje su rezistentne na prethodnu primenu metformina i klomifen citrata.  3. Lečenje neplodnosti žene u postupku BMPO (N97). </t>
  </si>
  <si>
    <t>0044231</t>
  </si>
  <si>
    <t>uložak, 1 po 0,72 ml (600 i.j/0,72ml)</t>
  </si>
  <si>
    <t>0044232</t>
  </si>
  <si>
    <t>uložak, 1 po 1,08 ml (900 i.j/1,08ml)</t>
  </si>
  <si>
    <t>0044270</t>
  </si>
  <si>
    <t>G03GA08</t>
  </si>
  <si>
    <t>horiogonadotropin alfa</t>
  </si>
  <si>
    <t>OVITRELLE</t>
  </si>
  <si>
    <t>napunjeni injekcioni  špric 1 po 0,5 ml (250mcg/0,5ml)</t>
  </si>
  <si>
    <t>0,25mg</t>
  </si>
  <si>
    <t>Lečenje neplodnosti žene u postupku BMPO (N97).</t>
  </si>
  <si>
    <t>Lek se uvodi u terapiju na osnovu mišljenja ginekologa zdravstvene ustanove koja obavlja zdravstvenu delatnost na  sekundarnom ili tercijarnom nivou.</t>
  </si>
  <si>
    <t>0044269</t>
  </si>
  <si>
    <t xml:space="preserve">pen sa uloškom, 1 po 0.5 ml (250 mcg/0.5ml) </t>
  </si>
  <si>
    <t>Merck Serono S.P.A.</t>
  </si>
  <si>
    <t>0044405</t>
  </si>
  <si>
    <t>G03GA09</t>
  </si>
  <si>
    <t>korifolitropin alfa</t>
  </si>
  <si>
    <t>ELONVA</t>
  </si>
  <si>
    <t>napunjen injekcioni špric, 1 po 150mcg/0.5ml</t>
  </si>
  <si>
    <t>N.V Organon</t>
  </si>
  <si>
    <t>0,15mg</t>
  </si>
  <si>
    <t>0044406</t>
  </si>
  <si>
    <t>napunjen injekcioni špric, 1 po 100mcg/0.5ml</t>
  </si>
  <si>
    <t>0044417</t>
  </si>
  <si>
    <t>G03GA10</t>
  </si>
  <si>
    <t>folitropin delta</t>
  </si>
  <si>
    <t>REKOVELLE</t>
  </si>
  <si>
    <t>rastvor za injekciju u napunjenom injekcionom penu</t>
  </si>
  <si>
    <t>napunjeni injekcioni pen, 1 po 0,36 ml (12mcg/0,36ml)</t>
  </si>
  <si>
    <t>12 mcg</t>
  </si>
  <si>
    <t>Lek se uvodi u terapiju na osnovu mišljenja ginekologa zdravstvene ustanove koja obavlja zdravstvenu delatnost na sekundarnom ili tercijarnom nivou.</t>
  </si>
  <si>
    <t>0044419</t>
  </si>
  <si>
    <t>napunjeni injekcioni pen, 1 po 1,08 ml (36mcg/1,08ml)</t>
  </si>
  <si>
    <t>0044418</t>
  </si>
  <si>
    <t>napunjeni injekcioni pen, 1 po 2,16 ml (72mcg/2,16ml)</t>
  </si>
  <si>
    <t>0044256</t>
  </si>
  <si>
    <t>G03GA30</t>
  </si>
  <si>
    <t>folitropin alfa, lutropin alfa</t>
  </si>
  <si>
    <t>PERGOVERIS</t>
  </si>
  <si>
    <t>bočica sa praškom i bočica sa rastvaračem, 1 po 1ml (150i.j./1ml+75i.j./1ml)</t>
  </si>
  <si>
    <t>Merck Serono S.A.; Merck Serono S.P.A.</t>
  </si>
  <si>
    <t>Švajcarska; Italija</t>
  </si>
  <si>
    <t>1 ml</t>
  </si>
  <si>
    <t>0044259</t>
  </si>
  <si>
    <t>napunjeni injekcioni pen, 1 po 0,48 ml (300 i.j./0,48 ml + 150 i.j./0,48 ml)</t>
  </si>
  <si>
    <t>150 i.j. + 75 i.j.</t>
  </si>
  <si>
    <t>0044266</t>
  </si>
  <si>
    <t>napunjeni injekcioni pen, 1 po 0,72 ml (450 i.j./0,72 ml + 225 i.j./0,72 ml)</t>
  </si>
  <si>
    <t>0044267</t>
  </si>
  <si>
    <t>napunjeni injekcioni pen, 1 po 1,44 ml (900 i.j./1,44 ml + 450 i.j./1,44 ml)</t>
  </si>
  <si>
    <t>0140150</t>
  </si>
  <si>
    <t>H01BB02</t>
  </si>
  <si>
    <t>oksitocin</t>
  </si>
  <si>
    <t>OXYTOCIN SYNTHETIC</t>
  </si>
  <si>
    <t>ampula, 100 po 1 ml (10 i.j./ml)</t>
  </si>
  <si>
    <t xml:space="preserve">15 i.j. </t>
  </si>
  <si>
    <t>0049190</t>
  </si>
  <si>
    <t>H01CB02</t>
  </si>
  <si>
    <t xml:space="preserve">SANDOSTATIN </t>
  </si>
  <si>
    <t xml:space="preserve">ampula, 5 po 1 ml (0,1 mg/ml) </t>
  </si>
  <si>
    <t>Novartis Pharma Stein AG</t>
  </si>
  <si>
    <t>0,7 mg</t>
  </si>
  <si>
    <t xml:space="preserve">1.  Gastro-entero-pankreasni neuroendokrini tumori, kao nastavak bolničkog lečenja (C15-C26.9; D10-D13.9; D37.0-D37.9);
2. Akromegalija (D35.2; E22.0);
3. Terapija akutnog varicealnog krvarenja iz variksa jednjaka i želuca u bolničkim uslovma (I85.0);
4. Terapija pankreasne fistule nakon operacije na pankreasu koja ne reaguje na endoskopsku hemostazu u bolničkim uslovima (K86.2; K86.3; K86.8; K86.9). </t>
  </si>
  <si>
    <t>Za indikaciju pod tač. 1 i 2. lek se uvodi u terapiju na osnovu mišljenja tri lekara Klinike za endokrinologiju, dijabetes i bolesti metabolizma UKC Srbije.</t>
  </si>
  <si>
    <t>0049195</t>
  </si>
  <si>
    <t>SANDOSTATIN LAR</t>
  </si>
  <si>
    <t>prašak i rastvarač za suspenziju za injekciju</t>
  </si>
  <si>
    <t>bočica sa praškom i napunjeni injekcioni špric sa rastvaračem, 1 po 10 mg/2 ml</t>
  </si>
  <si>
    <t>1. Gastro-entero-pankreasni neuroendokrini tumori, kao nastavak bolničkog lečenja (C15-C26.9; D10-D13.9; D37.0-D37.9);
2. Akromegalija (D35.2; E22.0).</t>
  </si>
  <si>
    <t>Lek se uvodi u terapiju na osnovu mišljenja tri lekara Klinike za endokrinologiju, dijabetes i bolesti metabolizma UKC Srbije.</t>
  </si>
  <si>
    <t>0049196</t>
  </si>
  <si>
    <t>bočica sa praškom i napunjeni injekcioni špric sa rastvaračem, 1 po 20 mg/2 ml</t>
  </si>
  <si>
    <t>0049197</t>
  </si>
  <si>
    <t>bočica sa praškom i napunjeni injekcioni špric sa rastvaračem, 1 po 30 mg/2 ml</t>
  </si>
  <si>
    <t>0049229</t>
  </si>
  <si>
    <t>oktreotid</t>
  </si>
  <si>
    <t>prašak i rastvarač za suspenziju za injekciju sa produženim oslobađanjem</t>
  </si>
  <si>
    <t>bočica sa praškom i napunjeni injekcioni špric sa rastvaračem, 1 po 10 mg</t>
  </si>
  <si>
    <t>0049227</t>
  </si>
  <si>
    <t>bočica sa praškom i napunjeni injekcioni špric sa rastvaračem, 1 po 20 mg</t>
  </si>
  <si>
    <t>0049228</t>
  </si>
  <si>
    <t>bočica sa praškom i napunjeni injekcioni špric sa rastvaračem, 1 po 30 mg</t>
  </si>
  <si>
    <t>0049231</t>
  </si>
  <si>
    <t>H01CB03</t>
  </si>
  <si>
    <t>lanreotid</t>
  </si>
  <si>
    <t>SOMATULINE AUTOGEL</t>
  </si>
  <si>
    <t>napunjen injekcioni špric,1 po 60 mg</t>
  </si>
  <si>
    <t>Ipsen Pharma Biotech</t>
  </si>
  <si>
    <t>3 mg</t>
  </si>
  <si>
    <t>Neuroendokrini tumori, kao nastavak bolničkog lečenja (C00-C45; C47-C80; D00-D16.9; D24; D26-D32.9; D34-D44.9; E05.8; E22; E24; E27; Q85.0-Q85.9)</t>
  </si>
  <si>
    <t>0049232</t>
  </si>
  <si>
    <t>napunjen injekcioni špric,1 po 90 mg</t>
  </si>
  <si>
    <t>0049233</t>
  </si>
  <si>
    <t>napunjen injekcioni špric,1 po 120 mg</t>
  </si>
  <si>
    <t>0049220</t>
  </si>
  <si>
    <t>H01CC01</t>
  </si>
  <si>
    <t>ganireliks</t>
  </si>
  <si>
    <t>ORGALUTRAN</t>
  </si>
  <si>
    <t>napunjen injekcioni špric, 1 po 0.5ml (0.25mg/0.5ml)</t>
  </si>
  <si>
    <t>0044260</t>
  </si>
  <si>
    <t>H01CC02</t>
  </si>
  <si>
    <t>cetroreliks</t>
  </si>
  <si>
    <t>CETROTIDE</t>
  </si>
  <si>
    <t>bočica sa praškom i napunjeni injekcioni špric sa rastvaračem, 1 po 1ml (0,25mg/ml)</t>
  </si>
  <si>
    <t>Merck KgaA</t>
  </si>
  <si>
    <t>0047286</t>
  </si>
  <si>
    <t>H02AB01</t>
  </si>
  <si>
    <t>betametazon</t>
  </si>
  <si>
    <t>DIPROPHOS</t>
  </si>
  <si>
    <t>suspenzija za injekciju</t>
  </si>
  <si>
    <t>ampula, 5 po 1 ml (7 mg/ml)</t>
  </si>
  <si>
    <t>0,4 mg</t>
  </si>
  <si>
    <t>0047140</t>
  </si>
  <si>
    <t>H02AB02</t>
  </si>
  <si>
    <t>deksametazon</t>
  </si>
  <si>
    <t>DEXASON</t>
  </si>
  <si>
    <t>ampula, 25 po 1 ml (4 mg/ml)</t>
  </si>
  <si>
    <t>0047145</t>
  </si>
  <si>
    <t>FORTECORTIN</t>
  </si>
  <si>
    <t>ampula, 3 po 2 ml (8mg/2ml)</t>
  </si>
  <si>
    <t>Merck KGaA</t>
  </si>
  <si>
    <t>0047142</t>
  </si>
  <si>
    <t>DEXAMETHASONE SOPHARMA</t>
  </si>
  <si>
    <t>ampula, 10 po 1 ml (4mg/ml)</t>
  </si>
  <si>
    <t>0047160</t>
  </si>
  <si>
    <t>DEKSAMETAZON KRKA</t>
  </si>
  <si>
    <t>ampula, 3 po 1mL (4mg/mL)</t>
  </si>
  <si>
    <t>Krka d.d., Novo Mesto</t>
  </si>
  <si>
    <t>1.5 mg</t>
  </si>
  <si>
    <t>0047161</t>
  </si>
  <si>
    <t>ampula, 5 po 1mL (4mg/mL)</t>
  </si>
  <si>
    <t>0047162</t>
  </si>
  <si>
    <t>ampula, 3 po 2mL (8mg/2mL)</t>
  </si>
  <si>
    <t>0047163</t>
  </si>
  <si>
    <t>ampula, 5 po 2mL (8mg/2mL)</t>
  </si>
  <si>
    <t>0047220</t>
  </si>
  <si>
    <t>H02AB04</t>
  </si>
  <si>
    <t>metilprednizolon</t>
  </si>
  <si>
    <t>LEMOD SOLU</t>
  </si>
  <si>
    <t xml:space="preserve">liobočica sa rastvaračem u ampuli, 1 po 7,8 ml (500 mg/7,8 ml) </t>
  </si>
  <si>
    <t xml:space="preserve"> 20 mg</t>
  </si>
  <si>
    <t>0047218</t>
  </si>
  <si>
    <t xml:space="preserve">liobočica sa rastvaračem u ampuli, 15 po 1 ml (40 mg/ml) </t>
  </si>
  <si>
    <t>0050144</t>
  </si>
  <si>
    <t>H05BX02</t>
  </si>
  <si>
    <t>parikalcitol</t>
  </si>
  <si>
    <t>REXTOL</t>
  </si>
  <si>
    <t>bočica staklena, 5 po 1 ml (5mcg/ml)</t>
  </si>
  <si>
    <t>2 mcg</t>
  </si>
  <si>
    <t>Sekundarni hiperparatireoidizam kod bolesnika koji su na hroničnom programu dijalize (hemodijaliza i peritonealna dijaliza) i transplantirani bolesnici koji nisu odgovorili na prethodnu standardnu terapiju (kalcitriol, vezivači fosfata, hipokalcemijski dijalizni rastvor i dijeta siromašna fosforom) sa umerenim hiperparatireoidizmom koji imaju trajno povišen IPTH u rangu 500-800 pg/ml.
Uz to, terapija je indikovana u periodu od 3 meseca kod:
1. Bolesnika koji su kontraindikovani za operativno lečenje( paratireoidektomija) ili imaju neprihvatljivo visok rizik za operativno lečenje ili anesteziju.
2.Bolesnika sa transplatiranim bubregom i sekundarnim hiperparatireoidizmom.
3. Bolesnika sa rezidualnim, odnosno rekuretnim sekundarnim hiperparatireoidizmom nakon operativnog lečenja.
Kontraindikacija za uvođenje i davanje parikalcitrola su: hiperkalcemija i/ili hiperfosfatemija.</t>
  </si>
  <si>
    <t>Lek se uvodi u terapiju u dijaliznim centrima.</t>
  </si>
  <si>
    <t>kapsula, meka</t>
  </si>
  <si>
    <t>blister, 28 po 1 mcg</t>
  </si>
  <si>
    <t>Rafarm SA; GAP SA</t>
  </si>
  <si>
    <t>blister, 28 po 2 mcg</t>
  </si>
  <si>
    <t>0029781</t>
  </si>
  <si>
    <t>J01AA12</t>
  </si>
  <si>
    <t>tigeciklin</t>
  </si>
  <si>
    <t>TYGACIL</t>
  </si>
  <si>
    <t xml:space="preserve"> Wyeth Lederle S.r.l.</t>
  </si>
  <si>
    <t xml:space="preserve">  **</t>
  </si>
  <si>
    <t>TIGECIKLIN SK</t>
  </si>
  <si>
    <t>Malta; Španija; Španija</t>
  </si>
  <si>
    <t>0029788</t>
  </si>
  <si>
    <t>0021108</t>
  </si>
  <si>
    <t>J01CA01</t>
  </si>
  <si>
    <t>ampicilin</t>
  </si>
  <si>
    <t>PAMECIL</t>
  </si>
  <si>
    <t>bočica staklena, 10 po 1 g</t>
  </si>
  <si>
    <t>Medochemie Ltd (Factory B)</t>
  </si>
  <si>
    <t>0021109</t>
  </si>
  <si>
    <t>bočica staklena, 100 po 1 g</t>
  </si>
  <si>
    <t>AMPICILLIN ATB 1000 mg</t>
  </si>
  <si>
    <t>S.C. Antibiotice S.A.</t>
  </si>
  <si>
    <t>Rumunija</t>
  </si>
  <si>
    <t>0021945</t>
  </si>
  <si>
    <t>bočica staklena, 50 po 1 g</t>
  </si>
  <si>
    <t>0020017</t>
  </si>
  <si>
    <t>J01CE01</t>
  </si>
  <si>
    <t>benzilpenicilin</t>
  </si>
  <si>
    <t>PENICILLIN G SODIUM PANPHARMA</t>
  </si>
  <si>
    <t>bočica staklena, 25 po 0,6 g (1.000.000 ij)</t>
  </si>
  <si>
    <t>Panpharma</t>
  </si>
  <si>
    <t>3,6 g</t>
  </si>
  <si>
    <t>0020056</t>
  </si>
  <si>
    <t>J01CE30</t>
  </si>
  <si>
    <t>benzilpenicilin, prokainbenzilpenicilin</t>
  </si>
  <si>
    <t xml:space="preserve">PANCILLIN </t>
  </si>
  <si>
    <t>prašak za suspenziju za injekciju</t>
  </si>
  <si>
    <t>bočica,  50 po 800000 i.j. (600000i.j.+ 200000i.j.)</t>
  </si>
  <si>
    <t>6000000 i.j.</t>
  </si>
  <si>
    <t>0021565</t>
  </si>
  <si>
    <t>J01CR02</t>
  </si>
  <si>
    <t>amoksicilin, klavulanska kiselina</t>
  </si>
  <si>
    <t>AMOKSIKLAV</t>
  </si>
  <si>
    <t>5 po (1000 mg+ 200 mg)</t>
  </si>
  <si>
    <t>3 g</t>
  </si>
  <si>
    <t>0021650</t>
  </si>
  <si>
    <t>MEDOCLAV</t>
  </si>
  <si>
    <t>bočica staklena, 5 po 1,2 g (1000 mg+ 200 mg)</t>
  </si>
  <si>
    <t>0021651</t>
  </si>
  <si>
    <t xml:space="preserve"> J01CR02 </t>
  </si>
  <si>
    <t>AMOXIPLUS 1.2g</t>
  </si>
  <si>
    <t xml:space="preserve">prašak za rastvor za injekciju/infuziju </t>
  </si>
  <si>
    <t>bočica staklena, 50 po 1,2g (1000mg +200mg)</t>
  </si>
  <si>
    <t>3g</t>
  </si>
  <si>
    <t>0021653</t>
  </si>
  <si>
    <t>bočica staklena, 10 po 1.2g (1000mg + 200 mg)</t>
  </si>
  <si>
    <t>Antibiotice SA</t>
  </si>
  <si>
    <t>0021652</t>
  </si>
  <si>
    <t>bočica staklena, 25 po 1.2g (1000mg + 200 mg)</t>
  </si>
  <si>
    <t>0021995</t>
  </si>
  <si>
    <t>J01CR05</t>
  </si>
  <si>
    <t>piperacilin, tazobaktam</t>
  </si>
  <si>
    <t>PIPTAZ</t>
  </si>
  <si>
    <t>bočica staklena, 12 po 4,5 g (4 g + 0.5g)</t>
  </si>
  <si>
    <t>14 g</t>
  </si>
  <si>
    <t>0021800</t>
  </si>
  <si>
    <t>PIPERACILLIN/TAZOBACTAM KABI</t>
  </si>
  <si>
    <t>bočica staklena, 10 po 4,5 g (4 g + 0,5 g)</t>
  </si>
  <si>
    <t>Labesfal - Laboratorios Almiro S.A.;
Mitim S.R.L.</t>
  </si>
  <si>
    <t>Portugalija;
Italija</t>
  </si>
  <si>
    <t>0321962</t>
  </si>
  <si>
    <t>J01DB04</t>
  </si>
  <si>
    <t>cefazolin</t>
  </si>
  <si>
    <t>CEFAZOLIN</t>
  </si>
  <si>
    <t xml:space="preserve">  prašak za rastvor za injekciju/infuziju</t>
  </si>
  <si>
    <t xml:space="preserve"> bočica staklena, 50 po 1g</t>
  </si>
  <si>
    <t xml:space="preserve">  Republika Srbija</t>
  </si>
  <si>
    <t>0321030</t>
  </si>
  <si>
    <t>PRIMACEPH</t>
  </si>
  <si>
    <t>50 po 1 g</t>
  </si>
  <si>
    <t>0321829</t>
  </si>
  <si>
    <t>CEFAZOLIN-MIP</t>
  </si>
  <si>
    <t>bočica, 10 po 2 g</t>
  </si>
  <si>
    <t>Chephasaar Chem. Pharm.</t>
  </si>
  <si>
    <t>0321854</t>
  </si>
  <si>
    <t>bočica staklena, 5 po 1 g</t>
  </si>
  <si>
    <t>BE Pharma d.o.o.</t>
  </si>
  <si>
    <t>0321900</t>
  </si>
  <si>
    <t>bočica staklena, 10 po 1g</t>
  </si>
  <si>
    <t xml:space="preserve">  Republika Srbija;
Italija</t>
  </si>
  <si>
    <t>0321901</t>
  </si>
  <si>
    <t>ZEPILEN</t>
  </si>
  <si>
    <t>0321950</t>
  </si>
  <si>
    <t>CEFAZOLIN QILU</t>
  </si>
  <si>
    <t xml:space="preserve"> bočica staklena, 10 po 1g</t>
  </si>
  <si>
    <t>Kymos, S.L.; Netpharmalab Consulting Services</t>
  </si>
  <si>
    <t>Španija; 
Španija</t>
  </si>
  <si>
    <t>0321951</t>
  </si>
  <si>
    <t xml:space="preserve"> bočica staklena, 100 po 1g</t>
  </si>
  <si>
    <t>0321025</t>
  </si>
  <si>
    <t>J01DC02</t>
  </si>
  <si>
    <t>cefuroksim</t>
  </si>
  <si>
    <t>CEFUROKSIM</t>
  </si>
  <si>
    <t>prašak za rastvor za injekciju /infuziju</t>
  </si>
  <si>
    <t>bočica staklena, 1 po 1500 mg</t>
  </si>
  <si>
    <t>0321024</t>
  </si>
  <si>
    <t>bočica staklena, 1 po 750 mg</t>
  </si>
  <si>
    <t>0321882</t>
  </si>
  <si>
    <t>CEFUROXIM-MIP</t>
  </si>
  <si>
    <t>bočica staklena, 10 po 750 mg</t>
  </si>
  <si>
    <t>0321883</t>
  </si>
  <si>
    <t>bočica staklena, 10 po 1500 mg/50 ml</t>
  </si>
  <si>
    <t>0321955</t>
  </si>
  <si>
    <t>CEFUROXIM MEDOCHEMIE</t>
  </si>
  <si>
    <t>Medochemie Ltd (Factory C) - Injectable facility</t>
  </si>
  <si>
    <t>0321874</t>
  </si>
  <si>
    <t>bočica staklena, 10 po 1500 mg</t>
  </si>
  <si>
    <t>0321666</t>
  </si>
  <si>
    <t>CEFUROXIME</t>
  </si>
  <si>
    <t>Labesfal - Laboratorios Almiro S.A.</t>
  </si>
  <si>
    <t>0321667</t>
  </si>
  <si>
    <t>0321875</t>
  </si>
  <si>
    <t>CEFUROXIM</t>
  </si>
  <si>
    <t>Galenika a.d.;                                                    ACS Dobfar S.P.A</t>
  </si>
  <si>
    <t xml:space="preserve">  Republika Srbija;
 Italija</t>
  </si>
  <si>
    <t>0321876</t>
  </si>
  <si>
    <t>0321983</t>
  </si>
  <si>
    <t>J01DD01</t>
  </si>
  <si>
    <t>cefotaksim</t>
  </si>
  <si>
    <t>CEFOTAXIM MEDOCHEMIE</t>
  </si>
  <si>
    <t>Medochemie Ltd (Factory C)</t>
  </si>
  <si>
    <t>4 g</t>
  </si>
  <si>
    <t>0321984</t>
  </si>
  <si>
    <t>0321977</t>
  </si>
  <si>
    <t>CEFOTAXIM-MIP</t>
  </si>
  <si>
    <t>Chephasaar Chem.- Pharm. Fabrik GmbH</t>
  </si>
  <si>
    <t>0321976</t>
  </si>
  <si>
    <t>bočica staklena, 10 po 2 g</t>
  </si>
  <si>
    <t>0321600</t>
  </si>
  <si>
    <t>J01DD02</t>
  </si>
  <si>
    <t>ceftazidim</t>
  </si>
  <si>
    <t>FORTUM</t>
  </si>
  <si>
    <t>bočica staklena, 1 po 1000 mg</t>
  </si>
  <si>
    <t>GlaxoSmithKline Manufacturing S.P.A.</t>
  </si>
  <si>
    <t>0321601</t>
  </si>
  <si>
    <t>bočica staklena, 1 po 500 mg</t>
  </si>
  <si>
    <t>0321023</t>
  </si>
  <si>
    <t>CEFTAZIDIM</t>
  </si>
  <si>
    <t>bočica staklena, 1 po 1 g</t>
  </si>
  <si>
    <t>0321707</t>
  </si>
  <si>
    <t>TIZACEF</t>
  </si>
  <si>
    <t>0321708</t>
  </si>
  <si>
    <t>Laboratorio Reig Jofre, S.A.</t>
  </si>
  <si>
    <t>0321758</t>
  </si>
  <si>
    <t>J01DD04</t>
  </si>
  <si>
    <t>ceftriakson</t>
  </si>
  <si>
    <t xml:space="preserve">AZARAN </t>
  </si>
  <si>
    <t>bočica,  50 po 1000 mg</t>
  </si>
  <si>
    <t xml:space="preserve">STAC** </t>
  </si>
  <si>
    <t>0321329</t>
  </si>
  <si>
    <t xml:space="preserve">LONGACEPH </t>
  </si>
  <si>
    <t xml:space="preserve">STAC ** </t>
  </si>
  <si>
    <t>0321863</t>
  </si>
  <si>
    <t>LENDACIN</t>
  </si>
  <si>
    <t>bočica, 10 po 1 g</t>
  </si>
  <si>
    <t>Sandoz GmbH</t>
  </si>
  <si>
    <t>0321997</t>
  </si>
  <si>
    <t>CEFTRIAXON-MIP</t>
  </si>
  <si>
    <t>0321999</t>
  </si>
  <si>
    <t>0321989</t>
  </si>
  <si>
    <t>0321770</t>
  </si>
  <si>
    <t>MEDAXONE</t>
  </si>
  <si>
    <t>Medochemie LTD      (Factory C)</t>
  </si>
  <si>
    <t>0321630</t>
  </si>
  <si>
    <t>J01DE01</t>
  </si>
  <si>
    <t>cefepim</t>
  </si>
  <si>
    <t>CEFIM</t>
  </si>
  <si>
    <t>bočica, 1 po 1000 mg</t>
  </si>
  <si>
    <t>0321912</t>
  </si>
  <si>
    <t>CEFEPIM KABI</t>
  </si>
  <si>
    <t>0321920</t>
  </si>
  <si>
    <t>VERAPIME</t>
  </si>
  <si>
    <t>bočica sa praškom i ampula sa rastvaračem, 10 po 3 mL, 1g</t>
  </si>
  <si>
    <t>Demo SA Paharmaceutical      Industry</t>
  </si>
  <si>
    <t>0321921</t>
  </si>
  <si>
    <t>CEFEPIMA BASI</t>
  </si>
  <si>
    <t>0029754</t>
  </si>
  <si>
    <t>J01DH02</t>
  </si>
  <si>
    <t>meropenem</t>
  </si>
  <si>
    <t>MEROCID</t>
  </si>
  <si>
    <t>bočica staklena,10 po 1000 mg</t>
  </si>
  <si>
    <t>0029755</t>
  </si>
  <si>
    <t>ITANEM</t>
  </si>
  <si>
    <t>bočica staklena, 10 po 500 mg</t>
  </si>
  <si>
    <t>0029756</t>
  </si>
  <si>
    <t>0029701</t>
  </si>
  <si>
    <t>ARCHIFAR</t>
  </si>
  <si>
    <t>0029700</t>
  </si>
  <si>
    <t>0029726</t>
  </si>
  <si>
    <t>MEROPENEM QUATALIA</t>
  </si>
  <si>
    <t>ACS Dobfar S.p.A.</t>
  </si>
  <si>
    <t>0029725</t>
  </si>
  <si>
    <t>bočica staklena, 10 po 1000 mg</t>
  </si>
  <si>
    <t>0029712</t>
  </si>
  <si>
    <t>MEROZAN</t>
  </si>
  <si>
    <t>0029713</t>
  </si>
  <si>
    <t>0029780</t>
  </si>
  <si>
    <t>J01DH03</t>
  </si>
  <si>
    <t>INVANZ</t>
  </si>
  <si>
    <t>prašak za koncentrat za rastvor za infuziju</t>
  </si>
  <si>
    <t>bočica, 1 po 1 g</t>
  </si>
  <si>
    <t>Laboratories Merck Sharp &amp; Dohme - Chibret</t>
  </si>
  <si>
    <t>1 g</t>
  </si>
  <si>
    <t>0029777</t>
  </si>
  <si>
    <t>ertapenem</t>
  </si>
  <si>
    <t>ERTAPENEM QUATALIA</t>
  </si>
  <si>
    <t>ACS Dobfar S.P.A.</t>
  </si>
  <si>
    <t>0029806</t>
  </si>
  <si>
    <t>ERTAZNA</t>
  </si>
  <si>
    <t>0029805</t>
  </si>
  <si>
    <t>ERTAPENEM FRESENIUS KABI</t>
  </si>
  <si>
    <t>0029807</t>
  </si>
  <si>
    <t>EPTANEM</t>
  </si>
  <si>
    <t>0029808</t>
  </si>
  <si>
    <t>ERTAPENEM SK</t>
  </si>
  <si>
    <t>0029779</t>
  </si>
  <si>
    <t>ERTAPENEM PHARMASWISS</t>
  </si>
  <si>
    <t>0029507</t>
  </si>
  <si>
    <t>J01DH51</t>
  </si>
  <si>
    <t>imipenem, cilastatin</t>
  </si>
  <si>
    <t>MIPECID</t>
  </si>
  <si>
    <t>bočica staklena, 10 po 1g (500 mg + 500 mg)</t>
  </si>
  <si>
    <t>Pharmaswiss d.o.o</t>
  </si>
  <si>
    <t xml:space="preserve"> **</t>
  </si>
  <si>
    <t>0029600</t>
  </si>
  <si>
    <t>IMIPENEM/CILASTATIN QUATALIA</t>
  </si>
  <si>
    <t>bočica staklena, 10 po 1 g (500 mg + 500 mg)</t>
  </si>
  <si>
    <t>ACS DOBFAR S.p.A.</t>
  </si>
  <si>
    <t>0029601</t>
  </si>
  <si>
    <t>IMIPENEM/CILASTATIN KABI</t>
  </si>
  <si>
    <t xml:space="preserve"> bočica staklena, 10 po 1g (500mg+500mg)</t>
  </si>
  <si>
    <t>0029029</t>
  </si>
  <si>
    <t>IMINEM</t>
  </si>
  <si>
    <t>bočica staklena, 10 po 1g (500mg + 500mg)</t>
  </si>
  <si>
    <t>0026601</t>
  </si>
  <si>
    <t>J01EE01</t>
  </si>
  <si>
    <t>sulfametoksazol, trimetoprim</t>
  </si>
  <si>
    <t>BACTRIM Eumedica</t>
  </si>
  <si>
    <t>ampula, 10 po 5 ml (400 mg/5 ml+80 mg/5 ml)</t>
  </si>
  <si>
    <t>1,92 g</t>
  </si>
  <si>
    <t>0325484</t>
  </si>
  <si>
    <t>J01FA10</t>
  </si>
  <si>
    <t>azitromicin</t>
  </si>
  <si>
    <t>HEMOMYCIN</t>
  </si>
  <si>
    <t>bočica, 1 po 500 mg</t>
  </si>
  <si>
    <t>0326041</t>
  </si>
  <si>
    <t>J01FF01</t>
  </si>
  <si>
    <t>klindamicin</t>
  </si>
  <si>
    <t>1,8 g</t>
  </si>
  <si>
    <t>0326223</t>
  </si>
  <si>
    <t>CLINDAMYCIN-MIP</t>
  </si>
  <si>
    <t>bočica staklena, 5 po 4 ml (600 mg/4 ml)</t>
  </si>
  <si>
    <t>0326225</t>
  </si>
  <si>
    <t>CLIDACIN BA FREE</t>
  </si>
  <si>
    <t>ampula, 1 po 4 ml (150mg/ml)</t>
  </si>
  <si>
    <t>Vianex S.A. - Plant A'</t>
  </si>
  <si>
    <t>J01GB01</t>
  </si>
  <si>
    <t>tobramicin</t>
  </si>
  <si>
    <t>BRAMITOB</t>
  </si>
  <si>
    <t>rastvor za raspršivanje</t>
  </si>
  <si>
    <t>kontejner jednodozni, 56 po 4 ml (300mg/4ml)</t>
  </si>
  <si>
    <t>Genetic S.P.A.;
Chiesi Farmaceutici SPA</t>
  </si>
  <si>
    <t>0.3g</t>
  </si>
  <si>
    <t>Lečenje hronične plućne infekcije prouzrokovane bakterijom Pseudomonas aeruginosa kod pacijenata sa cističnom fibrozom  (E84).</t>
  </si>
  <si>
    <t xml:space="preserve"> Lek se uvodi u terapiju na osnovu mišljenja tri lekara odgovarajuće specijalnosti u službi pulmologije zdravstvene ustanove na tercijarnom nivou zdravstvene zaštite.</t>
  </si>
  <si>
    <t>7024616</t>
  </si>
  <si>
    <t>TOBRAMICIN TEVA</t>
  </si>
  <si>
    <t>ampula, 56 po 5 mL (300mg/5mL)</t>
  </si>
  <si>
    <t>0024552</t>
  </si>
  <si>
    <t>J01GB03</t>
  </si>
  <si>
    <t>gentamicin</t>
  </si>
  <si>
    <t xml:space="preserve">GENTAMICIN </t>
  </si>
  <si>
    <t>ampula, 10 po 2 ml (80 mg/2 ml)</t>
  </si>
  <si>
    <t>0024553</t>
  </si>
  <si>
    <t>ampula, 10 po 2 ml (120 mg/2 ml)</t>
  </si>
  <si>
    <t>0024580</t>
  </si>
  <si>
    <t>GENTAMICIN HF</t>
  </si>
  <si>
    <t>Hemofarm AD Vršac</t>
  </si>
  <si>
    <t>0024582</t>
  </si>
  <si>
    <t xml:space="preserve"> 10 po 2 ml (120 mg/2 ml)</t>
  </si>
  <si>
    <t>0024333</t>
  </si>
  <si>
    <t>GENTAMICIN KRKA</t>
  </si>
  <si>
    <t>ampula, 10 po 1ml (40mg/ml)</t>
  </si>
  <si>
    <t>Krka, Tovarna zdravil, d.d</t>
  </si>
  <si>
    <t>0.24 g</t>
  </si>
  <si>
    <t>0024606</t>
  </si>
  <si>
    <t>GENTAMICIN SOPHARMA</t>
  </si>
  <si>
    <t>0024282</t>
  </si>
  <si>
    <t>J01GB06</t>
  </si>
  <si>
    <t>amikacin</t>
  </si>
  <si>
    <t xml:space="preserve">AMIKACIN </t>
  </si>
  <si>
    <t xml:space="preserve"> ampula, 10 po 100 mg/2 ml</t>
  </si>
  <si>
    <t>0024283</t>
  </si>
  <si>
    <t>ampula, 10 po 500 mg/2 ml</t>
  </si>
  <si>
    <t>0024621</t>
  </si>
  <si>
    <t>AMIKACIN MEDOCHEMIE</t>
  </si>
  <si>
    <t>ampula, 10 po 2 ml (500mg/2ml)</t>
  </si>
  <si>
    <t>Medochemie LTD (ampoule injectable facility)</t>
  </si>
  <si>
    <t>0329412</t>
  </si>
  <si>
    <t>J01MA02</t>
  </si>
  <si>
    <t>ciprofloksacin</t>
  </si>
  <si>
    <t xml:space="preserve">MAROCEN  </t>
  </si>
  <si>
    <t xml:space="preserve"> ampula, 5 po 100 mg/10 ml</t>
  </si>
  <si>
    <t>0329403</t>
  </si>
  <si>
    <t>CITERAL</t>
  </si>
  <si>
    <t>ampula, 5 po 10 ml (100 mg/10 ml)</t>
  </si>
  <si>
    <t>Alkaloid d.o.o. Beograd; Alkaloid a.d. Skopje</t>
  </si>
  <si>
    <t>Republika Srbija; Republika Severna Makedonija</t>
  </si>
  <si>
    <t>0329001</t>
  </si>
  <si>
    <t>CIPROFLOXACIN QUATALIA</t>
  </si>
  <si>
    <t>kesa, 10 po 100 ml (2 mg/ml)</t>
  </si>
  <si>
    <t xml:space="preserve"> Infomed Fluids S.R.L.</t>
  </si>
  <si>
    <t>0329004</t>
  </si>
  <si>
    <t>kesa, 10 po 200 ml (2 mg/ml)</t>
  </si>
  <si>
    <t>0329081</t>
  </si>
  <si>
    <t>J01MA12</t>
  </si>
  <si>
    <t>levofloksacin</t>
  </si>
  <si>
    <t>LEVOMAX</t>
  </si>
  <si>
    <t>kesa, 10 po 100 ml (500 mg/100 ml)</t>
  </si>
  <si>
    <t>0329200</t>
  </si>
  <si>
    <t>ALVOLAMID</t>
  </si>
  <si>
    <t>Anfarm Hellas S.A.; Pharmathen S.A.</t>
  </si>
  <si>
    <t xml:space="preserve"> Grčka; Grčka</t>
  </si>
  <si>
    <t>0329070</t>
  </si>
  <si>
    <t>LEVALOX</t>
  </si>
  <si>
    <t>bočica staklena, 1 po 100ml (5mg/ml)</t>
  </si>
  <si>
    <t>Krka tovarna Zdravil d.d.;
Anfarm Hellas S.A.;
Pharmathen S.A;</t>
  </si>
  <si>
    <t>Slovenija;
Grčka;
Grčka;</t>
  </si>
  <si>
    <t>0329201</t>
  </si>
  <si>
    <t>boca plastična, 1 po 100 ml (500 mg/100ml)</t>
  </si>
  <si>
    <t>Cooper S.A.</t>
  </si>
  <si>
    <t>Hemofarm a.d. Vršac</t>
  </si>
  <si>
    <t>0329114</t>
  </si>
  <si>
    <t>boca staklena, 25 po 100 ml (5mg/ml)</t>
  </si>
  <si>
    <t>Bioindustria Laboratorio Italiano Medicinali S.P.A.</t>
  </si>
  <si>
    <t>0329202</t>
  </si>
  <si>
    <t>LEVOFLOXACINO ALTAN</t>
  </si>
  <si>
    <t>kesa, 50 po 100ml (5mg/ml)</t>
  </si>
  <si>
    <t>Altan Pharmaceuticals S.A.</t>
  </si>
  <si>
    <t>0329008</t>
  </si>
  <si>
    <t>LEVOFLOXACIN KABI</t>
  </si>
  <si>
    <t>boca plastična, 10 po 100mL (5mg/mL)</t>
  </si>
  <si>
    <t>Fresenius Kabi Polska SP. Z.O.O.</t>
  </si>
  <si>
    <t>0329501</t>
  </si>
  <si>
    <t>J01MA14</t>
  </si>
  <si>
    <t>moksifloksacin</t>
  </si>
  <si>
    <t>ELFONIS</t>
  </si>
  <si>
    <t xml:space="preserve">rastvor za infuziju </t>
  </si>
  <si>
    <t>boca, 1 po 250ml (400mg/250ml)</t>
  </si>
  <si>
    <t>0,4g</t>
  </si>
  <si>
    <t>0329502</t>
  </si>
  <si>
    <t>MOKSIFLOKSACIN PHARMAS</t>
  </si>
  <si>
    <t>boca staklena, 1 po 250 ml (400mg/250ml)</t>
  </si>
  <si>
    <t>Pharmathen S.A.</t>
  </si>
  <si>
    <t>0,4 g</t>
  </si>
  <si>
    <t>0329510</t>
  </si>
  <si>
    <t>MOXIFLOKSACIN KABI</t>
  </si>
  <si>
    <t>plastična boca, 10 po 250 ml (400mg/250 ml)</t>
  </si>
  <si>
    <t>0329503</t>
  </si>
  <si>
    <t>MIKROBIEL</t>
  </si>
  <si>
    <t>boca plastična, 1 po 250 mL (400mg/250mL)</t>
  </si>
  <si>
    <t>0029790</t>
  </si>
  <si>
    <t>J01XA01</t>
  </si>
  <si>
    <t>vankomicin</t>
  </si>
  <si>
    <t>VANCOMYCIN-MIP</t>
  </si>
  <si>
    <t>bočica staklena, 5 po 500 mg</t>
  </si>
  <si>
    <t>0029791</t>
  </si>
  <si>
    <t>bočica staklena, 5 po 1000 mg</t>
  </si>
  <si>
    <t>0029801</t>
  </si>
  <si>
    <t>VOXIN</t>
  </si>
  <si>
    <t>bočica staklena,1 po 500 mg</t>
  </si>
  <si>
    <r>
      <t>Vianex S.A.- Plant C</t>
    </r>
    <r>
      <rPr>
        <sz val="8"/>
        <rFont val="Calibri"/>
        <family val="2"/>
      </rPr>
      <t>´</t>
    </r>
  </si>
  <si>
    <t>0029802</t>
  </si>
  <si>
    <t xml:space="preserve">prašak za rastvor za infuziju </t>
  </si>
  <si>
    <t>bočica staklena, 1 po 1g</t>
  </si>
  <si>
    <t>2g</t>
  </si>
  <si>
    <t>0029820</t>
  </si>
  <si>
    <t>VONDEM</t>
  </si>
  <si>
    <t>0029821</t>
  </si>
  <si>
    <t>0029760</t>
  </si>
  <si>
    <t>J01XA02</t>
  </si>
  <si>
    <t>teikoplanin</t>
  </si>
  <si>
    <t>TARGOCID</t>
  </si>
  <si>
    <t xml:space="preserve"> bočica sa praškom i ampula sa rastvaračem, 1 po 3 ml (200 mg/3 ml)</t>
  </si>
  <si>
    <t>0029761</t>
  </si>
  <si>
    <t>bočica sa praškom i ampula sa rastvaračem, 1 po 3 ml (400 mg/3 ml)</t>
  </si>
  <si>
    <t>0029767</t>
  </si>
  <si>
    <t>J01XB01</t>
  </si>
  <si>
    <t>kolistimetat-natrijum</t>
  </si>
  <si>
    <t>COLISTIN ZENTIVA</t>
  </si>
  <si>
    <t>Xellia Pharmaceuticals APS</t>
  </si>
  <si>
    <t>9000000ij</t>
  </si>
  <si>
    <t>**</t>
  </si>
  <si>
    <t>0029769</t>
  </si>
  <si>
    <t>bočica staklena, 10 po 2000000ij</t>
  </si>
  <si>
    <t>0029782</t>
  </si>
  <si>
    <t>COLISTIN ALTAN</t>
  </si>
  <si>
    <t>bočica staklena, 10 po 1000000 i.j.</t>
  </si>
  <si>
    <t>Altan Pharmaceuticals, S.A.</t>
  </si>
  <si>
    <t>0029800</t>
  </si>
  <si>
    <t>COLISTIN ATB</t>
  </si>
  <si>
    <t>0029740</t>
  </si>
  <si>
    <t>COLISTIN/NORMA</t>
  </si>
  <si>
    <t>bočica staklena 1 po 1000000 i.j.</t>
  </si>
  <si>
    <t>Famar A.V.E. Alimos Plant</t>
  </si>
  <si>
    <t>0029730</t>
  </si>
  <si>
    <t>MATECA</t>
  </si>
  <si>
    <t>COLOBREATHE</t>
  </si>
  <si>
    <t>prašak za inhalaciju, tvrda kapsula</t>
  </si>
  <si>
    <t>blister deljiv na pojedinacne doze, 56 po 1662500 i.j</t>
  </si>
  <si>
    <t>3000000 i.j.</t>
  </si>
  <si>
    <t>Lečenje hronične plućne infekcije prouzrokovane bakterijom Pseudomonas aeruginosa kod pacijenata sa cističnom fibrozom (E84).</t>
  </si>
  <si>
    <t>0029773</t>
  </si>
  <si>
    <t>prašak za rastvor za raspršivanje</t>
  </si>
  <si>
    <t>bočica staklena, 10 po 1000000i.j.</t>
  </si>
  <si>
    <t xml:space="preserve">Xellia Pharmaceuticals APS </t>
  </si>
  <si>
    <t>3.000.000 i.j.</t>
  </si>
  <si>
    <t>0029772</t>
  </si>
  <si>
    <t>bočica staklena, 10 po 2000000i.j.</t>
  </si>
  <si>
    <t>0029081</t>
  </si>
  <si>
    <t>J01XD01</t>
  </si>
  <si>
    <t>metronidazol</t>
  </si>
  <si>
    <t xml:space="preserve">ORVAGIL </t>
  </si>
  <si>
    <t>boca staklena, 1 po 100 ml (500 mg/100 ml)</t>
  </si>
  <si>
    <t>0029784</t>
  </si>
  <si>
    <t>METRONIDAZOLE B. BRAUN</t>
  </si>
  <si>
    <t xml:space="preserve"> rastvor za infuziju</t>
  </si>
  <si>
    <t>boca plastična, Ecoflac plus, 20 po 100 ml (5 mg/ml)</t>
  </si>
  <si>
    <t xml:space="preserve">B. Braun Melsungen AG; B. Braun Medical SA </t>
  </si>
  <si>
    <t>0029785</t>
  </si>
  <si>
    <t>METRONIDAZOL QUATALIA</t>
  </si>
  <si>
    <t>bočica staklena, 10 po 100 ml (500mg/100ml)</t>
  </si>
  <si>
    <t>0029786</t>
  </si>
  <si>
    <t>COLPOCIN-T</t>
  </si>
  <si>
    <t>boca plastična, 10 po 100 ml (5mg/ml)</t>
  </si>
  <si>
    <t>0029718</t>
  </si>
  <si>
    <t>METRONIDAZOL KABI</t>
  </si>
  <si>
    <t>Fresenius Kabi Polska Sp.Z.O.O.</t>
  </si>
  <si>
    <t>1.5 g</t>
  </si>
  <si>
    <t>0029901</t>
  </si>
  <si>
    <t>METRONIDAZOLE/VIOSER 500mg/100mL</t>
  </si>
  <si>
    <t>boca plastična, 10 po 100 ml (500mg/100ml)</t>
  </si>
  <si>
    <t>1029050</t>
  </si>
  <si>
    <t>J01XX08</t>
  </si>
  <si>
    <t>linezolid</t>
  </si>
  <si>
    <t>ZENIX</t>
  </si>
  <si>
    <t>blister, 10 po 600 mg</t>
  </si>
  <si>
    <t>1,2 g</t>
  </si>
  <si>
    <t>0029060</t>
  </si>
  <si>
    <t>boca staklena, 1 po 100 ml (2 mg/ml)</t>
  </si>
  <si>
    <t>0029061</t>
  </si>
  <si>
    <t>1029052</t>
  </si>
  <si>
    <t>ZYVOXID</t>
  </si>
  <si>
    <t>blister deljiv na pojedinačne doze, 10 po 600 mg</t>
  </si>
  <si>
    <t>Pfizer Manufacturing Deutschland GMBH</t>
  </si>
  <si>
    <t>0029063</t>
  </si>
  <si>
    <t>0327494</t>
  </si>
  <si>
    <t>J02AA01</t>
  </si>
  <si>
    <t>amfotericin B</t>
  </si>
  <si>
    <t>AMBISOME</t>
  </si>
  <si>
    <t>prašak za koncentrat za disperziju za infuziju</t>
  </si>
  <si>
    <t>bočica staklena, 10 po 50 mg</t>
  </si>
  <si>
    <t>Gilead Sciences INC.; Gilead Sciences Ireland UC</t>
  </si>
  <si>
    <t>SAD; Irska</t>
  </si>
  <si>
    <t>35 mg</t>
  </si>
  <si>
    <t>**; STAC</t>
  </si>
  <si>
    <t>0327312</t>
  </si>
  <si>
    <t>J02AC01</t>
  </si>
  <si>
    <t>flukonazol</t>
  </si>
  <si>
    <t>DIFLUCAN</t>
  </si>
  <si>
    <t>bočica staklena, 1 po 100 ml (2 mg/ml)</t>
  </si>
  <si>
    <t>Fareva Amboise</t>
  </si>
  <si>
    <t>0327357</t>
  </si>
  <si>
    <t>FLUCONAL</t>
  </si>
  <si>
    <t>0327001</t>
  </si>
  <si>
    <t>FLUCONAZOLE B.BRAUN</t>
  </si>
  <si>
    <t>kontejner plastični, Ecoflac plus, 10 po 100 ml (2mg/ml)</t>
  </si>
  <si>
    <t>0327000</t>
  </si>
  <si>
    <t>kontejner plastični, Ecoflac plus, 10 po 200 ml (2mg/ml)</t>
  </si>
  <si>
    <t>0327003</t>
  </si>
  <si>
    <t>DIFLUZOL</t>
  </si>
  <si>
    <t>bočica staklena, 1 po 100ml (2mg/ml)</t>
  </si>
  <si>
    <t>Pharmaceutical Balkans d.o.o. Novi Bečej</t>
  </si>
  <si>
    <t>0.2 g</t>
  </si>
  <si>
    <t>0327360</t>
  </si>
  <si>
    <t>FLUCOVEIN</t>
  </si>
  <si>
    <t>boca plastična, 1 po 100ml (2mg/ml)</t>
  </si>
  <si>
    <t>1327402</t>
  </si>
  <si>
    <t>J02AC02</t>
  </si>
  <si>
    <t>itrakonazol</t>
  </si>
  <si>
    <t>KANAZOL</t>
  </si>
  <si>
    <t xml:space="preserve">kapsula, tvrda </t>
  </si>
  <si>
    <t>J02AC03</t>
  </si>
  <si>
    <t>vorikonazol</t>
  </si>
  <si>
    <t>bočica staklena, 1 po 200 mg</t>
  </si>
  <si>
    <t>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</si>
  <si>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0327533</t>
  </si>
  <si>
    <t>ADEMOLA</t>
  </si>
  <si>
    <t>0327536</t>
  </si>
  <si>
    <t>VORAMOL</t>
  </si>
  <si>
    <t>Alvogen Pharma d.o.o; 
Anfarm Hellas S.A.;
Pharmathen S.A.; 
Pharmathen International SA</t>
  </si>
  <si>
    <t>Republika Srbija;
Grčka;
Grčka;
Grčka</t>
  </si>
  <si>
    <t>1327552</t>
  </si>
  <si>
    <t>blister, 14 po 200 mg</t>
  </si>
  <si>
    <t>Pharmathen S.A.; 
Pharmathen International SA</t>
  </si>
  <si>
    <t xml:space="preserve">
Grčka;
Grčka</t>
  </si>
  <si>
    <t>0327535</t>
  </si>
  <si>
    <t>VORIKONAZOL PLIVA</t>
  </si>
  <si>
    <t>Pliva Hrvatska d.o.o</t>
  </si>
  <si>
    <t>Hrvatska</t>
  </si>
  <si>
    <t>0.4g</t>
  </si>
  <si>
    <t>0327511</t>
  </si>
  <si>
    <t>VORIKONAZOL PHARMAS</t>
  </si>
  <si>
    <t>Anfarm Hellas S.A.; Pharmathen SA; Pharmathen International SA</t>
  </si>
  <si>
    <t>Grčka; Grčka; Grčka</t>
  </si>
  <si>
    <t>0.4 g</t>
  </si>
  <si>
    <t>0327354</t>
  </si>
  <si>
    <t>VORTIMAL</t>
  </si>
  <si>
    <t>3327535</t>
  </si>
  <si>
    <t>J02AC04</t>
  </si>
  <si>
    <t>posakonazol</t>
  </si>
  <si>
    <t>NOXAFIL</t>
  </si>
  <si>
    <t>oralna suspenzija</t>
  </si>
  <si>
    <t>bočica staklena, 1 po 105 ml (40mg/ml)</t>
  </si>
  <si>
    <t>Schering Plough</t>
  </si>
  <si>
    <t>800 mg</t>
  </si>
  <si>
    <t>Profilaksa invazivnih gljivičnih infekcija kod pacijenata primaoca matičnih ćelija hematopoeze koji primaju visoke doze imunosupresivne terapije, zbog reakcije protiv primaoca (graft versus host disease) i kod kojih postoji veliki rizik da će razviti invazivnu gljivičnu infekciju (Z94).</t>
  </si>
  <si>
    <t>STAC; Samo u zdravstvenim ustanovama koje obavljaju transplantaciju.</t>
  </si>
  <si>
    <t>POSACONAZOL ZENTIVA</t>
  </si>
  <si>
    <t>gastrorezistentna tableta</t>
  </si>
  <si>
    <t>blister, 24 po 100 mg</t>
  </si>
  <si>
    <t>Delorbis Pharmaceuticals LTD</t>
  </si>
  <si>
    <t xml:space="preserve">
Profilaksa invazivnih gljivičnih infekcija kod pacijenata primaoca matičnih ćelija hematopoeze koji primaju visoke doze imunosupresivne terapije, zbog reakcije protiv primaoca (graft versus host disease) i kod kojih postoji veliki rizik da će razviti invazivnu gljivičnu infekciju (Z94).</t>
  </si>
  <si>
    <t>0327560</t>
  </si>
  <si>
    <t>J02AX04</t>
  </si>
  <si>
    <t>kaspofungin</t>
  </si>
  <si>
    <t>CANCIDAS</t>
  </si>
  <si>
    <t>1 po 50 mg</t>
  </si>
  <si>
    <t xml:space="preserve"> **;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</si>
  <si>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0327561</t>
  </si>
  <si>
    <t>1 po 70 mg</t>
  </si>
  <si>
    <t>0327565</t>
  </si>
  <si>
    <t>DALVOCANS</t>
  </si>
  <si>
    <t>bočica staklena, 1 po 50 mg</t>
  </si>
  <si>
    <t xml:space="preserve">
Pharmathen SA; Elpen Pharmaceutical Co.Inc</t>
  </si>
  <si>
    <t>0327564</t>
  </si>
  <si>
    <t>bočica staklena, 1 po 70 mg</t>
  </si>
  <si>
    <t>0327566</t>
  </si>
  <si>
    <t>KASPOFUNGIN PHARMAS</t>
  </si>
  <si>
    <t>Pharmadox Healthcare Ltd.;
Galenicum Health, SL;
SAG Manufacturing, S.L.U</t>
  </si>
  <si>
    <t>0327569</t>
  </si>
  <si>
    <t>KASPOFUNGIN SK</t>
  </si>
  <si>
    <t>staklena bočica, 1 po 50 mg</t>
  </si>
  <si>
    <t>0327562</t>
  </si>
  <si>
    <t>J02AX05</t>
  </si>
  <si>
    <t>mikafungin-natrijum</t>
  </si>
  <si>
    <t>MYCAMINE</t>
  </si>
  <si>
    <t>Astellas Ireland Co. LTD</t>
  </si>
  <si>
    <t>0,1g</t>
  </si>
  <si>
    <t>1. Lečenje invazivnih kandidijaza;
2. Profilaksa Candida infekcija kod pacijenata podvrgnutih alogenoj transplantaciji matičnih ćelija (Z94).</t>
  </si>
  <si>
    <t>Za indikaciju pod tačkom 1. **;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
Za indikaciju pod tačkom 2. STAC; Samo u zdravstvenim ustanovama koje obavljaju transplantaciju.</t>
  </si>
  <si>
    <t>0327563</t>
  </si>
  <si>
    <t>Lečenje invazivnih kandidijaza.</t>
  </si>
  <si>
    <t>**; Samo u zdravstvenim ustanovama koje obavljaju zdravstvenu delatnost na tercijarnom nivou zdravstvene zaštite, u zdravstvenim ustanovama koje obavljaju zdravstvenu delatnost na sekundardnom nivou zdravstvene zaštite lek se može propisati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na osnovu mišljenja tercijarne zdravstvene ustanove a za nastavak lečenja koje je u njoj započeto.</t>
  </si>
  <si>
    <t>0327571</t>
  </si>
  <si>
    <t>mikafungin</t>
  </si>
  <si>
    <t>0327570</t>
  </si>
  <si>
    <t>bočica staklena, 1 po 100 mg</t>
  </si>
  <si>
    <t>0327500</t>
  </si>
  <si>
    <t>J02AX06</t>
  </si>
  <si>
    <t>anidulafungin</t>
  </si>
  <si>
    <t>ECALTA</t>
  </si>
  <si>
    <t>**;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</si>
  <si>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0328270</t>
  </si>
  <si>
    <t>J05AB01</t>
  </si>
  <si>
    <t>aciklovir</t>
  </si>
  <si>
    <t xml:space="preserve">ZOVIRAX </t>
  </si>
  <si>
    <t>bočica, 5 po 250 mg</t>
  </si>
  <si>
    <t>0328271</t>
  </si>
  <si>
    <t>ACICLOVIR ALTAN</t>
  </si>
  <si>
    <t>bočica staklena, 50 po 250 mg</t>
  </si>
  <si>
    <t>0328272</t>
  </si>
  <si>
    <t>ACICLOVIR TEDEC</t>
  </si>
  <si>
    <t>ampula, 50 po 10 ml (25mg/ml)</t>
  </si>
  <si>
    <t>Meiji Pharma Spain, S.A.</t>
  </si>
  <si>
    <t>4g</t>
  </si>
  <si>
    <t>1328610</t>
  </si>
  <si>
    <t>J05AB14</t>
  </si>
  <si>
    <t>valganciklovir</t>
  </si>
  <si>
    <t>VALCYTE</t>
  </si>
  <si>
    <t>Prevencija CMV bolesti kod CMV - negativnih pacijenata koji su primili transplantirani solidni organ od CMV - pozitivnog davaoca (Z94)</t>
  </si>
  <si>
    <t>900 mg</t>
  </si>
  <si>
    <t>0010200</t>
  </si>
  <si>
    <t>J06AA03</t>
  </si>
  <si>
    <t>antiserum protiv zmijskog otrova (konjski )</t>
  </si>
  <si>
    <t>VIEKVIN</t>
  </si>
  <si>
    <t>bočica staklena,1 po 5 ml</t>
  </si>
  <si>
    <t>Institut za virusologiju, vakcine i serume "Torlak"</t>
  </si>
  <si>
    <t>0013553</t>
  </si>
  <si>
    <t>J06BA01</t>
  </si>
  <si>
    <t>humani normalni imunoglobulin</t>
  </si>
  <si>
    <t>GAMMANORM</t>
  </si>
  <si>
    <t>bočica staklena, 1 po 10ml (165mg/ml)</t>
  </si>
  <si>
    <t>Lek se uvodi u terapiju na osnovu mišljenja tri lekara specijaliste odgovarajuće grane medicine uz potpis načelnika i direktora zdravstvene ustanove koja obavlja zdravstvenu delatnost na tercijarnom nivou, a nastavak terapije, po potrebi u zdravstvenoj ustanovi koja obavlja zdravstvenu delatnost na sekundarnom nivou.</t>
  </si>
  <si>
    <t>0013555</t>
  </si>
  <si>
    <t>bočica staklena, 1 po 20ml (165mg/ml)</t>
  </si>
  <si>
    <t>0013002</t>
  </si>
  <si>
    <t>HIZENTRA</t>
  </si>
  <si>
    <t>bočica staklena, 1 po 5mL (200mg/mL)</t>
  </si>
  <si>
    <t>CSL Behring AG</t>
  </si>
  <si>
    <t>0013001</t>
  </si>
  <si>
    <t>bočica staklena, 1 po 10mL (200mg/mL)</t>
  </si>
  <si>
    <t>0013000</t>
  </si>
  <si>
    <t>bočica staklena, 1 po 20mL (200mg/mL)</t>
  </si>
  <si>
    <t>0013030</t>
  </si>
  <si>
    <t>CUTAQUIG</t>
  </si>
  <si>
    <t>bočica staklena, 1 po 6mL (165mg/mL)</t>
  </si>
  <si>
    <t>Octapharma Pharmazeutika Produktionsgesellschaft M.B.H.;
Octapharm AB</t>
  </si>
  <si>
    <t>Austrija;
Švedska</t>
  </si>
  <si>
    <t>0013031</t>
  </si>
  <si>
    <t>bočica staklena, 1 po 12mL (165mg/mL)</t>
  </si>
  <si>
    <t>0013032</t>
  </si>
  <si>
    <t>bočica staklena, 1 po 24mL (165mg/mL)</t>
  </si>
  <si>
    <t>0013033</t>
  </si>
  <si>
    <t>bočica staklena, 1 po 48mL (165mg/mL)</t>
  </si>
  <si>
    <t>0013510</t>
  </si>
  <si>
    <t>J06BA02</t>
  </si>
  <si>
    <t>humani normalni imunoglobulin za intravensku upotrebu</t>
  </si>
  <si>
    <t>OCTAGAM</t>
  </si>
  <si>
    <t>boca staklena, 1 po 50 ml (50 mg/ml)</t>
  </si>
  <si>
    <t>STAC; Lek se uvodi u terapiju na osnovu mišljenja tri lekara specijaliste odgovarajuće grane medicine uz potpis načelnika i direktora zdravstvene ustanove koja obavlja zdravstvenu delatnost na tercijarnom nivou, a nastavak terapije, po potrebi u zdravstvenoj ustanovi koja obavlja zdravstvenu delatnost na sekundarnom nivou.</t>
  </si>
  <si>
    <t>0013511</t>
  </si>
  <si>
    <t>boca staklena, 1 po 100 ml (50 mg/ml)</t>
  </si>
  <si>
    <t>0013602</t>
  </si>
  <si>
    <t>INTRATECT</t>
  </si>
  <si>
    <t>bočica staklena, 1 po 50 ml (50 mg/ml)</t>
  </si>
  <si>
    <t>0013600</t>
  </si>
  <si>
    <t>bočica staklena, 1 po 100 ml (50 mg/ml)</t>
  </si>
  <si>
    <t>0013601</t>
  </si>
  <si>
    <t>bočica staklena, 1 po 200 ml (50 mg/ml)</t>
  </si>
  <si>
    <t>0013505</t>
  </si>
  <si>
    <t>KIOVIG</t>
  </si>
  <si>
    <t>bočica staklena, 1 po 100 ml (10%)</t>
  </si>
  <si>
    <t>0013507</t>
  </si>
  <si>
    <t>bočica staklena, 1 po 50 ml (10%)</t>
  </si>
  <si>
    <t>0013506</t>
  </si>
  <si>
    <t>bočica staklena, 1 po 25 ml (10%)</t>
  </si>
  <si>
    <t>0013605</t>
  </si>
  <si>
    <t>humani normalni imunoglobulin za intravensku primenu</t>
  </si>
  <si>
    <t>PRIVIGEN</t>
  </si>
  <si>
    <t>bočica staklena, 1 po 25 ml (100 mg/ml)</t>
  </si>
  <si>
    <t>0013606</t>
  </si>
  <si>
    <t>bočica staklena, 1 po 50 ml (100 mg/ml)</t>
  </si>
  <si>
    <t>0013607</t>
  </si>
  <si>
    <t>bočica staklena, 1 po 100 ml (100 mg/ml)</t>
  </si>
  <si>
    <t>0013609</t>
  </si>
  <si>
    <t>bočica staklena, 1 po 20 ml (50mg/ml)</t>
  </si>
  <si>
    <t>Biotest Pharma GmBH</t>
  </si>
  <si>
    <t>0013355</t>
  </si>
  <si>
    <t>FLEBOGAMMA 5% DIF</t>
  </si>
  <si>
    <t>bočica staklena, 1 po 10 ml (50 mg/ml)</t>
  </si>
  <si>
    <t>Instituto Grifols S.A.</t>
  </si>
  <si>
    <t>0013356</t>
  </si>
  <si>
    <t>0013357</t>
  </si>
  <si>
    <t>0013358</t>
  </si>
  <si>
    <t>boca staklena, 1 po 200 ml (50 mg/ml)</t>
  </si>
  <si>
    <t>0013359</t>
  </si>
  <si>
    <t>boca staklena, 1 po 400 ml (50 mg/ml)</t>
  </si>
  <si>
    <t>0013364</t>
  </si>
  <si>
    <t>FLEBOGAMMA 10% DIF</t>
  </si>
  <si>
    <t>0013361</t>
  </si>
  <si>
    <t>0013362</t>
  </si>
  <si>
    <t>boca staklena, 1 po 200 ml (100 mg/ml)</t>
  </si>
  <si>
    <t>0013208</t>
  </si>
  <si>
    <t>IG VENA</t>
  </si>
  <si>
    <t>0013508</t>
  </si>
  <si>
    <t>0013408</t>
  </si>
  <si>
    <t>0013308</t>
  </si>
  <si>
    <t>J06BB01</t>
  </si>
  <si>
    <t>anti-D (Rho) imunoglobulin, humani</t>
  </si>
  <si>
    <t>0013445</t>
  </si>
  <si>
    <t>RHOPHYLAC 300</t>
  </si>
  <si>
    <t>napunjen injekcioni špric, 1 po 2 ml (300 mcg/2 ml)</t>
  </si>
  <si>
    <t>0013450</t>
  </si>
  <si>
    <t>IMMUNORHO</t>
  </si>
  <si>
    <t>bočica sa praškom i ampula sa rastvaračem, 1 po 2 ml (300mcg/2ml)</t>
  </si>
  <si>
    <t>0013168</t>
  </si>
  <si>
    <t>J06BB02</t>
  </si>
  <si>
    <t>tetanus imunoglobulin, humani</t>
  </si>
  <si>
    <t>TETAGAM P</t>
  </si>
  <si>
    <t>napunjen injekcioni špric, 1 po 1ml (250 i.j./ml)</t>
  </si>
  <si>
    <t>0013434</t>
  </si>
  <si>
    <t xml:space="preserve">TETANUS GAMMA </t>
  </si>
  <si>
    <t xml:space="preserve"> napunjen injekcioni špric, 1 po 1 ml (250 i.j./1 ml)</t>
  </si>
  <si>
    <t>0013317</t>
  </si>
  <si>
    <t>J06BB04</t>
  </si>
  <si>
    <t>humani hepatitis B imunoglobulin za intravensku primenu</t>
  </si>
  <si>
    <t>HEPATECT CP</t>
  </si>
  <si>
    <t>bočica staklena, 1 po 2 ml (50 i.j./ml)</t>
  </si>
  <si>
    <t>0013318</t>
  </si>
  <si>
    <t>bočica staklena, 1 po 10 ml (50 i.j./ml)</t>
  </si>
  <si>
    <t>0013319</t>
  </si>
  <si>
    <t>bočica staklena, 1 po 40 ml (50 i.j./ml)</t>
  </si>
  <si>
    <t>0013456</t>
  </si>
  <si>
    <t>humani hepatitis B imunoglobulin za intravensku upotrebu</t>
  </si>
  <si>
    <t>VENBIG</t>
  </si>
  <si>
    <t xml:space="preserve">bočica sa praškom i bočica sa rastvaračem, 1 po 45 ml (50i.j./ml) </t>
  </si>
  <si>
    <t>0013455</t>
  </si>
  <si>
    <t xml:space="preserve">bočica sa praškom i bočica sa rastvaračem, 1 po 10 ml (50i.j./ml) </t>
  </si>
  <si>
    <t>0013451</t>
  </si>
  <si>
    <t>hepatitis B imunoglobulin, humani</t>
  </si>
  <si>
    <t>IMMUNOHBS</t>
  </si>
  <si>
    <t>bočica staklena, 1 po 1 ml (180i.j./ml)</t>
  </si>
  <si>
    <t>0013452</t>
  </si>
  <si>
    <t>bočica staklena, 1 po 3 ml (540i.j./3ml)</t>
  </si>
  <si>
    <t>0013289</t>
  </si>
  <si>
    <t>J06BB16</t>
  </si>
  <si>
    <t>palivizumab</t>
  </si>
  <si>
    <t>SYNAGIS</t>
  </si>
  <si>
    <t>bočica staklena, 1 po 0,5 ml (100mg/ml)</t>
  </si>
  <si>
    <t>Abbvie S.R.L.</t>
  </si>
  <si>
    <t>Prema programu obavezne imunizacije.</t>
  </si>
  <si>
    <t>0011147</t>
  </si>
  <si>
    <t>J07AJ51</t>
  </si>
  <si>
    <t>vakcina protiv difterije, tetanusa i velikog kašlja, adsorbovana</t>
  </si>
  <si>
    <t>ALDIPETE-T</t>
  </si>
  <si>
    <t xml:space="preserve">bočica, 10x5ml (30i.j. (najmanje)+40i.j. (najmanje)+4i.j. (najmanje))/0.5mL; </t>
  </si>
  <si>
    <t>0011960</t>
  </si>
  <si>
    <t>J07AL01</t>
  </si>
  <si>
    <t>pneumokokna polisaharidna vakcina</t>
  </si>
  <si>
    <t>PNEUMOVAX 23</t>
  </si>
  <si>
    <t>napunjen injekcioni špric, 1 po 0,5 ml (25mcg/0,5mL + 25mcg/0,5mL + 25mcg/0,5mL + 25mcg/0,5mL + 25mcg/0,5mL + 25mcg/0,5mL + 25mcg/0,5mL + 25mcg/0,5mL + 25mcg/0,5mL + 25mcg/0,5mL + 25mcg/0,5mL + 25mcg/0,5mL + 25mcg/0,5mL + 25mcg/0,5mL + 25mcg/0,5mL + 25mcg/0,5mL + 25mcg/0,5mL + 25mcg/0,5mL + 25mcg/0,5mL + 25mcg/0,5mL + 25mcg/0,5mL + 25mcg/0,5mL + 25mcg/0,5mL)</t>
  </si>
  <si>
    <t>0011935</t>
  </si>
  <si>
    <t>J07AL02</t>
  </si>
  <si>
    <t>pneumokokna polisaharidna konjugovana vakcina, adsorbovana</t>
  </si>
  <si>
    <t>PREVENAR 13</t>
  </si>
  <si>
    <t>suspenzija za injekciju u napunjenom injekcionom špricu</t>
  </si>
  <si>
    <t>napunjen injekcioni špric sa iglom, 1 po 0,5 ml (2,2 mcg/0,5 ml + 2,2 mcg/0,5 ml + 2,2 mcg/0,5 ml + 2,2 mcg/0,5 ml + 2,2 mcg/0,5 ml + 4,4 mcg/0,5 ml + 2,2 mcg/0,5 ml + 2,2 mcg/0,5 ml + 2,2 mcg/0,5 ml + 2,2 mcg/0,5 ml + 2,2 mcg/0,5 ml + 2,2 mcg/0,5 ml + 2,2 mcg/0,5 ml + 32 mcg/0,5 ml)</t>
  </si>
  <si>
    <t>0011860</t>
  </si>
  <si>
    <t>J07AL52</t>
  </si>
  <si>
    <t>SYNFLORIX</t>
  </si>
  <si>
    <t>napunjen injekcioni špric 1 po 0,5 ml (1 mcg/0,5 ml + 3 mcg/0,5 ml + 1 mcg/0,5 ml + 1 mcg/0,5 ml + 1 mcg/0,5 ml + 1 mcg/0,5 ml + 1 mcg/0,5 ml + 3 mcg/0,5 ml + 3 mcg/0,5 ml + 1 mcg/0,5 ml</t>
  </si>
  <si>
    <t>GlaxoSmithKline Biologicals S.A.</t>
  </si>
  <si>
    <t>0011841</t>
  </si>
  <si>
    <t>J07AM01</t>
  </si>
  <si>
    <t>vakcina protiv tetanusa, adsorbovana</t>
  </si>
  <si>
    <t>TETAVAKSAL T</t>
  </si>
  <si>
    <t>10 po 0,5 ml (najmanje 40 i.j./0,5 ml)</t>
  </si>
  <si>
    <t>0011017</t>
  </si>
  <si>
    <t>J07AM51</t>
  </si>
  <si>
    <t xml:space="preserve">vakcina protiv tetanusa i difterije, adsorbovana                                                                </t>
  </si>
  <si>
    <t>DITEVAKSAL-T ZA ODRASLE</t>
  </si>
  <si>
    <t>bočica staklena, 5 po 5mL (najmanje 40i.j./0.5mL+ najviše 30i.j./0.5mL)</t>
  </si>
  <si>
    <t>0011831</t>
  </si>
  <si>
    <t xml:space="preserve">vakcina protiv difterije i tetanusa, adsorbovana                                                                   </t>
  </si>
  <si>
    <t>DITEVAKSAL-T</t>
  </si>
  <si>
    <t>10 po 5 ml (najmanje 30 i.j./0,5ml + najmanje 40 i.j./0,5 ml)</t>
  </si>
  <si>
    <t>0011185</t>
  </si>
  <si>
    <t>J07AN01</t>
  </si>
  <si>
    <t>vakcina protiv tuberkuloze</t>
  </si>
  <si>
    <t>BCG VAKCINA, LIOFILIZOVANA</t>
  </si>
  <si>
    <t>bočica sa rastvaračem u ampuli 5 po 1 ml, 1mg/mL</t>
  </si>
  <si>
    <t>J07BB02</t>
  </si>
  <si>
    <t>Abbott Biologicals B.V.</t>
  </si>
  <si>
    <t>0011938</t>
  </si>
  <si>
    <t>četvorovalentna vakcina protiv gripa (fragmentisani virus, inaktivisana)</t>
  </si>
  <si>
    <t>VAXIGRIP TETRA</t>
  </si>
  <si>
    <t>napunjen injekcioni špric, 1 po 0.5 ml (15mcg/0.5ml+15mcg/0.5ml+15mcg/0.5ml+15mcg/0.5ml)</t>
  </si>
  <si>
    <t>0011940</t>
  </si>
  <si>
    <t>vakcina protiv gripa (površinski antigen, inaktivisana)</t>
  </si>
  <si>
    <t>INFLUVAC TETRA</t>
  </si>
  <si>
    <t xml:space="preserve"> napunjeni injekcioni špric, 1x0.5ml, 15mcg/doza+15mcg/doza+15mcg/doza+15mcg/doza</t>
  </si>
  <si>
    <t>0011941</t>
  </si>
  <si>
    <t xml:space="preserve"> napunjeni injekcioni špric, 10x0.5ml, 15mcg/doza+15mcg/doza+15mcg/doza+15mcg/doza</t>
  </si>
  <si>
    <t>0011995</t>
  </si>
  <si>
    <t>vakcina protiv gripa (fragmentisani virus, inaktivisana)</t>
  </si>
  <si>
    <t>TORVAXFLU</t>
  </si>
  <si>
    <t>napunjen injekcioni špric, 1 po 0,5 ml (15mcg/0,5ml + 15mcg/0,5ml + 15mcg/0,5ml)</t>
  </si>
  <si>
    <t>Institut za virusologiju, vakcine i serume Torlak</t>
  </si>
  <si>
    <t>0011910</t>
  </si>
  <si>
    <t>J07BC01</t>
  </si>
  <si>
    <t>vakcina protiv hepatitisa B, rekombinantna</t>
  </si>
  <si>
    <t>ENGERIX B</t>
  </si>
  <si>
    <t>bočica, 100 po 1ml 20mcg/ml</t>
  </si>
  <si>
    <t>GlaxoSmithKline Biologicals S.A</t>
  </si>
  <si>
    <t>0011911</t>
  </si>
  <si>
    <t>vakcina protiv hepatitisa B, rekombinovana</t>
  </si>
  <si>
    <t>bočica, 100 po 0.5 ml (10mcg/0.5ml)</t>
  </si>
  <si>
    <t>0011904</t>
  </si>
  <si>
    <t>EUVAX B</t>
  </si>
  <si>
    <t>bočica, 1 po 1 ml (20 mcg/ml)</t>
  </si>
  <si>
    <t>LG Chem, LTD.</t>
  </si>
  <si>
    <t>Južna Koreja</t>
  </si>
  <si>
    <t>0011907</t>
  </si>
  <si>
    <t>bočica, 1 po 0.5 ml (10 mcg/0,5 ml)</t>
  </si>
  <si>
    <t>0011906</t>
  </si>
  <si>
    <t>bočica, 10 po 0,5 ml (10 mcg/0,5 ml)</t>
  </si>
  <si>
    <t>0011905</t>
  </si>
  <si>
    <t>bočica, 10 po 1 ml (20 mcg/1 ml)</t>
  </si>
  <si>
    <t>0011866</t>
  </si>
  <si>
    <t>J07BD52</t>
  </si>
  <si>
    <t>vakcina protiv malih boginja,crvenke i zauški (živi atenuisani virusi morbila, rubeole i parotitisa)</t>
  </si>
  <si>
    <t>PRIORIX</t>
  </si>
  <si>
    <t>bočica sa praškom i  ampula sa rastvarača, 1 po 0,5 ml (10 exp3 CCID50/0,5 ml + 10 exp3,7 CCID50/0,5 ml + 10 exp3 CCID50/0,5 ml)</t>
  </si>
  <si>
    <t>0011909</t>
  </si>
  <si>
    <t>vakcina protiv malih boginja,crvenke i zauški (živi atenuirani virusi morbila, rubeole i parotitisa)</t>
  </si>
  <si>
    <t>bočica sa praškom i  ampula sa rastvaračem, 100 po 0,5 ml (10 exp3 CCID50/0,5 ml + 10 exp3,7 CCID50/0,5 ml + 10 exp3 CCID50/0,5 ml)</t>
  </si>
  <si>
    <t>0011955</t>
  </si>
  <si>
    <t>vakcina protiv malih boginja, zauški i rubele</t>
  </si>
  <si>
    <t>M-M-R-VAXPRO</t>
  </si>
  <si>
    <t xml:space="preserve">prašak i rastvarač za suspenziju za injekciju u napunjenom injekcionom špricu </t>
  </si>
  <si>
    <t>bočica sa praškom i napunjeni injekcioni špric sa rastvaračem, 10 po 0,5 ml (3logTCID50/0,5 ml + 4,1logTCID50/0,5 ml + 3logTCID50/0,5 ml)</t>
  </si>
  <si>
    <t>0011895</t>
  </si>
  <si>
    <t>J07BF03</t>
  </si>
  <si>
    <t>vakcina protiv poliomijelitisa, inaktivisana</t>
  </si>
  <si>
    <t>IMOVAX POLIO</t>
  </si>
  <si>
    <t>napunjen injekcioni špric,1 po 0,5 ml (40 D.j./0,5 ml + 8 D.j./0,5 ml + 32 D.j./0,5 ml)</t>
  </si>
  <si>
    <t>Mađarska; Francuska; Francuska</t>
  </si>
  <si>
    <t>prašak i rastvarač za suspenziju za injekciju u napunjenom injekcionom špricu</t>
  </si>
  <si>
    <t>Francuska; Francuska; Mađarska</t>
  </si>
  <si>
    <t>0011927</t>
  </si>
  <si>
    <t>J07BK01</t>
  </si>
  <si>
    <t>vakcina protiv varičele, živa</t>
  </si>
  <si>
    <t xml:space="preserve">VARILRIX </t>
  </si>
  <si>
    <t>bočica i rastvarač u napunjenom injekcionom špricu, 1 po 0.5 ml (10exp3.3PFU/0.5ml)</t>
  </si>
  <si>
    <t>0011957</t>
  </si>
  <si>
    <t>VARIVAX</t>
  </si>
  <si>
    <t>1350 PFU/0.5ml,  bočica sa praškom i napunjeni injekcioni špric sa rastvaračem, 1 po 0,5ml</t>
  </si>
  <si>
    <t>Merck Sharp &amp; Dhome B.V.</t>
  </si>
  <si>
    <t>0011804</t>
  </si>
  <si>
    <t>J07BM03</t>
  </si>
  <si>
    <t>9-ovalentna vakcina protiv humanog papilomavirusa (rekombinantna, adsorbovana)</t>
  </si>
  <si>
    <t>GARDASIL 9</t>
  </si>
  <si>
    <t>napunjen injekcioni špric, 1 po 0.5 mL (30mcg/0.5mL + 40mcg/0.5mL + 60mcg/0.5mL + 40mcg/0.5mL + 20mcg/0.5mL  + 20mcg/0.5mL + 20mcg/0.5mL + 20mcg/0.5mL + 20mcg/0.5mL)</t>
  </si>
  <si>
    <t>Prema programu preporučene imunizacije.</t>
  </si>
  <si>
    <t>0011928</t>
  </si>
  <si>
    <t>J07CA02</t>
  </si>
  <si>
    <t>vakcina protiv difterije, pertusisa, dečje paralize (inaktivisana) i tetanusa</t>
  </si>
  <si>
    <t>TETRAXIM</t>
  </si>
  <si>
    <t>napunjeni injekcioni špric sa dodatkom jedne ili dve igle, 1 po 0.5ml (30i.j./0.5ml + 25mcg/0.5ml + 25mcg/0.5ml + 40D.j./0.5ml + 8D.j./0.5ml + 32D.j./0.5ml + 40i.j./0.5ml)</t>
  </si>
  <si>
    <t>0011925</t>
  </si>
  <si>
    <t>J07CA06</t>
  </si>
  <si>
    <t>vakcina protiv difterije, tetanusa, pertusisa (acelularna), poliomijelitisa (inaktivisana) i Haemophilus influenzae tip b (konjugovana, adsorbovana), kombinovana</t>
  </si>
  <si>
    <t>INFANRIX-IPV+Hib</t>
  </si>
  <si>
    <t>prašak i suspenzija za suspenziju za injekciju</t>
  </si>
  <si>
    <t>napunjen injekcioni špric i bočica, 1 po 0,5 ml (30 i.j./0,5 ml + 25 mcg/0,5 ml + 40 D.j/0,5 ml + 8 D.j./0,5 ml + 32 D.j./0,5 ml + 25 mcg/0,5 ml + 8 mcg/0,5 ml + 40 i.j./0,5 ml + 10 mcg PRP/0,5 ml i 20-40 mcg T/0,5 ml</t>
  </si>
  <si>
    <t>0011929</t>
  </si>
  <si>
    <t>vakcina protiv difterije, tetanusa, velikog kašlja (acelularna, komponentna), dečje paralize (inaktivisana) i vakcina protiv  Haemophilusa tip b (konjugovana, adsorbovana)</t>
  </si>
  <si>
    <t>PENTAXIM</t>
  </si>
  <si>
    <t xml:space="preserve">prašak i suspenzija za suspenziju za injekciju u napunjenom injekcionom špricu sa dodatkom jedne ili dve igle </t>
  </si>
  <si>
    <t>bočica i napunjeni injekcioni špric sa dodatkom jedne ili dve igle, 1 po 0,5 ml (30 i.j./0, 5 ml + 40 i.j./0,5 ml + 25 mcg/0,5 ml + 25 mcg/0,5 ml  + 40 D.j/0,5 ml + 8 D.j./0,5 ml + 32 D.j./0,5 ml + 10 mcg/0,5 ml)</t>
  </si>
  <si>
    <t>0031500</t>
  </si>
  <si>
    <t>L01AA01</t>
  </si>
  <si>
    <t>ciklofosfamid</t>
  </si>
  <si>
    <t>ENDOXAN</t>
  </si>
  <si>
    <t>Baxter Oncology GmbH</t>
  </si>
  <si>
    <t>0031501</t>
  </si>
  <si>
    <t>0031051</t>
  </si>
  <si>
    <t>L01AA06</t>
  </si>
  <si>
    <t>ifosfamid</t>
  </si>
  <si>
    <t>HOLOXAN</t>
  </si>
  <si>
    <t>0031020</t>
  </si>
  <si>
    <t>L01AA09</t>
  </si>
  <si>
    <t>bendamustin</t>
  </si>
  <si>
    <t>BENDAMUSTIN KABI</t>
  </si>
  <si>
    <t>bočica staklena, 1 po 25 mg</t>
  </si>
  <si>
    <t>Fresenius Oncology PLC; Fresenius Kabi Deutchland GmbH</t>
  </si>
  <si>
    <t>Velika Britanija; Nemačka</t>
  </si>
  <si>
    <t>Hronična limfocitna leukemija.</t>
  </si>
  <si>
    <t>bočica staklena, 5 po 25 mg</t>
  </si>
  <si>
    <t>0031023</t>
  </si>
  <si>
    <t>boca staklena, 1 po 100 mg</t>
  </si>
  <si>
    <t>0031013</t>
  </si>
  <si>
    <t>BENMAK</t>
  </si>
  <si>
    <t>Synthon S.R.O.; Synthon Hispania, S.L.</t>
  </si>
  <si>
    <t>Češka; Španija</t>
  </si>
  <si>
    <t>0031014</t>
  </si>
  <si>
    <t>bočica staklena, 5 po 100 mg</t>
  </si>
  <si>
    <t>0031025</t>
  </si>
  <si>
    <t>BENDAMUSTIN ALKALOID</t>
  </si>
  <si>
    <t>0031026</t>
  </si>
  <si>
    <t>0031032</t>
  </si>
  <si>
    <t>L01AD01</t>
  </si>
  <si>
    <t>karmustin</t>
  </si>
  <si>
    <t>CARMUSTINE UNI-CHEM</t>
  </si>
  <si>
    <t>bočica sa praškom i bočica sa rastvaračem, 1 po 3mL (100mg/3mL)</t>
  </si>
  <si>
    <t>Emcure Pharma UK Limited;
Mias Pharma Limited</t>
  </si>
  <si>
    <t>Velika Britanija;
Irska</t>
  </si>
  <si>
    <t>L01AX03</t>
  </si>
  <si>
    <t>temozolomid</t>
  </si>
  <si>
    <t>TEMODAL ◊</t>
  </si>
  <si>
    <t>kapsula tvrda</t>
  </si>
  <si>
    <t>kesica, 5 po 5 mg</t>
  </si>
  <si>
    <t>Shering-Plough Labo N.V</t>
  </si>
  <si>
    <t xml:space="preserve"> Glioblastoma multiforme, PS 0 ili 1 (ECOG) kao postoperativna terapija u dozi od 75 mg/m² dnevno, istovremeno sa zračnom terapijom. Po završenom zračenju, lečenje nastaviti temozolomidom u dozi od 150/200 mg/m² dnevno od prvog do petog dana ciklusa koji traje 28 dana, ukupno šest ciklusa. Započinjanje hemioterapije se vrši po uvidu u MRI (ili CT sa kontrastom) učinjen 3-4 nedelja posle operativnog lečenja, na konzilijumu referentne ustanove, pod uslovom da je PS  pacijenta 0 ili 1.</t>
  </si>
  <si>
    <t xml:space="preserve"> Lek se uvodi u terapiju na osnovu mišljenja tri lekara sledećih zdravstvenih ustanova:
   - Klinika za neurohirurgiju UKC Srbije,
   - Institut za onkologiju i radiologiju Srbije,
   - Institut za onkologiju Vojvodine,
   - Klinika za onkologiju UKC Niš, 
   - UKC Kragujevac.
   - Vojnomedicinska akademija.
Nastavak terapije u zdravstvenim ustanovama, koje obavljaju zdravstvenu delatnost na sekundarnom nivou, a u kojima postoji specijalista neurohirurg ili zdravstvenim ustanovama koje obavljaju zdravstvenu delatnost na tercijarnom nivou, u mestu prebivališta osiguranog lica.</t>
  </si>
  <si>
    <t>kesica, 5 po 20 mg</t>
  </si>
  <si>
    <t>kesica, 5 po 100 mg</t>
  </si>
  <si>
    <t>kesica, 5 po 250 mg</t>
  </si>
  <si>
    <t>0039031</t>
  </si>
  <si>
    <t>L01AX04</t>
  </si>
  <si>
    <t>dakarbazin</t>
  </si>
  <si>
    <t xml:space="preserve">Medac Gesellschaft fur Klinische Spezialpraparate M.B.H </t>
  </si>
  <si>
    <t>0039030</t>
  </si>
  <si>
    <t>0039032</t>
  </si>
  <si>
    <t>Medac Gesellschaft fur klinische Spezialpraparate M.B.H.</t>
  </si>
  <si>
    <t>0039033</t>
  </si>
  <si>
    <t>0034180</t>
  </si>
  <si>
    <t>L01BA01</t>
  </si>
  <si>
    <t>metotreksat</t>
  </si>
  <si>
    <t>METHOTREXATE PFIZER</t>
  </si>
  <si>
    <t xml:space="preserve"> bočica plastična, 5 po 2 ml (50 mg/2 ml)</t>
  </si>
  <si>
    <t>Australija</t>
  </si>
  <si>
    <t>0034181</t>
  </si>
  <si>
    <t xml:space="preserve"> bočica plastična, 1 po 20 ml (500 mg/20 ml)</t>
  </si>
  <si>
    <t>METOJECT</t>
  </si>
  <si>
    <t>0034338</t>
  </si>
  <si>
    <t>METHOTREXAT EBEWE</t>
  </si>
  <si>
    <t>napunjen injekcioni špric 1 po 0,75ml (15mg/0,75ml)</t>
  </si>
  <si>
    <t>Ebewe Pharma Ges.M.B.H NFG. KG</t>
  </si>
  <si>
    <t>0034332</t>
  </si>
  <si>
    <t>napunjen injekcioni špric 1 po 1ml (20mg/1ml)</t>
  </si>
  <si>
    <t>0034157</t>
  </si>
  <si>
    <t>L04AX03</t>
  </si>
  <si>
    <t>napunjen injekcioni špric, 1 po 0.3mL (50mg/mL)</t>
  </si>
  <si>
    <t>Medac Gesellschaft Fur Klinische Spezialpreparate M.B.H.</t>
  </si>
  <si>
    <t>2.5 mg</t>
  </si>
  <si>
    <t>0034156</t>
  </si>
  <si>
    <t>napunjen injekcioni špric, 1 po 0.4mL (50mg/mL)</t>
  </si>
  <si>
    <t>0034155</t>
  </si>
  <si>
    <t>napunjen injekcioni špric, 1 po 0.5mL (50mg/mL)</t>
  </si>
  <si>
    <t>0034025</t>
  </si>
  <si>
    <t>L01BB04</t>
  </si>
  <si>
    <t>kladribin</t>
  </si>
  <si>
    <t xml:space="preserve">LITAK </t>
  </si>
  <si>
    <t>Lipomed AG</t>
  </si>
  <si>
    <t>0034800</t>
  </si>
  <si>
    <t>L01BB05</t>
  </si>
  <si>
    <t>fludarabin</t>
  </si>
  <si>
    <t>FLUDARABINE PLIVA ◊</t>
  </si>
  <si>
    <t>koncentrat za rastvor za injekciju/infuziju</t>
  </si>
  <si>
    <t>bočica staklena, 1 po 2 ml (25 mg/ml)</t>
  </si>
  <si>
    <t>Pharmachemie B.V; Pliva Hrvatska d.o.o.</t>
  </si>
  <si>
    <t>Holandija; Hrvatska</t>
  </si>
  <si>
    <t xml:space="preserve">Hronična limfocitna leukemija i nehočkinski limfomi (folikularni limfomi, limfomi marginalne zone, MANTLE ćelijski limfom, limfoplazmocitni limfom). </t>
  </si>
  <si>
    <t>0034019</t>
  </si>
  <si>
    <t>FLUDARABIN EBEWE ◊</t>
  </si>
  <si>
    <t>bočica staklena, 1 po 2 ml (50 mg/2 ml)</t>
  </si>
  <si>
    <t>Hronična limfocitna leukemija i nehočkinski limfomi (folikularni limfomi, limfomi marginalne zone, MANTLE ćelijski limfom, limfoplazmocitni limfom).</t>
  </si>
  <si>
    <t>0034140</t>
  </si>
  <si>
    <t>L01BC01</t>
  </si>
  <si>
    <t>citarabin</t>
  </si>
  <si>
    <t>CYTOSAR</t>
  </si>
  <si>
    <t xml:space="preserve">bočica sa praškom i ampula sa rastvaračem,1 po 5 ml (100 mg/5 ml)  </t>
  </si>
  <si>
    <t>0034141</t>
  </si>
  <si>
    <t>bočica sa praškom i ampula sa rastvaračem; 1 po 10 ml (500 mg/10 ml)</t>
  </si>
  <si>
    <t>0034142</t>
  </si>
  <si>
    <t xml:space="preserve">bočica staklena,1 po 1 g </t>
  </si>
  <si>
    <t>0034351</t>
  </si>
  <si>
    <t>ALEXAN Ebewe</t>
  </si>
  <si>
    <t>bočica staklena,1 po 500 mg/10 ml</t>
  </si>
  <si>
    <t>L01BC02</t>
  </si>
  <si>
    <t>fluorouracil</t>
  </si>
  <si>
    <t>0034166</t>
  </si>
  <si>
    <t>0034326</t>
  </si>
  <si>
    <t>5-FLUOROURACIL "Ebewe"</t>
  </si>
  <si>
    <t>bočica staklena, 1 po 5 ml (250mg/5ml)</t>
  </si>
  <si>
    <t>0034327</t>
  </si>
  <si>
    <t>bočica staklena, 1 po 10 ml (500mg/10ml)</t>
  </si>
  <si>
    <t>0034328</t>
  </si>
  <si>
    <t>bočica staklena, 1 po 20 ml (1000mg/20ml)</t>
  </si>
  <si>
    <t>0034329</t>
  </si>
  <si>
    <t>bočica staklena, 1 po 100 ml (5000mg/100ml)</t>
  </si>
  <si>
    <t>FLUOROURACIL ACCORD</t>
  </si>
  <si>
    <t>Accord Healthcare Limited</t>
  </si>
  <si>
    <t>0034343</t>
  </si>
  <si>
    <t>bočica staklena, 1 po 100 ml (50mg/ml)</t>
  </si>
  <si>
    <t>0034551</t>
  </si>
  <si>
    <t>L01BC05</t>
  </si>
  <si>
    <t xml:space="preserve">gemcitabin </t>
  </si>
  <si>
    <t>GEMNIL ◊</t>
  </si>
  <si>
    <t>Vianex S.A.- Plant C´</t>
  </si>
  <si>
    <t xml:space="preserve">  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</si>
  <si>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0034550</t>
  </si>
  <si>
    <t>0034432</t>
  </si>
  <si>
    <t>gemcitabin</t>
  </si>
  <si>
    <t>GEMCITABIN EBEWE ◊</t>
  </si>
  <si>
    <t>staklena bočica, 1 po 5 ml (40mg/ml)</t>
  </si>
  <si>
    <t>0034431</t>
  </si>
  <si>
    <t>staklena bočica, 1 po 25 ml (40mg/ml)</t>
  </si>
  <si>
    <t>0034429</t>
  </si>
  <si>
    <t>staklena bočica, 1 po 50 ml (40mg/ml)</t>
  </si>
  <si>
    <t>Fresenius Kabi Oncology PLC.</t>
  </si>
  <si>
    <t>0034050</t>
  </si>
  <si>
    <t>GEMCITABINE CORAPHARM ◊</t>
  </si>
  <si>
    <t>Venus Pharma GmbH</t>
  </si>
  <si>
    <t>0034051</t>
  </si>
  <si>
    <t>1034445</t>
  </si>
  <si>
    <t>L01BC06</t>
  </si>
  <si>
    <t>kapecitabin</t>
  </si>
  <si>
    <t>XALVOBIN ◊</t>
  </si>
  <si>
    <t>blister, 120 po 500 mg</t>
  </si>
  <si>
    <t xml:space="preserve"> Remedica Ltd</t>
  </si>
  <si>
    <t xml:space="preserve"> Kipar</t>
  </si>
  <si>
    <t>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</si>
  <si>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ECANSYA ◊</t>
  </si>
  <si>
    <t xml:space="preserve"> film tablete</t>
  </si>
  <si>
    <t>120 po 500 mg</t>
  </si>
  <si>
    <t>Pharmacare premium LTD; Krka, tovarna zdravil d.d</t>
  </si>
  <si>
    <t>Malta;      Slovenija</t>
  </si>
  <si>
    <t>CAPECITABINE PHARMASWISS ◊</t>
  </si>
  <si>
    <t>PharmaSwiss d.o.o</t>
  </si>
  <si>
    <t>KAPETRAL◊</t>
  </si>
  <si>
    <t>blister, 60 po 150 mg</t>
  </si>
  <si>
    <t>Remedica Ltd.</t>
  </si>
  <si>
    <t>0030040</t>
  </si>
  <si>
    <t>L01CA02</t>
  </si>
  <si>
    <t>vinkristin</t>
  </si>
  <si>
    <t>VINCRISTINE PFIZER</t>
  </si>
  <si>
    <t>bočica plastična, 5 po 1 ml (1mg/ml)</t>
  </si>
  <si>
    <t>0030240</t>
  </si>
  <si>
    <t>L01CA04</t>
  </si>
  <si>
    <t>vinorelbin</t>
  </si>
  <si>
    <t>VINORELSIN</t>
  </si>
  <si>
    <t>0030241</t>
  </si>
  <si>
    <t>0030243</t>
  </si>
  <si>
    <t>VINORELBIN "Ebewe"</t>
  </si>
  <si>
    <t>bočica staklena, 1 po 1 ml (10 mg/ml)</t>
  </si>
  <si>
    <t>0030242</t>
  </si>
  <si>
    <t>bočica staklena, 1 po 5 ml (50 mg/5 ml)</t>
  </si>
  <si>
    <t>VINORELBIN ZENTIVA</t>
  </si>
  <si>
    <t>blister, 1 po 20 mg</t>
  </si>
  <si>
    <t>Pharmadox Healthcare LTD</t>
  </si>
  <si>
    <t xml:space="preserve">Malta </t>
  </si>
  <si>
    <t>blister, 1 po 30 mg</t>
  </si>
  <si>
    <t>blister, 1 po 80 mg</t>
  </si>
  <si>
    <t>0030111</t>
  </si>
  <si>
    <t>L01CB01</t>
  </si>
  <si>
    <t>etopozid</t>
  </si>
  <si>
    <t>ETOPOSID "Ebewe"</t>
  </si>
  <si>
    <t xml:space="preserve"> bočica staklena,1 po 5 ml (100 mg/5 ml)</t>
  </si>
  <si>
    <t>bočica staklena, 1 po 5 ml (100 mg/5 ml)</t>
  </si>
  <si>
    <t>S.C. Sindan-Pharma S.R.L.</t>
  </si>
  <si>
    <t>0039350</t>
  </si>
  <si>
    <t>L01CD01</t>
  </si>
  <si>
    <t>paklitaksel</t>
  </si>
  <si>
    <t>PACLITAXEL Ebewe ◊</t>
  </si>
  <si>
    <t>bočica staklena, 1 po 5 ml (30 mg/5 ml)</t>
  </si>
  <si>
    <t>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</si>
  <si>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0039351</t>
  </si>
  <si>
    <t>bočica staklena, 1 po 100 mg/16,7 ml</t>
  </si>
  <si>
    <t>0039020</t>
  </si>
  <si>
    <t>SINDAXEL ◊</t>
  </si>
  <si>
    <t>bočica, 1 po 5 ml (30 mg/ 5 ml)</t>
  </si>
  <si>
    <t>S.C. Sindan-Pharma S.R.L.; Actavis Italy S.P.A</t>
  </si>
  <si>
    <t>Rumunija; Italija</t>
  </si>
  <si>
    <t>0039021</t>
  </si>
  <si>
    <t>1 po 16,67 ml (100 mg/16,67 ml)</t>
  </si>
  <si>
    <t>1039852</t>
  </si>
  <si>
    <t>PATAXEL ◊</t>
  </si>
  <si>
    <t>bočica, staklena, 1 po 5 ml, 30 mg/5 ml</t>
  </si>
  <si>
    <t>1039850</t>
  </si>
  <si>
    <t>bočica, staklena, 1 po 16,7 ml, 100 mg/16,7 ml</t>
  </si>
  <si>
    <t>1039851</t>
  </si>
  <si>
    <t>bočica, staklena, 1 po 50 ml, 300 mg/50ml</t>
  </si>
  <si>
    <t>1039853</t>
  </si>
  <si>
    <t xml:space="preserve">PACLITAXEL ◊ </t>
  </si>
  <si>
    <t>bočica staklena, 1 po 5 ml (6mg/ml)</t>
  </si>
  <si>
    <t>1039854</t>
  </si>
  <si>
    <t>bočica staklena, 1 po 16.7 ml (6mg/ml)</t>
  </si>
  <si>
    <t>0039703</t>
  </si>
  <si>
    <t xml:space="preserve">PACLITAXELUM ACCORD ◊ </t>
  </si>
  <si>
    <t>bočica staklena, 1 po 16.7mL (6mg/mL)</t>
  </si>
  <si>
    <t>0039702</t>
  </si>
  <si>
    <t>bočica staklena, 1 po 5mL (6mg/mL)</t>
  </si>
  <si>
    <t>0039727</t>
  </si>
  <si>
    <t>L01CD02</t>
  </si>
  <si>
    <t>docetaksel</t>
  </si>
  <si>
    <t>DOCETAXEL ACTAVIS◊</t>
  </si>
  <si>
    <t>bočica staklena, 1 po 1 ml (20 mg/1 ml)</t>
  </si>
  <si>
    <t xml:space="preserve"> 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</si>
  <si>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0039728</t>
  </si>
  <si>
    <t>bočica staklena, 1 po 4 ml (80 mg/4 ml)</t>
  </si>
  <si>
    <t>0039780</t>
  </si>
  <si>
    <t>DOCETAXEL ACCORD ◊</t>
  </si>
  <si>
    <t>bočica staklena, 1 po 1mL (20mg/mL)</t>
  </si>
  <si>
    <t>0039781</t>
  </si>
  <si>
    <t>0039700</t>
  </si>
  <si>
    <t>DOCETAXEL KABI ◊</t>
  </si>
  <si>
    <t>Fresenius Kabi Deutschland GmbH</t>
  </si>
  <si>
    <t>0039701</t>
  </si>
  <si>
    <t>bočica staklena, 1 po 4mL (80mg4/mL)</t>
  </si>
  <si>
    <t>0039312</t>
  </si>
  <si>
    <t>DOCETAXEL CORAPHARM ◊</t>
  </si>
  <si>
    <t>bočica staklena, 1 po 1mL (20 mg/mL)</t>
  </si>
  <si>
    <t>0039324</t>
  </si>
  <si>
    <t>bočica staklena, 1 po 4mL (80 mg/4mL)</t>
  </si>
  <si>
    <t>0039325</t>
  </si>
  <si>
    <t>bočica staklena, 1 po 8mL (160 mg/8mL)</t>
  </si>
  <si>
    <t>0033190</t>
  </si>
  <si>
    <t>L01DB01</t>
  </si>
  <si>
    <t>doksorubicin</t>
  </si>
  <si>
    <t>DOXORUBICIN "Ebewe"</t>
  </si>
  <si>
    <t>bočica staklena,1 po 5 ml (10 mg/5 ml)</t>
  </si>
  <si>
    <t>0033191</t>
  </si>
  <si>
    <t>bočica staklena,1 po 25 ml (50 mg/25 ml)</t>
  </si>
  <si>
    <t>0033102</t>
  </si>
  <si>
    <t>ADRIBLASTINA RD</t>
  </si>
  <si>
    <t>bočica sa praškom i ampula sa rastvaračem, 10 mg, 1 po 5 ml</t>
  </si>
  <si>
    <t>0033103</t>
  </si>
  <si>
    <t>0033105</t>
  </si>
  <si>
    <t>DOXORUBICINUM ACCORD</t>
  </si>
  <si>
    <t>bočica staklena, 1 po 5 ml (2 mg/ml)</t>
  </si>
  <si>
    <t>Accord Healthcare Limited; Accord Healthcare Polska Sp. z o.o.</t>
  </si>
  <si>
    <t>0033106</t>
  </si>
  <si>
    <t>bočica staklena, 1 po 25 ml (2 mg/ml)</t>
  </si>
  <si>
    <t>0033060</t>
  </si>
  <si>
    <t>L01DB02</t>
  </si>
  <si>
    <t>daunorubicin</t>
  </si>
  <si>
    <t xml:space="preserve">DAUNOBLASTINA </t>
  </si>
  <si>
    <t>bočica sa praškom i ampula sa rastvaračem; 1 po 10 ml (20 mg/10 ml)</t>
  </si>
  <si>
    <t>0033112</t>
  </si>
  <si>
    <t>L01DB03</t>
  </si>
  <si>
    <t>epirubicin</t>
  </si>
  <si>
    <t>FARMORUBICIN R.D.</t>
  </si>
  <si>
    <t>bočica sa praškom i ampula sa rastvaračem, 1 po 5 ml (10mg/5ml)</t>
  </si>
  <si>
    <t>0033113</t>
  </si>
  <si>
    <t xml:space="preserve">bočica staklena, 1 po 50 mg </t>
  </si>
  <si>
    <t>0033220</t>
  </si>
  <si>
    <t>L01DC01</t>
  </si>
  <si>
    <t xml:space="preserve">bleomicin </t>
  </si>
  <si>
    <t>BLEOCIN-S</t>
  </si>
  <si>
    <t>bočica staklena, 1 po 15000 i.j.</t>
  </si>
  <si>
    <t>Nippon Kayaku Co. Ltd.</t>
  </si>
  <si>
    <t>Japan</t>
  </si>
  <si>
    <t>0031330</t>
  </si>
  <si>
    <t>L01XA01</t>
  </si>
  <si>
    <t>cisplatin</t>
  </si>
  <si>
    <t>CISPLATIN "Ebewe"</t>
  </si>
  <si>
    <t>0031332</t>
  </si>
  <si>
    <t>CISPLATIN PFIZER</t>
  </si>
  <si>
    <t>0031251</t>
  </si>
  <si>
    <t>bočica plastična, 1 po 50 ml (1 mg/ml)</t>
  </si>
  <si>
    <t>0031351</t>
  </si>
  <si>
    <t>CISPLATINUM ACCORD</t>
  </si>
  <si>
    <t>bočica staklena, 1 po 10 ml (1 mg/ml)</t>
  </si>
  <si>
    <t>Accord Healthcare Limited; Accord Healthcare Polska Sp.z.o.o.</t>
  </si>
  <si>
    <t>0031352</t>
  </si>
  <si>
    <t>bočica staklena, 1 po 50 ml (1 mg/ml)</t>
  </si>
  <si>
    <t>0031240</t>
  </si>
  <si>
    <t>L01XA02</t>
  </si>
  <si>
    <t>karboplatin</t>
  </si>
  <si>
    <t>CARBOPLATIN PFIZER</t>
  </si>
  <si>
    <t>bočica plastična, 1 po 15 ml (10 mg/ml)</t>
  </si>
  <si>
    <t>0031306</t>
  </si>
  <si>
    <t>CARBOPLASIN</t>
  </si>
  <si>
    <t>bočica staklena, 1 po 15 ml (10 mg/ml)</t>
  </si>
  <si>
    <t>0031307</t>
  </si>
  <si>
    <t>bočica staklena, 1 po 45 ml (10 mg/ml)</t>
  </si>
  <si>
    <t>0031312</t>
  </si>
  <si>
    <t>CARBOPLATIN EBEWE</t>
  </si>
  <si>
    <t>bočica stalena, 1 po 15 ml (150mg/15ml)</t>
  </si>
  <si>
    <t>0031313</t>
  </si>
  <si>
    <t>bočica stalena, 1 po 45 ml (450mg/45ml)</t>
  </si>
  <si>
    <t>0031320</t>
  </si>
  <si>
    <t>CARBOPLATIN ACCORD</t>
  </si>
  <si>
    <t>Accord Healthcare Limited; 
Accord Healthcare Polska SP. Z.O.O.</t>
  </si>
  <si>
    <t xml:space="preserve"> Velika Britanija;
Poljska</t>
  </si>
  <si>
    <t>0031321</t>
  </si>
  <si>
    <t>0031364</t>
  </si>
  <si>
    <t>L01XA03</t>
  </si>
  <si>
    <t>oksaliplatin</t>
  </si>
  <si>
    <t>OXALIPLATIN-PLIVA ◊</t>
  </si>
  <si>
    <t>bočica staklena ,1 po 10 ml (5 mg/ml)</t>
  </si>
  <si>
    <t>Pharmachemie B.V.; Pliva Hrvatska d.o.o.</t>
  </si>
  <si>
    <t xml:space="preserve"> Holandija; Hrvatska</t>
  </si>
  <si>
    <t>0031365</t>
  </si>
  <si>
    <t>bočica staklena, 1 po 20 ml (5 mg/ml)</t>
  </si>
  <si>
    <t xml:space="preserve"> Pharmachemie B.V.; Pliva Hrvatska d.o.o.</t>
  </si>
  <si>
    <t>0031402</t>
  </si>
  <si>
    <t>OXALIPLATIN EBEWE ◊</t>
  </si>
  <si>
    <t>0031403</t>
  </si>
  <si>
    <t>bočica, 1 po 20 ml (5 mg/ml)</t>
  </si>
  <si>
    <t>0031383</t>
  </si>
  <si>
    <t>OXALIPLATIN KABI ◊</t>
  </si>
  <si>
    <t>bočica staklena, 1 po 10 ml (5mg/ml)</t>
  </si>
  <si>
    <t>Fresenius Kabi Oncology PLC</t>
  </si>
  <si>
    <t>0031382</t>
  </si>
  <si>
    <t>bočica staklena, 1 po 20 ml (5mg/ml)</t>
  </si>
  <si>
    <t>0031190</t>
  </si>
  <si>
    <t>OXALIPLATINUM ACCORD ◊</t>
  </si>
  <si>
    <t>bočica staklena , 1 po 10 ml (5 mg/ml)</t>
  </si>
  <si>
    <t>Accord                                Healthcare limited</t>
  </si>
  <si>
    <t>0031191</t>
  </si>
  <si>
    <t>Accord                                 Healthcare limited</t>
  </si>
  <si>
    <t>1039394</t>
  </si>
  <si>
    <t>L01XE01</t>
  </si>
  <si>
    <t>imatinib</t>
  </si>
  <si>
    <t>ALVOTINIB ◊</t>
  </si>
  <si>
    <t>blister, 120 po 100 mg</t>
  </si>
  <si>
    <t>1. Lečenje pacijenata sa hroničnom mijeloidnom leukemijom sa Philadelphia hromozomom i/ili  sa bcr-abl rearanžmanom, u svim fazama bolesti  kao monoterapija ili u sklopu odgovarajućih terapijskih protokola. 
2. GIST (Gastro intestinalni stromalni tumori) - lokalno uznapredovali inoperabilni ili metastatski oblik bolesti, PS 0 ili 1.
3. Filadelfija pozitivna i/ili bcr-abl pozitivna akutna limfoblastna leukemija.
4. kod odraslih pacijenata sa mijelodisplastičnom/mijeloproliferativnom bolešću (MDS/MPD) povezanom sa rearanžiranjem gena za receptore za trombocitni faktor rasta (PDGFR).
5. kod odraslih pacijenata sa hipereozinofilnim sindromom (HES,) i/ili hroničnom eozinofilnom leukemijom (CEL, chronic eosinophilic leukaemia) sa FIP1L1-PDGFRα rearanžmanom.</t>
  </si>
  <si>
    <t xml:space="preserve"> Za indikaciju pod tačkom 1., 3., 4. i 5. lek se uvodi u terapiju na osnovu mišljenja tri lekara sledećih zdravstvenih ustanova:
  - Klinika za hematologiju UKC Srbije, 
  - KBC Bežanijska Kosa, 
  - Univerzitetska dečja klinika, 
  - Klinika za hematologiju UKC Vojvodine, 
  - Klinika za hematologiju i kliničku imunologiju UKC Niš, 
  - UKC Kragujevac,
  - Institut za decu i omladinu Vojvodine, 
  - Klinika za dečje interne bolesti UKC Niš, 
  - Institut za zdravstvenu zaštitu majke i deteta Srbije „Dr Vukan Čupić”,
  - Vojnomedicinska akademija,
 - KBC Zemun.
Nastavak terapije u zdravstvenim ustanovama koje obavljaju zdravstvenu delatnost na sekundarnom ili tercijarnom nivou u mestu prebivališta osiguranog lica nakon najmanje 6 meseci lečenja kod stabilnih bolesnika.
  Za indikaciju pod tačkom 2.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Nastavak terapije  u zdravstvenim ustanovama koje obavljaju zdravstvenu delatnost na sekundarnom ili tercijarnom nivou u mestu prebivališta osiguranog lica.</t>
  </si>
  <si>
    <t>1039397</t>
  </si>
  <si>
    <t>blister, 30 po 400 mg</t>
  </si>
  <si>
    <t>1039392</t>
  </si>
  <si>
    <t>IMATINIB PHARMASWISS ◊</t>
  </si>
  <si>
    <t>MEAXIN ◊</t>
  </si>
  <si>
    <t xml:space="preserve"> blister, 60 po 100 mg </t>
  </si>
  <si>
    <t>Krka, tovarna zdravil d.d</t>
  </si>
  <si>
    <t>IMAREM◊</t>
  </si>
  <si>
    <t>1039413</t>
  </si>
  <si>
    <t>GLIMATIN ◊</t>
  </si>
  <si>
    <t>blister, 60 po 100 mg</t>
  </si>
  <si>
    <t>EMS, S.A.</t>
  </si>
  <si>
    <t>Brazil</t>
  </si>
  <si>
    <t>1039414</t>
  </si>
  <si>
    <t>L01EA01</t>
  </si>
  <si>
    <t>1039019</t>
  </si>
  <si>
    <t xml:space="preserve">L01EA01 </t>
  </si>
  <si>
    <t>IMATINIB GRINDEKS ◊</t>
  </si>
  <si>
    <t>AS Grindeks</t>
  </si>
  <si>
    <t>Letonija</t>
  </si>
  <si>
    <t>1039020</t>
  </si>
  <si>
    <t>L01XX19</t>
  </si>
  <si>
    <t>irinotekan</t>
  </si>
  <si>
    <t>Kolorektalni karcinom, hemioterapija lokalno odmaklog/neresektabilnog ili metastatskog stadijuma bolesti, PS 0 ili 1.</t>
  </si>
  <si>
    <t>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Nastavak terapije u zdravstvenim ustanovama koje obavljaju zdravstvenu delatnost na sekundarnom ili tercijarnom nivou u mestu prebivališta osiguranog lica.</t>
  </si>
  <si>
    <t>bočica staklena, 1 po 2 ml (40 mg/2 ml)</t>
  </si>
  <si>
    <t>0039317</t>
  </si>
  <si>
    <t>VIARITEC ◊</t>
  </si>
  <si>
    <t>Vianex S.A.</t>
  </si>
  <si>
    <t>0039314</t>
  </si>
  <si>
    <t>0039297</t>
  </si>
  <si>
    <t>IRINOTECAN ◊</t>
  </si>
  <si>
    <t>bočica staklena, 1 po 2 ml (40mg/2ml)</t>
  </si>
  <si>
    <t>Fresenius Kabi Oncology PLC.; Fresenius Kabi Deutschland</t>
  </si>
  <si>
    <t>0039298</t>
  </si>
  <si>
    <t>bočica staklena, 1 po 5 ml (100mg/5ml)</t>
  </si>
  <si>
    <t>Fresenius Kabi Oncology PLC.;  Fresenius Kabi Deutschland</t>
  </si>
  <si>
    <t>0039306</t>
  </si>
  <si>
    <t>L01CE02</t>
  </si>
  <si>
    <t>IRINOTECAN ACCORD ◊</t>
  </si>
  <si>
    <t>bočica staklena, 1 po 2mL (20mg/mL)</t>
  </si>
  <si>
    <t>Accord Healthcare Limited;
Accord Healthcare Polska SP. Z.O.O.</t>
  </si>
  <si>
    <t>Velika Britanija;
Poljska</t>
  </si>
  <si>
    <t>0039307</t>
  </si>
  <si>
    <t>bočica staklena, 1 po 5mL (20mg/mL)</t>
  </si>
  <si>
    <t>0039100</t>
  </si>
  <si>
    <t>L01XX32</t>
  </si>
  <si>
    <t>bortezomib</t>
  </si>
  <si>
    <t>VELCADE ◊</t>
  </si>
  <si>
    <t>bočica staklena, 1 po 3,5 mg</t>
  </si>
  <si>
    <t>Janssen Pharmaceutica N.V.</t>
  </si>
  <si>
    <t>Multipli mijelom: 
          a) u prvoj terapijskoj liniji kod visoko rizičnih bolesnika sa renalnom insuficijencijom (klirens kreatinina manji od 60 ml/min) i/ili 
               citogenetskim abnormalnostima visokog rizika /del 13, t(4; 14), t(14; 16)/  i/ ili sa rizikom od tromboembolijskih komplikacija;
          b) u recidivu bolesti uz odsustvo značajne periferne polineuropatije (WHO gradus 2-4).</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</si>
  <si>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Klinika za onkologiju UKC Niš, 
  - UKC Kragujevac,
  - Vojnomedicinska akademija,
  - KBC Zemun.
Nastavak terapije u zdravstvenim ustanovama, koje obavljaju zdravstvenu delatnost na sekundarnom nivou, a u kojima postoji specijalista hematolog ili medikalni onkolog ili zdravstvenim ustanovama koje obavljaju zdravstvenu delatnost na tercijarnom nivou, u mestu prebivališta osiguranog lica.</t>
  </si>
  <si>
    <t>0039101</t>
  </si>
  <si>
    <t>bočica staklena, 1 po 1 mg</t>
  </si>
  <si>
    <t>0039601</t>
  </si>
  <si>
    <t>BORTEZOMIB PHARMAS ◊</t>
  </si>
  <si>
    <t>0039114</t>
  </si>
  <si>
    <t>VORTEMYEL ◊</t>
  </si>
  <si>
    <t xml:space="preserve">bočica staklena, 1 po 1 mg </t>
  </si>
  <si>
    <t>0039115</t>
  </si>
  <si>
    <t xml:space="preserve">bočica staklena, 1 po 3,5 mg </t>
  </si>
  <si>
    <t>0039900</t>
  </si>
  <si>
    <t>TRIOMA ◊</t>
  </si>
  <si>
    <t>bočica staklena, 1 po 1,4mL (2,5mg/mL)</t>
  </si>
  <si>
    <t>0039135</t>
  </si>
  <si>
    <t>L01XG01</t>
  </si>
  <si>
    <t>EUbor ◊</t>
  </si>
  <si>
    <t>Synthon S.R.O.;
Synthon Hispania, SL</t>
  </si>
  <si>
    <t>Češka;
Španija</t>
  </si>
  <si>
    <t>0039136</t>
  </si>
  <si>
    <t>bočica staklena, 1 po 2,5 mg</t>
  </si>
  <si>
    <t>0039137</t>
  </si>
  <si>
    <t>0039939</t>
  </si>
  <si>
    <t>BORTEGAZ ◊</t>
  </si>
  <si>
    <t>0039130</t>
  </si>
  <si>
    <t>BORTEZOMIB SANDOZ ◊</t>
  </si>
  <si>
    <t>Salutas Pharma GmbH;
Sandoz GmbH - Organisationseinhelt/Business Unit Anti-Ainfectives FDF (AI-FDF Kundl)</t>
  </si>
  <si>
    <t>Nemačka; Austrija</t>
  </si>
  <si>
    <t>0039131</t>
  </si>
  <si>
    <t>0039116</t>
  </si>
  <si>
    <t>GLOFTRINID ◊</t>
  </si>
  <si>
    <t>0039117</t>
  </si>
  <si>
    <t>0037022</t>
  </si>
  <si>
    <t>L02AE02</t>
  </si>
  <si>
    <t>leuprorelin</t>
  </si>
  <si>
    <t>napunjen injekcioni špric sa praškom i napunjen injekcioni špric sa rastvaračem, 1 po 45 mg</t>
  </si>
  <si>
    <t>0,134 mg</t>
  </si>
  <si>
    <t xml:space="preserve">1. Karcinom prostate, lokalno uznapredovali, u kombinaciji sa radioterapijom, u trajanju od 12 meseci, kod pacijenata sa PS 0 ili 1 (C61);
2. Karcinom prostate, metastatski PS 0-2 (C61). </t>
  </si>
  <si>
    <t>STAC ; Lek se uvodi u terapiju na osnovu mišljenja tri lekara - urologa zdravstvene ustanove koja obavlja zdravstvenu delatnost na tercijarnom nivou.</t>
  </si>
  <si>
    <t>0037023</t>
  </si>
  <si>
    <t>LUTRATE DEPO</t>
  </si>
  <si>
    <t>bočica sa praškom i napunjeni injekcioni špric sa rastvaračem, 1 po 3,75 mg</t>
  </si>
  <si>
    <t>GP Pharm, SA</t>
  </si>
  <si>
    <t xml:space="preserve">1. Endometrioza (N80);
 2. Medikamentna kastracija za karcinom dojke (C50)  u trajanju terapije do 36 meseci; 
 3. Karcinom prostate, lokalno uznapredovali, u kombinaciji sa radioterapijom, u trajanju od 12 meseci, kod pacijenata sa PS 0 ili 1 (C61);
 4. Karcinom prostate, metastatski PS 0-2 (C61). </t>
  </si>
  <si>
    <t>STAC ; Lek se uvodi u terapiju pod tačkom 1.i 2. na osnovu mišljenja tri lekara  zdravstvene ustanove koja obavlja zdravstvenu delatnost na sekundarnom ili tercijarnom nivou, a pod tačkom 3. i 4. na osnovu mišljenja tri lekara - urologa zdravstvene ustanove koja obavlja zdravstvenu delatnost na tercijarnom nivou.</t>
  </si>
  <si>
    <t>0037024</t>
  </si>
  <si>
    <t>bočica sa praškom i napunjeni injekcioni špric sa rastvaračem, 1 po 22,5 mg</t>
  </si>
  <si>
    <t>1. Karcinom prostate, lokalno uznapredovali, u kombinaciji sa radioterapijom, u trajanju
od 12 meseci, kod pacijenata sa PS 0 ili 1 (C61);
2. Karcinom prostate, metastatski PS 0-2 (C61).</t>
  </si>
  <si>
    <t>LEUPRORELIN SANDOZ</t>
  </si>
  <si>
    <t>implant u napunjenom injekcionom špricu</t>
  </si>
  <si>
    <t>napunjen injekcioni špric, 1 po 3,6 mg</t>
  </si>
  <si>
    <t>Ebewe Pharma Ges.M.B.H NFG. KG; Sandoz GmbH; Ever Pharma Jena GmbH</t>
  </si>
  <si>
    <t>Austraija; Austrija; Nemačka</t>
  </si>
  <si>
    <t>0037067</t>
  </si>
  <si>
    <t>napunjen injekcioni špric, 1 po 5 mg</t>
  </si>
  <si>
    <t xml:space="preserve">0037070 </t>
  </si>
  <si>
    <t>L02AE03</t>
  </si>
  <si>
    <t>goserelin</t>
  </si>
  <si>
    <t>ZOLADEX</t>
  </si>
  <si>
    <t xml:space="preserve">implant u napunjenom injekcionom špricu </t>
  </si>
  <si>
    <t>AstraZeneca UK Limited</t>
  </si>
  <si>
    <t>0.129 mg</t>
  </si>
  <si>
    <t>1. Endometrioza (N80);
 2. Medikamentna kastracija za karcinom dojke (C50) u trajanju terapije do 36 meseci; 
 3. Karcinom prostate, lokalno uznapredovali, u kombinaciji sa radioterapijom, u trajanju od 12 meseci, kod pacijenata sa PS 0 ili 1 (C61);
 4. Karcinom prostate, metastatski PS 0-2 (C61); 
 5. Karcinom prostate, lokalizovana bolest (PS 0 ili 1), sa visokim rizikom (PSA&gt;20, Gleason score≥8), uz radioterapiju, u trajanju od 12 meseci. 6. Lečenje neplodnosti žene u postupku BMPO (N97).</t>
  </si>
  <si>
    <t xml:space="preserve"> STAC ; Lek se uvodi u terapiju pod tačkom 1.i 2. na osnovu mišljenja tri lekara zdravstvene ustanove koja obavlja zdravstvenu delatnost na sekundarnom ili tercijarnom nivou, pod tačkom 3, 4. i 5. na osnovu mišljenja tri lekara - urologa zdravstvene ustanove koja obavlja zdravstvenu delatnost na tercijarnom nivou, a pod tačkom 6. na osnovu mišljenja ginekologa zdravstvene ustanove koja obavlja zdravstvenu delatnost na sekundarnom ili tercijarnom nivou.</t>
  </si>
  <si>
    <t>0037071</t>
  </si>
  <si>
    <t>ZOLADEX  LA</t>
  </si>
  <si>
    <t>implant</t>
  </si>
  <si>
    <t>napunjen injekcioni špric, 1 po 10,8 mg</t>
  </si>
  <si>
    <t>1. Karcinom prostate, lokalno uznapredovali, u kombinaciji sa radioterapijom, u trajanju od 12 meseci, kod pacijenata sa PS 0 ili 1 (C61);
 2. Karcinom prostate, metastatski PS 0-2 (C61); 
 3. Karcinom prostate, lokalizovana bolest (PS 0 ili 1), sa visokim rizikom (PSA&gt;20, Gleason score≥8), uz radioterapiju, u trajanju od 12 meseci.</t>
  </si>
  <si>
    <t xml:space="preserve"> STAC ; Lek se uvodi u terapiju na osnovu mišljenja tri lekara - urologa zdravstvene ustanove koja obavlja zdravstvenu delatnost na tercijarnom nivou.</t>
  </si>
  <si>
    <t>0037091</t>
  </si>
  <si>
    <t>L02AE04</t>
  </si>
  <si>
    <t>triptorelin</t>
  </si>
  <si>
    <t>DIPHERELINE</t>
  </si>
  <si>
    <t>prašak i rastvaraĉ za suspenziju za injekciju sa produženim oslobađanjem</t>
  </si>
  <si>
    <t>boĉica sa praškom i ampula sa rastvaraĉem, 1 po 2 ml (3,75 mg/2 ml)</t>
  </si>
  <si>
    <t>Ipsen Pharma Biotech; PharmaSwiss d.o.o.</t>
  </si>
  <si>
    <t>Francuska; Republika Srbija</t>
  </si>
  <si>
    <t xml:space="preserve"> 1. Endometrioza (N80);
 2. Karcinom prostate, lokalno uznapredovali, u kombinaciji sa radioterapijom, u trajanju od 12 meseci , kod pacijenata sa PS 0 ili 1 (C61);
 3. Karcinom prostate, metastatski PS 0 ili 2 (C61);
 4. Pravi (centralni) prerani  pubertet (E22.8) 
5. Lečenje neplodnosti žene u postupku BMPO (N97);
6. Medikamentna kastracija za karcinom dojke (C50)  u trajanju terapije do 36 meseci.</t>
  </si>
  <si>
    <t>STAC ; Lek se uvodi u terapiju pod tačkom 1. i 6. na osnovu mišljenja tri lekara  zdravstvene ustanove koja obavlja zdravstvenu delatnost na sekundarnom ili tercijarnom nivou, pod tačkom 2. i 3. na osnovu mišljenja tri lekara - urologa zdravstvene ustanove koja obavlja zdravstvenu delatnost na tercijarnom nivou, pod tačkom 4. na osnovu mišljenja zdravstvene ustanove koja obavlja zdravstvenu delatnost na sekundarnom ili tercijarnom nivou, a pod tačkom 5.  na osnovu mišljenja ginekologa zdravstvene ustanove koja obavlja zdravstvenu delatnost na sekundarnom ili tercijarnom nivou.</t>
  </si>
  <si>
    <t>0037092</t>
  </si>
  <si>
    <t>boĉica sa praškom i ampula sa rastvaraĉem, 1 po 2 ml (11,25 mg/ 2 ml)</t>
  </si>
  <si>
    <t xml:space="preserve"> 1. Endometrioza (N80);
 2. Karcinom prostate, lokalno uznapredovali, u kombinaciji sa radioterapijom, u trajanju od 12 meseci , kod pacijenata sa PS 0 ili 1 (C61);
 3. Karcinom prostate, metastatski PS 0 ili 2 (C61);
 4. Pravi (centralni) prerani  pubertet (E22.8).</t>
  </si>
  <si>
    <t>STAC ; Lek se uvodi u terapiju pod tačkom 1. na osnovu mišljenja tri lekara  zdravstvene ustanove koja obavlja zdravstvenu delatnost na sekundarnom ili tercijarnom nivou, pod tačkom 2. i 3. na osnovu mišljenja tri lekara - urologa zdravstvene ustanove koja obavlja zdravstvenu delatnost na tercijarnom nivou, a pod tačkom 4. na osnovu mišljenja zdravstvene ustanove koja obavlja zdravstvenu delatnost na sekundarnom ili tercijarnom nivou.</t>
  </si>
  <si>
    <t>0037093</t>
  </si>
  <si>
    <t>bočica sa praškom i ampula sa rastvaračem, 1 po 2 ml (22,5 mg/2 ml)</t>
  </si>
  <si>
    <t>0037090</t>
  </si>
  <si>
    <t>bočica sa praškom i ampula sa rastvaračem, 7 po 1 ml (0,1 mg/1 ml)</t>
  </si>
  <si>
    <t>PharmaSwiss d.o.o.; Ipsen Pharma Biotech</t>
  </si>
  <si>
    <t>Republika Srbija; Francuska</t>
  </si>
  <si>
    <t>0,1 mg</t>
  </si>
  <si>
    <t xml:space="preserve"> Lečenje neplodnosti žene u postupku BMPO (N97)</t>
  </si>
  <si>
    <t>STAC ; Lek se uvodi u terapiju na osnovu mišljenja ginekologa zdravstvene ustanove koja obavlja zdravstvenu delatnost na sekundarnom ili tercijarnom nivou</t>
  </si>
  <si>
    <t>0037095</t>
  </si>
  <si>
    <t>DECAPEPTYL</t>
  </si>
  <si>
    <t>napunjen injekcioni špric, 7 po 1 ml (0.1mg/ml)</t>
  </si>
  <si>
    <t>Ferring GmbH;
Ferring International Center SA</t>
  </si>
  <si>
    <t>Nemačka;
Švajcarska</t>
  </si>
  <si>
    <t>0039715</t>
  </si>
  <si>
    <t>L02BA03</t>
  </si>
  <si>
    <t>fulvestrant</t>
  </si>
  <si>
    <t>FASLODEX ◊</t>
  </si>
  <si>
    <t>napunjen injekcioni špric, 2 po 5 ml (250mg/5ml)</t>
  </si>
  <si>
    <t>Astrazeneca UK Limited;
Astrazeneca AB</t>
  </si>
  <si>
    <t>Velika Britanija;
Švedska</t>
  </si>
  <si>
    <t xml:space="preserve"> 1. Za postmenopauzne pacijentkinje sa HR-pozitivnim metastatskim karcinomom dojke, PS 0-2, za koje se procenjuje da su podobne za narednu hormonsku terapiju, posle tamoksifena i inhibitora aromataze (ili posle samo jednog od navedenih lekova u slučaju kontraindikacije za drugi), bez obzira na predhodnu sekvencu (redosled) primene tamoksifena i inhibitora  aromataze (C 50). 
 2. U kombinaciji sa ciklibom za terapiju hormon receptor (HR)-pozitivnog, humani epidermalni faktor rasta receptor 2 (HER2) -negativnog lokalno uznapredovalog ili metastatskog karcinoma dojke kod žena koje su prethodno primile endokrinu terapiju (C 50).</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</si>
  <si>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sekundarnom ili tercijarnom nivou u mestu prebivališta osiguranog lica.
Za indikaciju pod tačkom 2. procena efekta lečenja i odluka o nastavku primene terapije donosi se na šest meseci na osnovu mišljenja tri lekara zdravstvenih ustanova u kojima se lek uvodi u terapiju.</t>
  </si>
  <si>
    <t>0039720</t>
  </si>
  <si>
    <t>FULVESTRANT SANDOZ ◊</t>
  </si>
  <si>
    <t>napunjen injekcioni špric, 1 po 5 ml (250mg/5ml)</t>
  </si>
  <si>
    <t>napunjen injekcioni špric, 2 po 5mL (250mg/5mL)</t>
  </si>
  <si>
    <t>Laboratorios Farmalan S.A.</t>
  </si>
  <si>
    <t>0039704</t>
  </si>
  <si>
    <t>FULVESTRANT ACCORD ◊</t>
  </si>
  <si>
    <t>Accord Healthcare Limited; 
Accord Healthcare Polska SP. Z.O.O.;
Pharmadox Healthcare LTD.</t>
  </si>
  <si>
    <t>Velika Britanija;
Poljska;
Malta</t>
  </si>
  <si>
    <t>0069137</t>
  </si>
  <si>
    <t>L03AA02</t>
  </si>
  <si>
    <t>filgrastim</t>
  </si>
  <si>
    <t>NIVESTIM</t>
  </si>
  <si>
    <t>rastvor za injekciju/infuziju u napunjenom injekcionom špricu</t>
  </si>
  <si>
    <t>napunjen injekcioni špric, 5 po 0,2 ml (12Mj./0,2ml)</t>
  </si>
  <si>
    <t>0,35 mg</t>
  </si>
  <si>
    <t>0069138</t>
  </si>
  <si>
    <t>napunjen injekcioni špric, 5 po 0,5 ml (30Mj./0,5ml)</t>
  </si>
  <si>
    <t>0069139</t>
  </si>
  <si>
    <t>napunjen injekcioni špric, 5 po 0,5 ml (48Mj./0,5ml)</t>
  </si>
  <si>
    <t>0069130</t>
  </si>
  <si>
    <t>ZARZIO</t>
  </si>
  <si>
    <t>napunjen injekcioni špric, 1 po 0,5 ml (30 Mj/0,5 ml)</t>
  </si>
  <si>
    <t>0069131</t>
  </si>
  <si>
    <t>napunjen injekcioni špric, 1 po 0,5 ml (48 Mj/0,5 ml)</t>
  </si>
  <si>
    <t>0069120</t>
  </si>
  <si>
    <t>ACCOFIL</t>
  </si>
  <si>
    <t>0069121</t>
  </si>
  <si>
    <t>0014450</t>
  </si>
  <si>
    <t>L03AA13</t>
  </si>
  <si>
    <t>pegfilgrastim</t>
  </si>
  <si>
    <t>ZIEXTENZO</t>
  </si>
  <si>
    <t>napunjen injekcioni špric, 1 po 0,6mL (6mg/0,6mL)</t>
  </si>
  <si>
    <t>0.3 mg</t>
  </si>
  <si>
    <t xml:space="preserve">0010221 </t>
  </si>
  <si>
    <t>L04AA04</t>
  </si>
  <si>
    <t>anti-humani T limfocitni imunoglobulin kunića</t>
  </si>
  <si>
    <t>GRAFALON</t>
  </si>
  <si>
    <t>10 po 5 ml (20 mg/ml)</t>
  </si>
  <si>
    <t>Neovii Biotech GmbH</t>
  </si>
  <si>
    <t>0.1 g</t>
  </si>
  <si>
    <t>0010220</t>
  </si>
  <si>
    <t>1 po 5 ml (20 mg/ml)</t>
  </si>
  <si>
    <t>0010225</t>
  </si>
  <si>
    <t>anti-T limfocitni imunoglobulin za humanu upotrebu, zečiji</t>
  </si>
  <si>
    <t>THYMOGLOBULINE</t>
  </si>
  <si>
    <t>0014111</t>
  </si>
  <si>
    <t>L04AD01</t>
  </si>
  <si>
    <t>ciklosporin</t>
  </si>
  <si>
    <t>SANDIMMUN</t>
  </si>
  <si>
    <t>ampula, 10 po 5 ml (50 mg/ml)</t>
  </si>
  <si>
    <t>0,25 g</t>
  </si>
  <si>
    <t xml:space="preserve">STAC; Samo za pacijente nakon transplantacije.  </t>
  </si>
  <si>
    <t>0162440</t>
  </si>
  <si>
    <t>M01AB05</t>
  </si>
  <si>
    <t>diklofenak</t>
  </si>
  <si>
    <t>DIKLOFEN</t>
  </si>
  <si>
    <t xml:space="preserve"> 5 po 3 ml (75 mg/3 ml)</t>
  </si>
  <si>
    <t>0162192</t>
  </si>
  <si>
    <t>DIKLOFENAK HF</t>
  </si>
  <si>
    <t>ampula, 5 po 3 ml (75 mg/3 ml)</t>
  </si>
  <si>
    <t>RAPTEN-K</t>
  </si>
  <si>
    <t>obložena tableta</t>
  </si>
  <si>
    <t xml:space="preserve"> blister, 10 po 50 mg</t>
  </si>
  <si>
    <t>RAPTEN DUO</t>
  </si>
  <si>
    <t>tableta sa modifikovanim oslobađanjem</t>
  </si>
  <si>
    <t>blister, 20 po 50 mg</t>
  </si>
  <si>
    <t>DIKLOFENAK FORTE HF</t>
  </si>
  <si>
    <t>blister, 20 po 100 mg</t>
  </si>
  <si>
    <t>supozitorija</t>
  </si>
  <si>
    <t>strip, 10 po 50 mg</t>
  </si>
  <si>
    <t>1162402</t>
  </si>
  <si>
    <t>DICLOFENAC-RETARD</t>
  </si>
  <si>
    <t>tableta sa produženim oslobađanjem</t>
  </si>
  <si>
    <t>Remedica Ltd</t>
  </si>
  <si>
    <t>M01AB15</t>
  </si>
  <si>
    <t>ketorolak</t>
  </si>
  <si>
    <t>ZODOL</t>
  </si>
  <si>
    <t>10 po 10 mg</t>
  </si>
  <si>
    <t>Hemofarm a.d. u saradnji sa F.Hoffmann-La Roche, Švajcarska</t>
  </si>
  <si>
    <t>0162522</t>
  </si>
  <si>
    <t>ampula, 5 po 30 mg/ml</t>
  </si>
  <si>
    <t>Hemofarm a.d. u saradnji sa ATHANS PHARMA UK LIMITED, Velika Britanija</t>
  </si>
  <si>
    <t>0162162</t>
  </si>
  <si>
    <t>KETOROLAC PEYTON</t>
  </si>
  <si>
    <t>ampula, 5 po 1 ml (30mg/ml)</t>
  </si>
  <si>
    <t>Claris Injectables Limited</t>
  </si>
  <si>
    <t>Indija</t>
  </si>
  <si>
    <t>1162555</t>
  </si>
  <si>
    <t>M01AB16</t>
  </si>
  <si>
    <t>aceklofenak</t>
  </si>
  <si>
    <t>AFLAMIL</t>
  </si>
  <si>
    <t>Gedeon Richter PLC. u saradnji sa Almirall S.A., Španija</t>
  </si>
  <si>
    <t>1162553</t>
  </si>
  <si>
    <t>FLENAKO</t>
  </si>
  <si>
    <t>Rivopharm S.A</t>
  </si>
  <si>
    <t>M01AE01</t>
  </si>
  <si>
    <t>ibuprofen</t>
  </si>
  <si>
    <t xml:space="preserve">RAPIDOL RP                </t>
  </si>
  <si>
    <t>blister, 30 po 600 mg</t>
  </si>
  <si>
    <t>ZENTIDOL 600</t>
  </si>
  <si>
    <t>Zentiva K.S.;
S.C. Zentiva S.A.</t>
  </si>
  <si>
    <t>Češka;
Rumunija</t>
  </si>
  <si>
    <t>M01AE02</t>
  </si>
  <si>
    <t>naproksen</t>
  </si>
  <si>
    <t>NAPROKSEN HF</t>
  </si>
  <si>
    <t>blister, 20 po 375 mg</t>
  </si>
  <si>
    <t>0162088</t>
  </si>
  <si>
    <t>M01AE03</t>
  </si>
  <si>
    <t>ketoprofen</t>
  </si>
  <si>
    <t>KETONAL</t>
  </si>
  <si>
    <t>10 ampula po 100 mg/2 ml</t>
  </si>
  <si>
    <t>1162089</t>
  </si>
  <si>
    <t>KETONAL FORTE</t>
  </si>
  <si>
    <t>bočica staklena, 20 po 100 mg</t>
  </si>
  <si>
    <t>0162205</t>
  </si>
  <si>
    <t>ARTROCOL</t>
  </si>
  <si>
    <t>ampula, 5 po 2 ml (100mg/2ml)</t>
  </si>
  <si>
    <t>0162206</t>
  </si>
  <si>
    <t>ampula, 10 po 2 ml (100mg/2ml)</t>
  </si>
  <si>
    <t>0082052</t>
  </si>
  <si>
    <t>M03AC09</t>
  </si>
  <si>
    <t>ESMERON</t>
  </si>
  <si>
    <t>10 po 5 ml (50 mg/5 ml)</t>
  </si>
  <si>
    <t xml:space="preserve">N.V. Organon </t>
  </si>
  <si>
    <t>0082053</t>
  </si>
  <si>
    <t>rokuronijum-bromid</t>
  </si>
  <si>
    <t>ROCURONIUM BROMIDE KALCEKS</t>
  </si>
  <si>
    <t>bočica staklena, 10 po 5 ml (50mg/5ml)</t>
  </si>
  <si>
    <t>AS Kalceks</t>
  </si>
  <si>
    <t>0082111</t>
  </si>
  <si>
    <t>M03AX01</t>
  </si>
  <si>
    <t>toksin clostridium botulinum tip A</t>
  </si>
  <si>
    <t>DYSPORT</t>
  </si>
  <si>
    <t>boĉica, 2 po 500LD50jed.</t>
  </si>
  <si>
    <t>Ipsen Biopharm Limited</t>
  </si>
  <si>
    <t>1. Cerebralna paraliza  sa spasticitetom i/ili distonijom i urednim mentalnim stanjem (G80.0, G80.1, G80.2, G80.3, G80.8);
2. Spazmodična disfonija, blefarospazam, hemifacijalni spazam, tortikolis (cervikalna distonija), (G24.1, G24.2, G24.3, G24.4, G24.5, G24.8, G24.9, G24.0, G51.3);
3. Postapopleksična distonija šake, ruke i stopala. (G81.8, G83.1, G83.2).</t>
  </si>
  <si>
    <t>0082115</t>
  </si>
  <si>
    <t>botulinum toksin tip A</t>
  </si>
  <si>
    <t>BOTOX</t>
  </si>
  <si>
    <t>bočica staklena, 1 po 100 j.</t>
  </si>
  <si>
    <t>Allergan Pharmaceuticals Ireland</t>
  </si>
  <si>
    <t>0059089</t>
  </si>
  <si>
    <t>M05BA06</t>
  </si>
  <si>
    <t>ibandronska kiselina</t>
  </si>
  <si>
    <t>BONVIVA</t>
  </si>
  <si>
    <t>napunjen injekcioni špric, 1 po 3 ml (3 mg/3 ml)</t>
  </si>
  <si>
    <t>Roche Diagnostics GmbH</t>
  </si>
  <si>
    <t xml:space="preserve">Za lečenje teških oblika osteoporoze (DEXA T vrednosti ≤ -3,5 SD) kod žena kod kojih nije moguća primena oralnih bisfosfonata zbog nemogućnosti efikasne apsorpcije. Nemogućnost primene oralnih bisfosfonata potvrđuje se mišljenjem gastroenterologa:
- o postojanju hroničnog gastritisa ili erozivnog gastritisa ili ulkusne bolesti ili pogoršanja postojeće bolesti jednjaka ili želuca ili creva verifikovano gastroskopskim nalazom ili
- o postojanju sindroma intestinalne malapsorpcije različitog uzroka, a na osnovu gastroenterološke dokumentacije.          </t>
  </si>
  <si>
    <t>STAC; Lek se uvodi u terapiju na osnovu mišljenja zdravstvene ustanove koja obavlja zdravstvenu delatnost na sekundarnom ili tercijarnom nivou.</t>
  </si>
  <si>
    <t>0059088</t>
  </si>
  <si>
    <t>ALVODRONIC</t>
  </si>
  <si>
    <t>Synthon BV;
Synthon Hispania SL</t>
  </si>
  <si>
    <t>Holandija;
Španija</t>
  </si>
  <si>
    <t>0059090</t>
  </si>
  <si>
    <t>IVADRON</t>
  </si>
  <si>
    <t>ampula, 1 po 3 ml (3mg/3ml)</t>
  </si>
  <si>
    <t>0080680</t>
  </si>
  <si>
    <t>N01AB07</t>
  </si>
  <si>
    <t>desfluran</t>
  </si>
  <si>
    <t>SUPRANE</t>
  </si>
  <si>
    <t>para za inhalaciju, tečnost</t>
  </si>
  <si>
    <t>boca, 6 po 240 ml, 100%</t>
  </si>
  <si>
    <t>Indukcija i/ili održavanje anestezije tokom bolničkih i ambulantnih operacija kod odraslih pacijenata.</t>
  </si>
  <si>
    <t>9080161</t>
  </si>
  <si>
    <t>N01AB08</t>
  </si>
  <si>
    <t>sevofluran</t>
  </si>
  <si>
    <t>SEVORANE</t>
  </si>
  <si>
    <t>boca plastična, 1 po 250 ml ( 100%)</t>
  </si>
  <si>
    <t>Aesica Queenborough Ltd.; AbbVie S.R.L.</t>
  </si>
  <si>
    <t>Velika Britanija; Italija</t>
  </si>
  <si>
    <t>9080100</t>
  </si>
  <si>
    <t>SEVOFLURANE BAXTER</t>
  </si>
  <si>
    <t>boca, 6 po 250 ml, (100%)</t>
  </si>
  <si>
    <t>0080000</t>
  </si>
  <si>
    <t>N01AF03</t>
  </si>
  <si>
    <t>tiopental - natrijum</t>
  </si>
  <si>
    <t>THIOPENTAL PANPHARMA</t>
  </si>
  <si>
    <t>0087555</t>
  </si>
  <si>
    <t>N01AH01</t>
  </si>
  <si>
    <t>fentanil</t>
  </si>
  <si>
    <t>Piramal Critical Care B.V.</t>
  </si>
  <si>
    <t>0087559</t>
  </si>
  <si>
    <t>FENTANYL PANPHARMA</t>
  </si>
  <si>
    <t>ampula, 10 po 10 ml (0,5mg/10ml)</t>
  </si>
  <si>
    <t>0087560</t>
  </si>
  <si>
    <t>FENTANYL CITRATE-KALCEKS</t>
  </si>
  <si>
    <t>ampula, 10 po 10ml (0,05 mg/ml)</t>
  </si>
  <si>
    <t>0087561</t>
  </si>
  <si>
    <t xml:space="preserve"> ampula, 50 po 10ml (0,05mg/ml)</t>
  </si>
  <si>
    <t>0087575</t>
  </si>
  <si>
    <t>N01AH02</t>
  </si>
  <si>
    <t>alfentanil</t>
  </si>
  <si>
    <t>RAPIFEN</t>
  </si>
  <si>
    <t xml:space="preserve"> ampula, 50 po 10 ml (0,5 mg/1 ml)</t>
  </si>
  <si>
    <t>0087171</t>
  </si>
  <si>
    <t>N01AH03</t>
  </si>
  <si>
    <t>sufentanil</t>
  </si>
  <si>
    <t>SUFENTA forte</t>
  </si>
  <si>
    <t>ampula, 5 po 5 ml (0,25 mg/5 ml)</t>
  </si>
  <si>
    <t>0087621</t>
  </si>
  <si>
    <t>N01AH06</t>
  </si>
  <si>
    <t>remifentanil</t>
  </si>
  <si>
    <t xml:space="preserve">ULTIVA </t>
  </si>
  <si>
    <t>prašak za koncentrat za rastvor za injekciju/ infuziju</t>
  </si>
  <si>
    <t>bočica staklena, 5 po 2 mg</t>
  </si>
  <si>
    <t>GlaxoSmithKline Manufacturing  S.P.A.;
Glaxo Operations UK Limited</t>
  </si>
  <si>
    <t>Italija;
Velika Britanija</t>
  </si>
  <si>
    <t>0087623</t>
  </si>
  <si>
    <t>REMIFENTANIL B. BRAUN</t>
  </si>
  <si>
    <t>prašak za koncentrat za rastvor za injekciju/infuziju</t>
  </si>
  <si>
    <t>bočica staklena, 5 po 1 mg</t>
  </si>
  <si>
    <t>Hameln RDS S.R.0.</t>
  </si>
  <si>
    <t>0087624</t>
  </si>
  <si>
    <t>0087625</t>
  </si>
  <si>
    <t>bočica staklena, 5 po 5 mg</t>
  </si>
  <si>
    <t>0080300</t>
  </si>
  <si>
    <t>N01AX07</t>
  </si>
  <si>
    <t>etomidat</t>
  </si>
  <si>
    <t xml:space="preserve">HYPNOMIDATE </t>
  </si>
  <si>
    <t>ampula, 5 po 10 ml (2 mg/ml)</t>
  </si>
  <si>
    <t>N01AX10</t>
  </si>
  <si>
    <t>propofol</t>
  </si>
  <si>
    <t>emulzija za injekciju/infuziju</t>
  </si>
  <si>
    <t>0080432</t>
  </si>
  <si>
    <t>PROPOFOL LIPURO 1%</t>
  </si>
  <si>
    <t>ampula, 5 po 20 ml (10 mg/1ml)</t>
  </si>
  <si>
    <t>B. Braun Melsungen AG</t>
  </si>
  <si>
    <t>0080433</t>
  </si>
  <si>
    <t>PROPOFOL LIPURO 2%</t>
  </si>
  <si>
    <t>boca staklena, 10 po 50 ml (20mg/ml)</t>
  </si>
  <si>
    <t>0080210</t>
  </si>
  <si>
    <t>RECOFOL EDTA</t>
  </si>
  <si>
    <t>Corden Pharma S.P.A.</t>
  </si>
  <si>
    <t>0080442</t>
  </si>
  <si>
    <t>PROPOFOL 1% MCT FRESENIUS</t>
  </si>
  <si>
    <t>ampula, 5 po 20 ml (10mg/ml)</t>
  </si>
  <si>
    <t>Fresenius Kabi Austria GmbH; Fresenius Kabi AB</t>
  </si>
  <si>
    <t>Austrija; Švedska</t>
  </si>
  <si>
    <t>0080446</t>
  </si>
  <si>
    <t>boca staklena, 10 po 50 ml (10mg/ml)</t>
  </si>
  <si>
    <t>boca staklena, 10 po 100 ml (10mg/ml)</t>
  </si>
  <si>
    <t>0080443</t>
  </si>
  <si>
    <t>PROPOFOL 2% MCT FRESENIUS</t>
  </si>
  <si>
    <t>0081581</t>
  </si>
  <si>
    <t>N01BB01</t>
  </si>
  <si>
    <t>bupivakain</t>
  </si>
  <si>
    <t>MARCAINE 0,5%</t>
  </si>
  <si>
    <t xml:space="preserve">bočica staklena, 5 po 20 ml (5 mg/ml) </t>
  </si>
  <si>
    <t>Recipharm Monts</t>
  </si>
  <si>
    <t>0081582</t>
  </si>
  <si>
    <t>MARCAINE SPINAL 0,5%</t>
  </si>
  <si>
    <t xml:space="preserve">ampula, 5 po 4 ml (5 mg/ml) </t>
  </si>
  <si>
    <t>Cenexi- Fontenay Sous Bois</t>
  </si>
  <si>
    <t>0081583</t>
  </si>
  <si>
    <t>MARCAINE SPINAL 0,5% HEAVY</t>
  </si>
  <si>
    <t xml:space="preserve"> ampula, 5 po 4 ml (5 mg/ml) </t>
  </si>
  <si>
    <t>0081013</t>
  </si>
  <si>
    <t>BUPIVACAINE QUATALIA</t>
  </si>
  <si>
    <t>ampula, 5 po 5ml (5mg/ml)</t>
  </si>
  <si>
    <t>Deltamedica GMBH</t>
  </si>
  <si>
    <t>Hirurška anestezija</t>
  </si>
  <si>
    <t>0081015</t>
  </si>
  <si>
    <t>ampula, 5 po 4 ml (5mg/ml)</t>
  </si>
  <si>
    <t>0081222</t>
  </si>
  <si>
    <t>N01BB02</t>
  </si>
  <si>
    <t>lidokain</t>
  </si>
  <si>
    <t>LIDOKAIN-HLORID 1%</t>
  </si>
  <si>
    <t>ampula, 10 po 3,5 ml (35 mg/3,5ml)</t>
  </si>
  <si>
    <t>0081560</t>
  </si>
  <si>
    <t>LIDOKAIN-HLORID 2%</t>
  </si>
  <si>
    <t xml:space="preserve">ampula, 50 po 2 ml (40 mg/2 ml) </t>
  </si>
  <si>
    <t>0081623</t>
  </si>
  <si>
    <t>LIDOCAINE SOPHARMA</t>
  </si>
  <si>
    <t>ampula, 5 po 10 ml (10mg/ml)</t>
  </si>
  <si>
    <t>0081626</t>
  </si>
  <si>
    <t>ampula, 100 po 2 ml (20mg/ml)</t>
  </si>
  <si>
    <t>0081009</t>
  </si>
  <si>
    <t>N01BB10</t>
  </si>
  <si>
    <t>levobupivakain</t>
  </si>
  <si>
    <t>LEVOBUPIVAKAIN KABI</t>
  </si>
  <si>
    <t>ampula, 5 po 10 ml (5mg/ml)</t>
  </si>
  <si>
    <t>0081540</t>
  </si>
  <si>
    <t>N01BB52</t>
  </si>
  <si>
    <t>lidokain, adrenalin (epinefrin)</t>
  </si>
  <si>
    <t>LIDOKAIN 2%-ADRENALIN</t>
  </si>
  <si>
    <t>ampula, 50 po 2 ml (40 mg+0,025 mg)</t>
  </si>
  <si>
    <t>Samo za decu.</t>
  </si>
  <si>
    <t>0087854</t>
  </si>
  <si>
    <t>N02AA01</t>
  </si>
  <si>
    <t>morfin</t>
  </si>
  <si>
    <t>MORFIN HIDROHLORID ALKALOID</t>
  </si>
  <si>
    <t>ampula,10 po 20 mg/ml</t>
  </si>
  <si>
    <t>0087531</t>
  </si>
  <si>
    <t>N02AX02</t>
  </si>
  <si>
    <t>tramadol</t>
  </si>
  <si>
    <t>TRODON</t>
  </si>
  <si>
    <t>ampula, 5 po 1 ml (50 mg/ml)</t>
  </si>
  <si>
    <t>0087533</t>
  </si>
  <si>
    <t>ampula, 5 po 2 ml (100 mg/2 ml)</t>
  </si>
  <si>
    <t>0086431</t>
  </si>
  <si>
    <t>N02BB02</t>
  </si>
  <si>
    <t>metamizol natrijum</t>
  </si>
  <si>
    <t>NOVALGETOL</t>
  </si>
  <si>
    <t>ampula, 50 po 2,5 g/5 ml</t>
  </si>
  <si>
    <t>0086418</t>
  </si>
  <si>
    <t>ANALGIN</t>
  </si>
  <si>
    <t>Alkaloid a.d.</t>
  </si>
  <si>
    <t>0086930</t>
  </si>
  <si>
    <t>N02BE01</t>
  </si>
  <si>
    <t>paracetamol</t>
  </si>
  <si>
    <t>PARACETAMOL PHARMASWISS</t>
  </si>
  <si>
    <t>boca, 10 po 100 ml (10 mg/ml)</t>
  </si>
  <si>
    <t xml:space="preserve">PharmaSwiss d.o.o. </t>
  </si>
  <si>
    <t>0088333</t>
  </si>
  <si>
    <t>PARACETAMOL B.BRAUN</t>
  </si>
  <si>
    <t>kontejner plastični, Ecoflac plus, 10 po 50 ml (10mg/ml)</t>
  </si>
  <si>
    <t>0088334</t>
  </si>
  <si>
    <t>kontejner plastični, Ecoflac plus, 10 po 100 ml (10mg/ml)</t>
  </si>
  <si>
    <t>0086666</t>
  </si>
  <si>
    <t>PARACETAMOL ACTAVIS</t>
  </si>
  <si>
    <t>bočica staklena, 10 po 100 ml (10mg/ml)</t>
  </si>
  <si>
    <t>S.M. Farmaceutici SRL</t>
  </si>
  <si>
    <t>0086500</t>
  </si>
  <si>
    <t>ALGOCIT</t>
  </si>
  <si>
    <t>0086510</t>
  </si>
  <si>
    <t>PARACETAMOL KABI</t>
  </si>
  <si>
    <t>bočica staklena, 10 po 50 ml (10mg/ml)</t>
  </si>
  <si>
    <t>Fresenius Kabi Deutschland GmbH; Fresenius Kabi Austria GmbH</t>
  </si>
  <si>
    <t>0086511</t>
  </si>
  <si>
    <t>0084520</t>
  </si>
  <si>
    <t>N03AA02</t>
  </si>
  <si>
    <t>fenobarbital (fenobarbiton)</t>
  </si>
  <si>
    <t>PHENOBARBITON NATRIJUM HF</t>
  </si>
  <si>
    <t>bočica sa praškom i ampula sa rastvaračem, 5 po 2 ml (220 mg/2 ml)</t>
  </si>
  <si>
    <t>0085353</t>
  </si>
  <si>
    <t>N04BB01</t>
  </si>
  <si>
    <t>amantadin</t>
  </si>
  <si>
    <t>PK-MERZ</t>
  </si>
  <si>
    <t xml:space="preserve">  U terapiji off-faze parkinsonizma koji ne reaguju na peroralni oblik amantadina.</t>
  </si>
  <si>
    <t>0070261</t>
  </si>
  <si>
    <t>N05AB02</t>
  </si>
  <si>
    <t>flufenazin</t>
  </si>
  <si>
    <t>MODITEN Depo</t>
  </si>
  <si>
    <t>ampula, 5 po 1 ml (25 mg /ml)</t>
  </si>
  <si>
    <t xml:space="preserve">Krka d.d. </t>
  </si>
  <si>
    <t>1 mg</t>
  </si>
  <si>
    <t xml:space="preserve"> Lek se uvodi u terapiju na osnovu mišljenja psihijatra/neuropsihijatra.</t>
  </si>
  <si>
    <t>0070207</t>
  </si>
  <si>
    <t>N05AD01</t>
  </si>
  <si>
    <t>haloperidol</t>
  </si>
  <si>
    <t>HALOPERIDOL KRKA DEPO</t>
  </si>
  <si>
    <t>3,3 mg</t>
  </si>
  <si>
    <t>0070200</t>
  </si>
  <si>
    <t>HALOPERIDOL KRKA</t>
  </si>
  <si>
    <t>ampula, 10 po 1 ml (5 mg/ml)</t>
  </si>
  <si>
    <t>8 mg</t>
  </si>
  <si>
    <t>0070201</t>
  </si>
  <si>
    <t>HALOPERIDOL SOPHARMA</t>
  </si>
  <si>
    <t>0070925</t>
  </si>
  <si>
    <t>N05AX08</t>
  </si>
  <si>
    <t>risperidon</t>
  </si>
  <si>
    <t>RISPOLEPT CONSTA</t>
  </si>
  <si>
    <t>bočica i rastvarač u napunjenom injekcionom špricu, 1 po 25 mg</t>
  </si>
  <si>
    <t>Cilag AG</t>
  </si>
  <si>
    <t>2,7 mg</t>
  </si>
  <si>
    <t>Shizofrenija, shizotipski poremećaji i poremećaji sa sumanutošću (F20-F29)
1. Nekomplijantni pacijenti i/ili koji imaju neželjene efekte na klasičnim depoima koji se ne mogu tolerisati.
2.  Rezistentni na klasične depo antipsihotike (pod rezistencijom se podrazumeva neadekvatan odgovor na dva klasična antipsihotika u roku od 6 meseci).</t>
  </si>
  <si>
    <t>Lek se uvodi u terapiju na osnovu mišljenja psihijatra/neuropsihijatra.</t>
  </si>
  <si>
    <t>0070926</t>
  </si>
  <si>
    <t>bočica i rastvarač u napunjenom injekcionom špricu,1 po 37,5 mg</t>
  </si>
  <si>
    <t>0070927</t>
  </si>
  <si>
    <t>bočica i rastvarač u napunjenom injekcionom špricu,1 po 50 mg</t>
  </si>
  <si>
    <t>0070929</t>
  </si>
  <si>
    <t>SPERIDAN</t>
  </si>
  <si>
    <t>bočica sa praškom i napunjeni injekcioni špric sa rastvaračem, 1 po 2mL (25mg/2mL)</t>
  </si>
  <si>
    <t>Pharmathen International SA; Pharmathen SA; Merckle GmbH</t>
  </si>
  <si>
    <t>Grčka; Grčka; Nemačka</t>
  </si>
  <si>
    <t>0070928</t>
  </si>
  <si>
    <t>bočica sa praškom i napunjeni injekcioni špric sa rastvaračem, 1 po 2mL (37,5mg/2mL)</t>
  </si>
  <si>
    <t>0070930</t>
  </si>
  <si>
    <t>bočica sa praškom i napunjeni injekcioni špric sa rastvaračem, 1 po 2mL (50mg/2mL)</t>
  </si>
  <si>
    <t>0070910</t>
  </si>
  <si>
    <t>OKEDI</t>
  </si>
  <si>
    <t>napunjeni injekcioni špric sa praškom i napunjeni injekcioni šprica sa rastvaračem, 1 po 0,383 mL (75 mg)</t>
  </si>
  <si>
    <t>Laboratorios Farmaceuticos Rovi</t>
  </si>
  <si>
    <t>2.7 mg</t>
  </si>
  <si>
    <t>0070911</t>
  </si>
  <si>
    <t>napunjeni injekcioni špric sa praškom i napunjeni injekcioni šprica sa rastvaračem, 1 po 0,490 mL (100 mg)</t>
  </si>
  <si>
    <t>0070132</t>
  </si>
  <si>
    <t>N05AX13</t>
  </si>
  <si>
    <t>paliperidon</t>
  </si>
  <si>
    <t>XEPLION</t>
  </si>
  <si>
    <t>suspenzija za injekciju sa produženim oslobađanjem</t>
  </si>
  <si>
    <t>napunjen injekcioni špric, 1 po 0,75 ml (75 mg/0,75 ml)</t>
  </si>
  <si>
    <t>Shizofrenija, shizotipski poremećaji i poremećaji sa sumanutošću (F20-F29).
Pacijenti koji su u pogoršanju zbog neadekvatne komplijanse, a kod kojih je nekad tokom tretmana bolesti primenjivan risperidon.</t>
  </si>
  <si>
    <t>0070134</t>
  </si>
  <si>
    <t>napunjen injekcioni špric, 1 po 1 ml (100 mg/1 ml)</t>
  </si>
  <si>
    <t>0070133</t>
  </si>
  <si>
    <t>napunjen injekcioni špric, 1 po 1,5 ml (150 mg/1,5 ml)</t>
  </si>
  <si>
    <t>0070136</t>
  </si>
  <si>
    <t>TREVICTA</t>
  </si>
  <si>
    <t>napunjen injekcioni špric, 1 po 1,315 ml (263 mg/1,315ml)</t>
  </si>
  <si>
    <t>Shizofrenija, shizotipski poremećaji i poremećaji sa sumanutošću (F20-F29).
Terapija održavanja kod odraslih pacijenata koji su klinički stabilni na paliperidon palmitatu u obliku 1-mesečne injekcije (F20-F29).</t>
  </si>
  <si>
    <t>0070137</t>
  </si>
  <si>
    <t>napunjen injekcioni špric, 1 po 1,75 ml (350mg/1,750ml)</t>
  </si>
  <si>
    <t>0070138</t>
  </si>
  <si>
    <t>napunjen injekcioni špric, 1 po 2,625 ml (525 mg/2,625ml)</t>
  </si>
  <si>
    <t>PLISSET</t>
  </si>
  <si>
    <t>0070141</t>
  </si>
  <si>
    <t>napunjen injekcioni špric, 1 po 0,75 ml (75mg/0,75ml)</t>
  </si>
  <si>
    <t>0070142</t>
  </si>
  <si>
    <t>napunjen injekcioni špric, 1 po 1 ml (100mg/ml)</t>
  </si>
  <si>
    <t>0070143</t>
  </si>
  <si>
    <t>napunjen injekcioni špric, 1 po 1,5 ml (150mg/1,5ml)</t>
  </si>
  <si>
    <t>0071123</t>
  </si>
  <si>
    <t>N05BA01</t>
  </si>
  <si>
    <t>diazepam</t>
  </si>
  <si>
    <t>BENSEDIN</t>
  </si>
  <si>
    <t>rastvor za injekciju /infuziju</t>
  </si>
  <si>
    <t>ampula, 10 po 2 ml (10 mg/2 ml)</t>
  </si>
  <si>
    <t>0071100</t>
  </si>
  <si>
    <t>DIAZEPAM SOPHARMA</t>
  </si>
  <si>
    <t>ampula, 10 po 2 ml, 5mg/ml</t>
  </si>
  <si>
    <t>0071834</t>
  </si>
  <si>
    <t>N05CD08</t>
  </si>
  <si>
    <t>midazolam</t>
  </si>
  <si>
    <t>DORMICUM</t>
  </si>
  <si>
    <t>ampula, 10 po 5 mg/5 ml</t>
  </si>
  <si>
    <t>Cheplapharm Arzneimittel GmBH, Cenexi-Fontenay Sous Bois</t>
  </si>
  <si>
    <t xml:space="preserve"> Nemačka, Francuska</t>
  </si>
  <si>
    <t>0071835</t>
  </si>
  <si>
    <t>5 po 15 mg/3 ml</t>
  </si>
  <si>
    <t>MIDAZOLAM PANPHARMA</t>
  </si>
  <si>
    <t>0071839</t>
  </si>
  <si>
    <t>ampula, 10 po 3ml (15mg/3mL)</t>
  </si>
  <si>
    <t>0071843</t>
  </si>
  <si>
    <t>MIDAZOLAM KALCEKS</t>
  </si>
  <si>
    <t xml:space="preserve"> ampula, 10 po 3ml (15mg/3ml)</t>
  </si>
  <si>
    <t>0071842</t>
  </si>
  <si>
    <t>ampula, 10 po 1ml (5mg/ml)</t>
  </si>
  <si>
    <t>0071846</t>
  </si>
  <si>
    <t>MIDAZOLAM ACCORD</t>
  </si>
  <si>
    <t>ampula, 10 po 5mL (1mg/mL)</t>
  </si>
  <si>
    <t>Accord Healthcare Limited; Accord Healthcare Polska SP. Z.O.O:</t>
  </si>
  <si>
    <t>0071845</t>
  </si>
  <si>
    <t>ampula, 10 po 3mL (5mg/mL)</t>
  </si>
  <si>
    <t>0074003</t>
  </si>
  <si>
    <t>N05CM18</t>
  </si>
  <si>
    <t>deksmedetomidin</t>
  </si>
  <si>
    <t>DEXMEDETOMIDINE PHARMIDEA</t>
  </si>
  <si>
    <t>bočica staklena, 25 po 2mL (100mcg/mL)</t>
  </si>
  <si>
    <t>Limited Liability Company Pharmidea (Pharmidea SIA)</t>
  </si>
  <si>
    <t>0074002</t>
  </si>
  <si>
    <t>DEXMEDETOMIDINE KALCEKS</t>
  </si>
  <si>
    <t>ampula, 5 po 2 mL (200mcg/2 mL)</t>
  </si>
  <si>
    <t>AS Kalckes</t>
  </si>
  <si>
    <t>0074001</t>
  </si>
  <si>
    <t>DEXDOR</t>
  </si>
  <si>
    <t>ampula, 25 po 2 mL (100mcg/mL)</t>
  </si>
  <si>
    <t>Orion Corporation Orion Pharma</t>
  </si>
  <si>
    <t>Finska</t>
  </si>
  <si>
    <t>0074000</t>
  </si>
  <si>
    <t>DEXMEDETOMIDIN MEDIKUNION</t>
  </si>
  <si>
    <t>Ever Pharma Jena GmbH</t>
  </si>
  <si>
    <t>0089000</t>
  </si>
  <si>
    <t>N06BC01</t>
  </si>
  <si>
    <t>kofein</t>
  </si>
  <si>
    <t>PEYONA</t>
  </si>
  <si>
    <t>rastvor za infuziju i oralni rastvor</t>
  </si>
  <si>
    <t>ampula, 10 po 1ml (20mg/ml)</t>
  </si>
  <si>
    <t>Chiesi Pharmaceuticals GmbH</t>
  </si>
  <si>
    <t>Terapija apnee kod prevremeno rođene novorođenčadi (P07.0; P07.1; P07.3).</t>
  </si>
  <si>
    <t>0088065</t>
  </si>
  <si>
    <t>N07AA01</t>
  </si>
  <si>
    <t>NEOSTIGMINE/ COOPER</t>
  </si>
  <si>
    <t>ampula, 50 po 1 ml (2,5 mg/ml)</t>
  </si>
  <si>
    <t>2 mg</t>
  </si>
  <si>
    <t>0088067</t>
  </si>
  <si>
    <t>neostigmin-metilsulfat</t>
  </si>
  <si>
    <t>N07BC02</t>
  </si>
  <si>
    <t>metadon</t>
  </si>
  <si>
    <t>METADON ALKALOID</t>
  </si>
  <si>
    <t>oralni rastvor</t>
  </si>
  <si>
    <t>bočica, 1 po 100 ml (10 mg/ml)</t>
  </si>
  <si>
    <t>25 mg</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</si>
  <si>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</si>
  <si>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</si>
  <si>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boca, 1 po 1000 ml (10 mg/ml)</t>
  </si>
  <si>
    <t>0058334</t>
  </si>
  <si>
    <t>R06AC03</t>
  </si>
  <si>
    <t>hloropiramin</t>
  </si>
  <si>
    <t>SYNOPEN</t>
  </si>
  <si>
    <t>ampula,10 po 20 mg/2 ml</t>
  </si>
  <si>
    <t>Pliva Hrvatska d.o.o.;
Merckle GMBH</t>
  </si>
  <si>
    <t>Hrvatska;
Nemačka</t>
  </si>
  <si>
    <t>0119150</t>
  </si>
  <si>
    <t>R07AA02</t>
  </si>
  <si>
    <t>poraktant alfa</t>
  </si>
  <si>
    <t>CUROSURF</t>
  </si>
  <si>
    <t>suspenzija za endotraheopulmonalno ukapavanje</t>
  </si>
  <si>
    <t>bočica staklena, 2 po 1,5 ml (120 mg/1,5 ml)</t>
  </si>
  <si>
    <t>Chiesi Farmaceutici S.P.A; Chiesi Pharmaceuticals GmbH</t>
  </si>
  <si>
    <t xml:space="preserve">Lek se uvodi u terapiju na osnovu mišljenja tri lekara neonatologa ili pedijatra uz overu načelnika i direktora zdravstvene ustanove.  </t>
  </si>
  <si>
    <t>0119160</t>
  </si>
  <si>
    <t>bočica staklena, 1 po 1,5 ml (120mg/1,5ml)</t>
  </si>
  <si>
    <t>Chiesi Farmaceutici S.p.A.; Chiesi Pharmaceuticals GmbH</t>
  </si>
  <si>
    <t>0119157</t>
  </si>
  <si>
    <t>fosfolipidna frakcija iz pluća goveda (surfakant)</t>
  </si>
  <si>
    <t>ALVEOFACT</t>
  </si>
  <si>
    <t>prašak i rastvarač za suspenziju za endotraheopulmonalno ukapavanje</t>
  </si>
  <si>
    <t>bočica sa praškom i napunjeni injekcioni špric sa rastvaračem, 1 po 1.2 ml (45mg/ml)</t>
  </si>
  <si>
    <t>Lyomark Pharma GmbH</t>
  </si>
  <si>
    <t>160 mg</t>
  </si>
  <si>
    <t>Lek se uvodi u terapiju na osnovu mišljenja tri lekara neonatologa ili pedijatra uz overu načelnika i direktora zdravstvene ustanove.</t>
  </si>
  <si>
    <t>0119158</t>
  </si>
  <si>
    <t>bočica sa praškom i napunjeni injekcioni špric sa rastvaračem, 1 po 2.4 ml (45mg/ml)</t>
  </si>
  <si>
    <t>0180030</t>
  </si>
  <si>
    <t>V03AB14</t>
  </si>
  <si>
    <t>protamin-sulfat</t>
  </si>
  <si>
    <t>PROTAMIN SULFAT</t>
  </si>
  <si>
    <t>0189100</t>
  </si>
  <si>
    <t>V03AB25</t>
  </si>
  <si>
    <t>flumazenil</t>
  </si>
  <si>
    <t>ANEXATE</t>
  </si>
  <si>
    <t xml:space="preserve"> ampula, 5 po 5 ml (0,5 mg/5 ml)</t>
  </si>
  <si>
    <t>Cheplapharm Arzneimittel GMBH</t>
  </si>
  <si>
    <t>0189101</t>
  </si>
  <si>
    <t xml:space="preserve"> ampula, 5 po 10 ml (1 mg/10 ml)</t>
  </si>
  <si>
    <t>0189011</t>
  </si>
  <si>
    <t>V03AB35</t>
  </si>
  <si>
    <t>sugamadeks</t>
  </si>
  <si>
    <t>BRIDION</t>
  </si>
  <si>
    <t>bočica staklena, 10 po 2 ml (100mg/ml)</t>
  </si>
  <si>
    <t>N.V. Organon</t>
  </si>
  <si>
    <t>Reverzija neuromuskularne blokade, selektivni blokator  rokuronijum-bromida (T48.1; T88.4).</t>
  </si>
  <si>
    <t>0189110</t>
  </si>
  <si>
    <t>SUGAMADEKS SK</t>
  </si>
  <si>
    <t>bočica staklena, 10 po 2mL (100mg/mL)</t>
  </si>
  <si>
    <t>Limited Liability Company Pharmidea (Pharmidea SIA);
Combino Pharm (Malta) LTD;
Medichem, S.A.</t>
  </si>
  <si>
    <t>Letonija;
Malta;
Španija</t>
  </si>
  <si>
    <t>V03AC03</t>
  </si>
  <si>
    <t>deferasiroks</t>
  </si>
  <si>
    <t>EXJADE</t>
  </si>
  <si>
    <t>Terapija hroničnog preopterećenja gvožđem koje je nastalo kao posledica čestih transfuzija krvi (≥7ml/kg/mesec koncentrovanih eritrocita) kod pacijenata sa beta talasemijom major, kao i za terapiju hroničnog preopterećenja gvožđem koje je nastalo kao posledica transfuzija krvi kada je terapija deferoksaminom kontraindikovana ili neadekvatna.</t>
  </si>
  <si>
    <t>Samo za decu. Lek se uvodi u terapiju na osnovu mišljenja tri lekara odgovarajuće specijalnosti u službi hematologije zdravstvene ustanove na tercijarnom nivou zdravstvene zaštite.</t>
  </si>
  <si>
    <t>blister, 30 po 180 mg</t>
  </si>
  <si>
    <t>Novartis Pharma GmbH</t>
  </si>
  <si>
    <t>0184027</t>
  </si>
  <si>
    <t>V03AF03</t>
  </si>
  <si>
    <t>LEUCOVORIN Kalcijum</t>
  </si>
  <si>
    <t>ampula, 10 po 50 mg/5 ml</t>
  </si>
  <si>
    <t>kalcijum-folinat</t>
  </si>
  <si>
    <t>0012070</t>
  </si>
  <si>
    <t>V04CF01</t>
  </si>
  <si>
    <t>prečišćeni proteinski derivat tuberkulina za humanu upotrebu</t>
  </si>
  <si>
    <t>PPD-T TUBERKULIN</t>
  </si>
  <si>
    <t>10 po 2,5 ml (3 i.j./0,1ml)</t>
  </si>
  <si>
    <t>0176042</t>
  </si>
  <si>
    <t>V07AB..</t>
  </si>
  <si>
    <t>voda za injekcije</t>
  </si>
  <si>
    <t xml:space="preserve">VODA ZA INJEKCIJE </t>
  </si>
  <si>
    <t>rastvarač za parenteralnu upotrebu</t>
  </si>
  <si>
    <t>ampula,  50 po 5 ml</t>
  </si>
  <si>
    <t>0176000</t>
  </si>
  <si>
    <t>VODA ZA INJEKCIJE B. BRAUN</t>
  </si>
  <si>
    <t>0176001</t>
  </si>
  <si>
    <t>boca plastična, Ecoflac plus, 10 po 250 ml</t>
  </si>
  <si>
    <t>0176002</t>
  </si>
  <si>
    <t>0199210</t>
  </si>
  <si>
    <t>V08AB02</t>
  </si>
  <si>
    <t>joheksol</t>
  </si>
  <si>
    <t xml:space="preserve"> 10 po 50 ml (300 mg I/ml)</t>
  </si>
  <si>
    <t>GE Healthcare Ireland</t>
  </si>
  <si>
    <t>0199211</t>
  </si>
  <si>
    <t xml:space="preserve">joheksol </t>
  </si>
  <si>
    <t xml:space="preserve">rastvor za injekciju </t>
  </si>
  <si>
    <t>boca plastična, 10 po 100 ml (300 mg I/ml)</t>
  </si>
  <si>
    <t>0199214</t>
  </si>
  <si>
    <t>boca plastična, 10 po 50 ml (350 mg I/ml)</t>
  </si>
  <si>
    <t>0199215</t>
  </si>
  <si>
    <t>10 po 100 ml (350 mg I/ml)</t>
  </si>
  <si>
    <t>0199217</t>
  </si>
  <si>
    <t xml:space="preserve"> 10 po 200 ml (350 mg I/ml)</t>
  </si>
  <si>
    <t>0199218</t>
  </si>
  <si>
    <t>boca plastična, 6 po 500 ml (350 mg I/ml)</t>
  </si>
  <si>
    <t>GE Healthcare Ireland Limited</t>
  </si>
  <si>
    <t>0194255</t>
  </si>
  <si>
    <t>V08AB05</t>
  </si>
  <si>
    <t>jopromid</t>
  </si>
  <si>
    <t>ULTRAVIST 370</t>
  </si>
  <si>
    <t>bočica staklena, 10 po 50 ml (768,86 mg/ml)</t>
  </si>
  <si>
    <t>Bayer AG; Bayer farmacevtska družba d.o.o.</t>
  </si>
  <si>
    <t>Nemačka;
Slovenija</t>
  </si>
  <si>
    <t>0194258</t>
  </si>
  <si>
    <t>bočica staklena, 10 po 100 ml (768,86 mg/ml)</t>
  </si>
  <si>
    <t>0194257</t>
  </si>
  <si>
    <t>boca staklena, 10 po 200 ml (768,86 mg/ml)</t>
  </si>
  <si>
    <t>0194259</t>
  </si>
  <si>
    <t>boca staklena, 8 po 500 ml (768,86 mg/ml)</t>
  </si>
  <si>
    <t>V08AB07</t>
  </si>
  <si>
    <t>joversol</t>
  </si>
  <si>
    <t>OPTIRAY 300</t>
  </si>
  <si>
    <t>rastvor za injekciju i infuziju</t>
  </si>
  <si>
    <t>0199416</t>
  </si>
  <si>
    <t>boca, 5 po 500 ml (300 mg joda/ml)</t>
  </si>
  <si>
    <t>OPTIRAY 350</t>
  </si>
  <si>
    <t>0199408</t>
  </si>
  <si>
    <t>boca, 10 po 100 ml (350 mg joda/ml)</t>
  </si>
  <si>
    <t>0199409</t>
  </si>
  <si>
    <t>boca, 10 po 200 ml (350 mg joda/ml)</t>
  </si>
  <si>
    <t>0199410</t>
  </si>
  <si>
    <t>boca, 5 po 500 ml (350 mg joda/ml)</t>
  </si>
  <si>
    <t>boca staklena, 10 po 500 ml (300mg I/mL)</t>
  </si>
  <si>
    <t>0199419</t>
  </si>
  <si>
    <t>boca staklena, 10 po 500 ml (350mg I/mL)</t>
  </si>
  <si>
    <t>0199463</t>
  </si>
  <si>
    <t>V08AB09</t>
  </si>
  <si>
    <t>jodiksanol</t>
  </si>
  <si>
    <t>0199464</t>
  </si>
  <si>
    <t>V08AB10</t>
  </si>
  <si>
    <t>jomeprol</t>
  </si>
  <si>
    <t>Patheon Italia S.P.A.; Bracco Imaging S.P.A; Bipso GmbH</t>
  </si>
  <si>
    <t>Italija; Italija; Nemačka</t>
  </si>
  <si>
    <t>0199471</t>
  </si>
  <si>
    <t>IOMERON 350</t>
  </si>
  <si>
    <t>boca staklena, 1 po 100 ml (350mg I/mL)</t>
  </si>
  <si>
    <t>0199473</t>
  </si>
  <si>
    <t>boca staklena, 1 po 200 ml (350mg I/mL)</t>
  </si>
  <si>
    <t>0199472</t>
  </si>
  <si>
    <t>boca staklena, 1 po 500 ml (350mg I/mL)</t>
  </si>
  <si>
    <t>0199466</t>
  </si>
  <si>
    <t>IOMERON 400</t>
  </si>
  <si>
    <t>boca staklena, 1 po 100 ml (400mg I/mL)</t>
  </si>
  <si>
    <t>0199468</t>
  </si>
  <si>
    <t>boca staklena, 1 po 200 ml (400mg I/mL)</t>
  </si>
  <si>
    <t>0199467</t>
  </si>
  <si>
    <t>boca staklena, 1 po 500 ml (400mg I/mL)</t>
  </si>
  <si>
    <t>0199015</t>
  </si>
  <si>
    <t>V08CA01</t>
  </si>
  <si>
    <t>gadopentetska kiselina</t>
  </si>
  <si>
    <t>MAGNEGITA 500</t>
  </si>
  <si>
    <t>bočica staklena, 1 po 5 ml (500 mcmol/ml)</t>
  </si>
  <si>
    <t>Biokanol Pharma GmbH, Nemačka za Insight Agents GmbH</t>
  </si>
  <si>
    <t>0199021</t>
  </si>
  <si>
    <t>bočica staklena, 10 po 5 ml (500 mcmol/ml)</t>
  </si>
  <si>
    <t>0199011</t>
  </si>
  <si>
    <t>bočica staklena, 1 po 10 ml (500 mcmol/ml)</t>
  </si>
  <si>
    <t>0199017</t>
  </si>
  <si>
    <t>bočica staklena, 10 po 10 ml (500 mcmol/ml)</t>
  </si>
  <si>
    <t>0199012</t>
  </si>
  <si>
    <t>bočica staklena, 1 po 15 ml (500 mcmol/ml)</t>
  </si>
  <si>
    <t>0199018</t>
  </si>
  <si>
    <t>bočica staklena, 10 po 15 ml (500 mcmol/ml)</t>
  </si>
  <si>
    <t>0199013</t>
  </si>
  <si>
    <t>bočica staklena, 1 po 20 ml (500 mcmol/ml)</t>
  </si>
  <si>
    <t>0199019</t>
  </si>
  <si>
    <t>bočica staklena, 10 po 20 ml (500 mcmol/ml)</t>
  </si>
  <si>
    <t>0199014</t>
  </si>
  <si>
    <t>bočica staklena, 1 po 30 ml (500 mcmol/ml)</t>
  </si>
  <si>
    <t>0199020</t>
  </si>
  <si>
    <t>bočica staklena, 10 po 30 ml (500 mcmol/ml)</t>
  </si>
  <si>
    <t>0199010</t>
  </si>
  <si>
    <t>bočica staklena, 1 po 100 ml (500 mcmol/ml)</t>
  </si>
  <si>
    <t>0199016</t>
  </si>
  <si>
    <t>bočica staklena, 10 po 100 ml (500 mcmol/ml)</t>
  </si>
  <si>
    <t>0199040</t>
  </si>
  <si>
    <t>V08CA02</t>
  </si>
  <si>
    <t>gadoterična kiselina</t>
  </si>
  <si>
    <t>DOTAREM</t>
  </si>
  <si>
    <t>bočica staklena, 1 po 10 ml (0,5 mmol/ml)</t>
  </si>
  <si>
    <t>Guerbet-Aulnay Sous Bois</t>
  </si>
  <si>
    <t>0199041</t>
  </si>
  <si>
    <t>bočica staklena, 1 po 15 ml (0,5 mmol/ml)</t>
  </si>
  <si>
    <t>0199042</t>
  </si>
  <si>
    <t>bočica staklena, 1 po 20 ml (0,5 mmol/ml)</t>
  </si>
  <si>
    <t>0199001</t>
  </si>
  <si>
    <t>CLARISCAN</t>
  </si>
  <si>
    <t>bočica staklena, 10 po 10 ml (0,5 mmol/ml)</t>
  </si>
  <si>
    <t>GE Healthcare AS - Oslo Plant</t>
  </si>
  <si>
    <t>0199002</t>
  </si>
  <si>
    <t>bočica staklena, 10 po 15 ml (0,5 mmol/ml)</t>
  </si>
  <si>
    <t>0199003</t>
  </si>
  <si>
    <t>bočica staklena, 10 po 20 ml (0,5 mmol/ml)</t>
  </si>
  <si>
    <t>0199043</t>
  </si>
  <si>
    <t>bočica staklena, 1 po 60 mL (0,5 mmol/mL)</t>
  </si>
  <si>
    <t>Guerbet</t>
  </si>
  <si>
    <t>0199044</t>
  </si>
  <si>
    <t>bočica staklena, 1 po 100 mL (0,5 mmol/mL)</t>
  </si>
  <si>
    <t>V08CA08</t>
  </si>
  <si>
    <t>gadobenska kiselina</t>
  </si>
  <si>
    <t>MULTIHANCE</t>
  </si>
  <si>
    <t>Patheon Italia S.P.A.</t>
  </si>
  <si>
    <t>0199492</t>
  </si>
  <si>
    <t>0199486</t>
  </si>
  <si>
    <t>V08CA09</t>
  </si>
  <si>
    <t>gadobutrol</t>
  </si>
  <si>
    <t>GADOVIST</t>
  </si>
  <si>
    <t>bočica staklena, 10 po 30 ml (1mmol/ml)</t>
  </si>
  <si>
    <t>Bayer Pharma AG;
Bayer farmacevtska družba d.o.o.</t>
  </si>
  <si>
    <t>0199487</t>
  </si>
  <si>
    <t>napunjen injekcioni špric, 5 po 7,5 ml (1 mmol/ml)</t>
  </si>
  <si>
    <t>0199535</t>
  </si>
  <si>
    <t>V08CA10</t>
  </si>
  <si>
    <t>gadoksetinska kiselina</t>
  </si>
  <si>
    <t>PRIMOVIST</t>
  </si>
  <si>
    <t>napunjen injekcioni špric, 1 po 10 ml (181,43 mg/ml)</t>
  </si>
  <si>
    <t>Bayer Pharma AG; Bayer Farmacevtska družba d.o.o.</t>
  </si>
  <si>
    <t>Nemačka; Slovenija</t>
  </si>
  <si>
    <t>bočica staklena,
10 po 40 mg</t>
  </si>
  <si>
    <t>EMOCLOT</t>
  </si>
  <si>
    <t>SMOFLIPID</t>
  </si>
  <si>
    <t>INTRALIPID</t>
  </si>
  <si>
    <t>plastična kesa, 1 po 2000 ml (0.3g/l+0.27g/l+0.57g/l+0.646g/l+0.51g/l+0.595g/l+0.51g/l+0.951g/l+1.393g/l+0.85g/l+0.85g/l+1.02g/l+0.955g/l+0.714g/l+1.071g/l+0.184g/l+0.051g/l+4.48g/l+5.38g/l</t>
  </si>
  <si>
    <t>plastična kesa, 1 po 2000 ml (7,5% (75g/l)+5.4g/l+4.5g/l+0.257g/l+0.051g/l)</t>
  </si>
  <si>
    <t>jednostruka plastična kesa, 1 po 5000 ml  (3,86% m/v + (38.6g/l)+5.38g/l+4.48g/l+0.184g/l+0.051g/l)</t>
  </si>
  <si>
    <t>jednostruka plastična kesa, 1 po 5000 ml  (2,27 %  m/v + (22,7 g/l)+5,38 g/l+4,48 g/l+0,184 g/l+0,051 g/l)</t>
  </si>
  <si>
    <t>jednostruka plastična kesa, 1 po 5000 ml (1,36% m/v+(13,6 g/l)+5,38 g/l+4,48 g/l+0,184 g/l+0,051 g/l)</t>
  </si>
  <si>
    <t>bočica staklena, 10 po 10 ml (2,5mg+3,6mg+40mg+4mg+15mg+100mg+60mcg+0,4mg+5mcg)</t>
  </si>
  <si>
    <t>blister, 10 po 100 mg</t>
  </si>
  <si>
    <t>vakcina protiv varičele (živa)</t>
  </si>
  <si>
    <t>Synthon S.R.O.;
Synthon Hispania, S.L.</t>
  </si>
  <si>
    <t>Tecnimede Sociedade Tecnico-Medicinal, S.A.;
Oncotec Pharma Production GmbH</t>
  </si>
  <si>
    <t>Portugalija;
Nemačka</t>
  </si>
  <si>
    <t>ampula, 10 po 1 ml (5mg/ml)</t>
  </si>
  <si>
    <t>boca plastična, Ecoflac plus, 20 po 100 ml</t>
  </si>
  <si>
    <t>boca plastična, Ecoflac plus, 10 po 500 ml</t>
  </si>
  <si>
    <t>0199004</t>
  </si>
  <si>
    <t>DOTAGRAF</t>
  </si>
  <si>
    <t>Sanochemia Pharmazeutika GmbH;
Bayer farmacevtska družba d.o.o.</t>
  </si>
  <si>
    <t>Austija;
Slovenija</t>
  </si>
  <si>
    <t>0199005</t>
  </si>
  <si>
    <t>bočica staklena, 1 po 15mL (0.5mmol/mL)</t>
  </si>
  <si>
    <t>0199006</t>
  </si>
  <si>
    <t>HARTMANOV RASTVOR</t>
  </si>
  <si>
    <t>Galenika a.d.;
ACS Dobfar S.P.A</t>
  </si>
  <si>
    <t>ampula, 10 po 2 ml (80mg/2ml)</t>
  </si>
  <si>
    <t>kesa, 10 po 300 ml (2mg/ml)</t>
  </si>
  <si>
    <t>boca staklena, 1 po 300 ml (2mg/ml)</t>
  </si>
  <si>
    <t>bočica staklena, 1 po 50 ml (50mg/ml)</t>
  </si>
  <si>
    <t>bočica staklena, 1 po 200 ml (50mg/ml)</t>
  </si>
  <si>
    <t>bočica staklena, 1 po 10 mL (0.5mmol/mL)</t>
  </si>
  <si>
    <t>bočica staklena, 1 po 20 mL (0.5mmol/mL)</t>
  </si>
  <si>
    <t>boca staklena, 1 po 100 ml (200g/l)</t>
  </si>
  <si>
    <t>boca staklena, 1 po 50 ml (200g/l)</t>
  </si>
  <si>
    <t>boca staklena, 1 po 100 ml (50g/l)</t>
  </si>
  <si>
    <t>boca staklena, 1 po 250 ml (50g/l)</t>
  </si>
  <si>
    <t>boca staklena, 1 po 500 ml (50g/l)</t>
  </si>
  <si>
    <t>NIRMIN</t>
  </si>
  <si>
    <t>boca plastična, 1 po 100 ml (10%)</t>
  </si>
  <si>
    <t>ampula, 10 po 1 ml (2,5 mg/ml)</t>
  </si>
  <si>
    <t>Guerbet;
Guerbet Ireland ULC</t>
  </si>
  <si>
    <t>Francuska;
Irska</t>
  </si>
  <si>
    <t>0199496</t>
  </si>
  <si>
    <t>boca plastična, 10 po 50 mL (320mg I/mL)</t>
  </si>
  <si>
    <t>GE Healthcare AS;
GE Healthcare Ireland Limited</t>
  </si>
  <si>
    <t>Norveška;
Irska</t>
  </si>
  <si>
    <t>0199497</t>
  </si>
  <si>
    <t>boca plastična, 10 po 100 mL (320mg I/mL)</t>
  </si>
  <si>
    <t>0199460</t>
  </si>
  <si>
    <t>boca plastična, 10 po 200 mL (320mg I/mL)</t>
  </si>
  <si>
    <t>kesa, 2 po 5000 ml (5,64g/L+3,925g/L+0,1838g/L+0,1017g/L+15g/L)</t>
  </si>
  <si>
    <t>boca plastična, Ecoflac plus, 10 po 500ml (100g/L)</t>
  </si>
  <si>
    <t>FORTECA</t>
  </si>
  <si>
    <t>Latina Pharma S.P.A.</t>
  </si>
  <si>
    <t>FENTANIL PIRAMAL</t>
  </si>
  <si>
    <t>0122005</t>
  </si>
  <si>
    <t>PANTOPRAZOL ZENTIVA</t>
  </si>
  <si>
    <t>Laboratorios Normon, S.A.</t>
  </si>
  <si>
    <t>0122006</t>
  </si>
  <si>
    <t>0122760</t>
  </si>
  <si>
    <t>ULCERON</t>
  </si>
  <si>
    <t>bočica staklena, 5 po 40mg</t>
  </si>
  <si>
    <t>0122754</t>
  </si>
  <si>
    <t>GASTREX</t>
  </si>
  <si>
    <t>Delph-I-GmbH</t>
  </si>
  <si>
    <t>0039708</t>
  </si>
  <si>
    <t>FASELIGO ◊</t>
  </si>
  <si>
    <t>1063009</t>
  </si>
  <si>
    <t>RIVOKSAR</t>
  </si>
  <si>
    <t>Abdi Ibrahim Ilac. San. VE Tic. A.S.</t>
  </si>
  <si>
    <t>0029059</t>
  </si>
  <si>
    <t>ZETALID</t>
  </si>
  <si>
    <t>boca plastična, 10 po 300 mL (2mg/mL)</t>
  </si>
  <si>
    <t>1.2 g</t>
  </si>
  <si>
    <t>9080019</t>
  </si>
  <si>
    <t>SEVOFLURAN PIRAMAL</t>
  </si>
  <si>
    <t>boca staklena, 1 po 250 mL (100%)</t>
  </si>
  <si>
    <t>9080020</t>
  </si>
  <si>
    <t>boca staklena, 6 po 250 mL (100%)</t>
  </si>
  <si>
    <t>0029038</t>
  </si>
  <si>
    <t>MEROPENEM CORAPHARM</t>
  </si>
  <si>
    <t>0029039</t>
  </si>
  <si>
    <t>MEROPENEM KABI</t>
  </si>
  <si>
    <t>ACS Dobfar S.P.A;
Fresenius Kabi Deutschland GmbH</t>
  </si>
  <si>
    <t>Italija;
Nemačka</t>
  </si>
  <si>
    <t>0321041</t>
  </si>
  <si>
    <t>CEFTAZIDIM CORAPHARM</t>
  </si>
  <si>
    <t>0321040</t>
  </si>
  <si>
    <t>0039940</t>
  </si>
  <si>
    <t>BORTEZOMIB CORAPHARM ◊</t>
  </si>
  <si>
    <t>0014451</t>
  </si>
  <si>
    <t>GRASUSTEK</t>
  </si>
  <si>
    <t>Juta Pharma GmbH</t>
  </si>
  <si>
    <t>0189015</t>
  </si>
  <si>
    <t>AXONIN</t>
  </si>
  <si>
    <t>bočica staklena</t>
  </si>
  <si>
    <t>rastvor za injekciju, 10 po 2mL (100mg/mL)</t>
  </si>
  <si>
    <t>Stada Arzneimittel AG;
Hemofarm AD Vršac</t>
  </si>
  <si>
    <t>Nemačka;
Republika Srbija</t>
  </si>
  <si>
    <t>0047170</t>
  </si>
  <si>
    <t>DEKSAMETAZON KALCEKS</t>
  </si>
  <si>
    <t>ampula, 10 po 1mL (4mg/mL)</t>
  </si>
  <si>
    <t>0047171</t>
  </si>
  <si>
    <t>ampula, 10 po 2mL (8mg/2mL)</t>
  </si>
  <si>
    <t>0029803</t>
  </si>
  <si>
    <t>TIGECIKLIN ANFARM</t>
  </si>
  <si>
    <t>bočica staklena, 10 po 50mg</t>
  </si>
  <si>
    <t>0.1 g</t>
  </si>
  <si>
    <t>0029804</t>
  </si>
  <si>
    <t>TIGILIN</t>
  </si>
  <si>
    <t>Sofarimex-Industria Quimica E Farmaceutica, S.A.</t>
  </si>
  <si>
    <t>0105008</t>
  </si>
  <si>
    <t>NORADRENALIN KALCEKS</t>
  </si>
  <si>
    <t>ampula, 10 po 10mL (1mg/mL)</t>
  </si>
  <si>
    <t>1069624</t>
  </si>
  <si>
    <t>GALIPEKS</t>
  </si>
  <si>
    <t>Laboratorios Liconsa, S.A.;
Galenika AD Beograd</t>
  </si>
  <si>
    <t>Španija;
Republika Srbija</t>
  </si>
  <si>
    <t>1069625</t>
  </si>
  <si>
    <t>bočica staklena, 1 po 2mL (40mg/2mL)</t>
  </si>
  <si>
    <t>Kymos, S.L.</t>
  </si>
  <si>
    <t>bočica staklena, 1 po 5mL (100mg/5mL)</t>
  </si>
  <si>
    <t>IRINOTEKAN QILU ◊</t>
  </si>
  <si>
    <t>AMIKACIN KABI</t>
  </si>
  <si>
    <t>boca plastična, 10 po 100 mL (5mg/mL)</t>
  </si>
  <si>
    <t>XANIRVA</t>
  </si>
  <si>
    <t>S.C. Zentiva S.A.;
Pharmadox Healthcare ltd.</t>
  </si>
  <si>
    <t>Rumunija;
Malta</t>
  </si>
  <si>
    <t>1068067</t>
  </si>
  <si>
    <t>0029732</t>
  </si>
  <si>
    <t>0029731</t>
  </si>
  <si>
    <t>0024281</t>
  </si>
  <si>
    <t>0039326</t>
  </si>
  <si>
    <t>0039327</t>
  </si>
  <si>
    <t>bočica staklena,1 po 3,5 mg</t>
  </si>
  <si>
    <t>bočica staklena, 10 po 5mL (250mcg/5mL)</t>
  </si>
  <si>
    <t>Italija;
Italija</t>
  </si>
  <si>
    <t>ampula, 5 po 5 ml (100 mg/5 ml)</t>
  </si>
  <si>
    <t>Supstituciona terapija kod odraslih, dece i adolescenata(0-18 godina) kod: 
-sindroma primarne imunodeficijencije sa poremećenim stvaranjem antitela;
-hipogamaglobulinemije i rekurentnih bakterijskih infekcija kod pacijenata sa hroničnom limfocitnom leukemijom (HLL), kod kojih profilaktički antibiotici nisu delovali ili su kontraindikovani;
-hipogamaglobulinemije i rekuretnih infekcija kod pacijenata sa multiplim mijelomom;
-hipogamglobulinemije kod pacijenata pre i posle alogene transplantacije hematopoetskih matičnih ćelija.</t>
  </si>
  <si>
    <t>U toku invitro oplodnje.</t>
  </si>
  <si>
    <t>U sklopu postupka BMPO od dana vraćanja oocita do 12. nedelje od potvrđene trudnoće.</t>
  </si>
  <si>
    <t>Fareva Unterach GmbH</t>
  </si>
  <si>
    <t>Corden Pharma Latina S.P.A.</t>
  </si>
  <si>
    <t>CEFAZOLIN VEGA</t>
  </si>
  <si>
    <t>CEFTRIAKSON VEGA</t>
  </si>
  <si>
    <t>Bridgewest Perth Pharma PTY LTD</t>
  </si>
  <si>
    <t>DAKARBAZIN QUATALIA</t>
  </si>
  <si>
    <t>Organon Heist B.V.</t>
  </si>
  <si>
    <t>S.C.Sindan-Pharma S.R.L.</t>
  </si>
  <si>
    <t xml:space="preserve"> S.C. Sindan-Pharma S.R.L.</t>
  </si>
  <si>
    <t xml:space="preserve">
Hospira Zagreb d.o.o.</t>
  </si>
  <si>
    <t xml:space="preserve">
Republika Hrvatska</t>
  </si>
  <si>
    <t>Synthon S.R.O. ;
Synthon Hispania SL</t>
  </si>
  <si>
    <t>S.M. Farmaceutici S.R.L.</t>
  </si>
  <si>
    <t>Cheplapharm Arzneimittel GmbH</t>
  </si>
  <si>
    <t>0199403</t>
  </si>
  <si>
    <t>Teva Pharmaceuticals Europe B.V.; Merckle GmbH; Pliva Hrvatska d.o.o.; Pharmaten International SA</t>
  </si>
  <si>
    <t>Holandija; Nemačka; Hrvatska; Grčka</t>
  </si>
  <si>
    <t>SALAZIDIME</t>
  </si>
  <si>
    <t>Bridgewest Perth Pharma PTY LTD.</t>
  </si>
  <si>
    <t>Actavis Group PTC ehf</t>
  </si>
  <si>
    <t>Island</t>
  </si>
  <si>
    <t>Sanofi-Aventis ZRT.; Sanofi Pasteur- Val de Reuil.; Sanofi Pasteur- Marcy L´Etoile</t>
  </si>
  <si>
    <t>Sanofi Pasteur - Marcy L´Etoile; Sanofi Pasteur- Val de Reuil; Sanofi-Aventis ZRT.</t>
  </si>
  <si>
    <t>Eumedica Pharmaceuticals AG</t>
  </si>
  <si>
    <t>Accord Healthcare Polska SP. Z.O.O. Magazyn Importera</t>
  </si>
  <si>
    <t>Sanofi Pasteur - Marcy L´Etoile;
Sanofi Pasteur - Val de Reuil ; 
Sanofi-Aventis ZRT.</t>
  </si>
  <si>
    <t>Francuska;
Francuska; Mađarska</t>
  </si>
  <si>
    <t>VISIPAQUE™</t>
  </si>
  <si>
    <t>Balkanpharma-Dupnitsa AD;
Actavis Group PTC EHF</t>
  </si>
  <si>
    <t>Bugarska;
Island</t>
  </si>
  <si>
    <r>
      <t>boca</t>
    </r>
    <r>
      <rPr>
        <sz val="8"/>
        <rFont val="Arial"/>
        <family val="2"/>
        <charset val="238"/>
      </rPr>
      <t xml:space="preserve"> staklena, 1 po 50 ml (200g/L)</t>
    </r>
  </si>
  <si>
    <r>
      <t>boca</t>
    </r>
    <r>
      <rPr>
        <sz val="8"/>
        <rFont val="Arial"/>
        <family val="2"/>
        <charset val="238"/>
      </rPr>
      <t xml:space="preserve"> staklena, 1 po 100 ml (200g/L)</t>
    </r>
  </si>
  <si>
    <t>Sanofi Winthrop Industrie; 
Sanofi S.R.L.</t>
  </si>
  <si>
    <t>Francuska;
Italija</t>
  </si>
  <si>
    <t>METHYLERGOMETRIN HF</t>
  </si>
  <si>
    <t>ampula, 50 po 0,2 mg/1 ml</t>
  </si>
  <si>
    <t>pen sa uloškom, 1 po 0,48 ml (300 i.j./0,48  ml)</t>
  </si>
  <si>
    <t>pen sa uloškom, 1 po 0,72 ml (450 i.j./0,72 ml)</t>
  </si>
  <si>
    <t>pen sa uloškom, 1 po 1,44 ml (900 i.j./1,44 ml)</t>
  </si>
  <si>
    <t xml:space="preserve">Pharmadox Healthcare Ltd.; Galenicum Health S.L.U.; SAG Manufacturing S.L.U.;
Hikma Italia S.P.A.
</t>
  </si>
  <si>
    <t>Malta; Španija; Španija; Italija</t>
  </si>
  <si>
    <t>Medochemie LTD (Factory C)</t>
  </si>
  <si>
    <t>Wave Pharma Limited; 
Kymos, S.L.</t>
  </si>
  <si>
    <t>Velika Britanija; Španija</t>
  </si>
  <si>
    <t>KLINDAMICIN HF</t>
  </si>
  <si>
    <t>ampula, 10 po 2 ml (300mg/2ml)</t>
  </si>
  <si>
    <t>boca staklena, 10 po 100 ml (5 mg/ml)</t>
  </si>
  <si>
    <t>LEVOFLOXACINA BIOINDUSTRIA L.I.M.</t>
  </si>
  <si>
    <t>bočica staklena,10 po 1000000ij</t>
  </si>
  <si>
    <t xml:space="preserve"> Penn Pharmaceutical Services Limited; Merckle GmBH; Teva Pharmaceuticals Europe B.V.; Millmount Healthcare Limited; Laboratorios Liconsa S.A.</t>
  </si>
  <si>
    <t xml:space="preserve"> Velika Britanija; Nemačka; Holandija; Irska; Španija </t>
  </si>
  <si>
    <t>bočica plastična, 60 po 450mg</t>
  </si>
  <si>
    <t>bočica staklena, 10 po 100 mg</t>
  </si>
  <si>
    <t>bočica staklena, 10 po 200 mg</t>
  </si>
  <si>
    <t>bočica staklena, 5 po 5ml (2mg/ml)</t>
  </si>
  <si>
    <t>FLUOROURACIL QUATALIA</t>
  </si>
  <si>
    <t>bočica staklena, 1 po 4 mL (80mg/4mL)</t>
  </si>
  <si>
    <t>bočica staklena, 1 po 10 mg/20 ml</t>
  </si>
  <si>
    <t>boca staklena, 1 po 50 mg/100 ml</t>
  </si>
  <si>
    <t>bočica staklena, 1 po 10 ml (5 mg/ml)</t>
  </si>
  <si>
    <t>ELIGARD™</t>
  </si>
  <si>
    <t>Astellas Pharma Europe B.V.;
Recordati Industria Chimica E Farmaceutica S.P.A.</t>
  </si>
  <si>
    <t>Holandija;
Italija</t>
  </si>
  <si>
    <t xml:space="preserve">Genzyme Polyclonals S.A.S.;
Genzyme Ireland Limited </t>
  </si>
  <si>
    <t>napunjen injekcioni špric, 1 po 3ml (3mg/3ml)</t>
  </si>
  <si>
    <t xml:space="preserve"> 50 po 10 ml (0,5 mg/10 ml)</t>
  </si>
  <si>
    <r>
      <t>BUPIVAKAIN</t>
    </r>
    <r>
      <rPr>
        <sz val="8"/>
        <rFont val="Arial"/>
        <family val="2"/>
        <charset val="238"/>
      </rPr>
      <t xml:space="preserve"> GRINDEKS SPINAL</t>
    </r>
  </si>
  <si>
    <t>boca plastična, 10 po 500 ml (200 mg)</t>
  </si>
  <si>
    <t>Cooper Pharmaceuticals S.A.</t>
  </si>
  <si>
    <t>OMNIPAQUE™</t>
  </si>
  <si>
    <t>boca staklena, 10 po 50 ml (320 mg I/ml)</t>
  </si>
  <si>
    <t>boca staklena, 10 po 100 ml (320 mg I/ml)</t>
  </si>
  <si>
    <t>bočica staklena, 1 po 20 ml (529 mg/ml)</t>
  </si>
  <si>
    <t>boca plastična, 20 po 100 ml (10mg/ml)</t>
  </si>
  <si>
    <t>boca plastična, 20 po 100 ml (5mg/ml)</t>
  </si>
  <si>
    <t>Catalent Anagni S.r.l.;
Pfizer Manufacturing Deutschland GmbH;
Swords Laboratories Unlimited Company, T/A Bristol-Myers Squibb, Pharmaceutical Operations, External Manufacturing;
Pfizer Ireland Pharmaceuticals</t>
  </si>
  <si>
    <t>Italija; 
Nemačka;
Irska;
Irska</t>
  </si>
  <si>
    <t>0066055</t>
  </si>
  <si>
    <t>bočica sa praškom i bočica sa rastvaračem i Baxject II Hi-Flow, 1 po 5mL (500j./5mL)</t>
  </si>
  <si>
    <t>OKTREOTID ACTAVIS</t>
  </si>
  <si>
    <t>Merckle GmbH;
Norton Healthcare Limited (T/A Ivax Pharmaceuticals UK)</t>
  </si>
  <si>
    <t>Nemačka;
Velika Britanija</t>
  </si>
  <si>
    <t xml:space="preserve"> Sciencepharma SP. Z O.O.</t>
  </si>
  <si>
    <t>1069622</t>
  </si>
  <si>
    <t>DAXANLO</t>
  </si>
  <si>
    <t>blister deljiv na pojedinačne doze, 60 po 110 mg</t>
  </si>
  <si>
    <t>Krka, D.D., Novo Mesto</t>
  </si>
  <si>
    <t>0.3 g</t>
  </si>
  <si>
    <t>1063017</t>
  </si>
  <si>
    <t>ROXELANA</t>
  </si>
  <si>
    <t>Saneca Pharmaceuticals A.S.;
Adalvo Limited</t>
  </si>
  <si>
    <t>Slovačka;
Malta</t>
  </si>
  <si>
    <t>20 mg</t>
  </si>
  <si>
    <t>1063021</t>
  </si>
  <si>
    <t>RISAGAL</t>
  </si>
  <si>
    <t>Zaklady Farmaceutyczne Polpharma S.A.;
Pharmaswiss D.O.O. Beograd</t>
  </si>
  <si>
    <t xml:space="preserve">Poljska;
Republika Srbija </t>
  </si>
  <si>
    <t>GLUKOZA 5% VIOSER</t>
  </si>
  <si>
    <t>GLUKOZA 10% VIOSER</t>
  </si>
  <si>
    <t>9175767</t>
  </si>
  <si>
    <t>PHYSIONEAL 40 CLEAR-FLEX glukoza 1,36% m/v / 13,6 mg/mL</t>
  </si>
  <si>
    <t>jednostruka plastična kesa, 1 po 5000mL (13,6g/L+5,38g/L+0,184g/L+0,051g/L+2,1g/L+1,68g/L)</t>
  </si>
  <si>
    <t>9175768</t>
  </si>
  <si>
    <t>PHYSIONEAL 40 CLEAR-FLEX glukoza 2,27% m/v / 22,7 mg/mL</t>
  </si>
  <si>
    <t>jednostruka plastična kesa, 1 po 5000mL (22,7g/L+5,38g/L+0,184g/L+0,051g/L+2,1g/L+1,68g/L)</t>
  </si>
  <si>
    <t>9175769</t>
  </si>
  <si>
    <t>PHYSIONEAL 40 CLEAR-FLEX glukoza 3,86% m/v / 38,6 mg/mL</t>
  </si>
  <si>
    <t>jednostruka plastična kesa, 1 po 5000mL (38,6g/L+5,38g/L+0,184g/L+0,051g/L+2,1g/L+1,68g/L)</t>
  </si>
  <si>
    <t>HP Halden Pharma AS</t>
  </si>
  <si>
    <t>0044098</t>
  </si>
  <si>
    <t>bočica sa praškom i ampula sa rastvaračem, 1 po 1mL (150i.j.)</t>
  </si>
  <si>
    <t>0049221</t>
  </si>
  <si>
    <t>GANIRELIX GEDEON RICHTER</t>
  </si>
  <si>
    <t>napunjen injekcioni špric, 1 po 0.5 mL (0.25mg/0.5mL)</t>
  </si>
  <si>
    <t>0021994</t>
  </si>
  <si>
    <t>TAVOCTAME</t>
  </si>
  <si>
    <t>bočica staklena, 1 po 4,5 g (4g + 0.5g)</t>
  </si>
  <si>
    <t>0331966</t>
  </si>
  <si>
    <t>CEFTRIAKSON QILU</t>
  </si>
  <si>
    <t xml:space="preserve">2 g </t>
  </si>
  <si>
    <t>0321700</t>
  </si>
  <si>
    <t>CEFTRIAKSON PONTUS</t>
  </si>
  <si>
    <t>0321701</t>
  </si>
  <si>
    <t>0321888</t>
  </si>
  <si>
    <t>CEFEPIM QILU</t>
  </si>
  <si>
    <t>0321889</t>
  </si>
  <si>
    <t>bočica staklena, 50 po 1g</t>
  </si>
  <si>
    <t>0321918</t>
  </si>
  <si>
    <t>CEFEPIM PHARMASWISS</t>
  </si>
  <si>
    <t>ACS Dobfar S.P.A.;
Pharmaswiss d.o.o. Beograd</t>
  </si>
  <si>
    <t>Italija;
Republika Srbija</t>
  </si>
  <si>
    <t>0029745</t>
  </si>
  <si>
    <t>MEPENEX</t>
  </si>
  <si>
    <t>Vianex S.A. - Plant D</t>
  </si>
  <si>
    <t>0029746</t>
  </si>
  <si>
    <t>0029721</t>
  </si>
  <si>
    <t>MEROPENEM ATB</t>
  </si>
  <si>
    <t>0029722</t>
  </si>
  <si>
    <t>MiP Pharma GmbH</t>
  </si>
  <si>
    <t>Sanofi S.R.L.</t>
  </si>
  <si>
    <t>0029830</t>
  </si>
  <si>
    <t>TEICOPLANIN DEMO</t>
  </si>
  <si>
    <t>bočica sa praškom i ampula sa rastvaračem, 1 po 3mL (200mg/3mL)</t>
  </si>
  <si>
    <t>0,4 g</t>
  </si>
  <si>
    <t>0029831</t>
  </si>
  <si>
    <t>bočica sa praškom i ampula sa rastvaračem, 1 po 3mL (400mg/3mL)</t>
  </si>
  <si>
    <t>0029100</t>
  </si>
  <si>
    <t>LINEZAN</t>
  </si>
  <si>
    <t>kesa, 10 po 300 mL (2mg/mL)</t>
  </si>
  <si>
    <t>0029101</t>
  </si>
  <si>
    <t>LINEZOLID QUATALIA</t>
  </si>
  <si>
    <t>Infomed Fluids SRL</t>
  </si>
  <si>
    <t>MIKAFUNGIN ACTAVIS</t>
  </si>
  <si>
    <t>S.C.Sindan-Pharma S.R.L.;
Merckle GmbH</t>
  </si>
  <si>
    <t>Rumunija;
Nemačka</t>
  </si>
  <si>
    <t>Sanofi Winthrop Industrie - Marcy L´Etoile; Sanofi Winthrop Industrie- Val de Reuil; Sanofi-Aventis Private Co. LTD.</t>
  </si>
  <si>
    <t>0034363</t>
  </si>
  <si>
    <t>MEKSRATU</t>
  </si>
  <si>
    <t>napunjen injekcioni špric, 1 po 0.4mL (10mg/0.4mL)</t>
  </si>
  <si>
    <t>Onco Ilac Sanayi Ve Ticaret A.S.</t>
  </si>
  <si>
    <t>0034360</t>
  </si>
  <si>
    <t>napunjen injekcioni špric, 1 po 0.6mL (15mg/0.6mL)</t>
  </si>
  <si>
    <t>0034362</t>
  </si>
  <si>
    <t>napunjen injekcioni špric, 1 po 0.8mL (20mg/0.8mL)</t>
  </si>
  <si>
    <t>0034361</t>
  </si>
  <si>
    <t>napunjen injekcioni špric, 1 po 1mL (25mg/mL)</t>
  </si>
  <si>
    <t>1039863</t>
  </si>
  <si>
    <t>PACLITAXEL KABI ◊</t>
  </si>
  <si>
    <t>bočica staklena, 1 po 50 mL (6mg/mL)</t>
  </si>
  <si>
    <t>0031390</t>
  </si>
  <si>
    <t>OKSALIPLATIN QILU ◊</t>
  </si>
  <si>
    <t>bočica staklena, 1 po 10 mL (5mg/mL)</t>
  </si>
  <si>
    <t>0031391</t>
  </si>
  <si>
    <t>bočica staklena, 1 po 20 mL (5mg/mL)</t>
  </si>
  <si>
    <t>Stada Arzneimitttel AG</t>
  </si>
  <si>
    <t>0039941</t>
  </si>
  <si>
    <t>BORTEZOMIB FRESENIUS KABI ◊</t>
  </si>
  <si>
    <t>Fresenius Kabi Polska SP. Z.O.O.;
Fresenius Kabi Deutschland GmbH</t>
  </si>
  <si>
    <t>Poljska;
Nemačka</t>
  </si>
  <si>
    <t>16.7 mg</t>
  </si>
  <si>
    <t>0039706</t>
  </si>
  <si>
    <t>FULVESTRANT MEDIKUNION ◊</t>
  </si>
  <si>
    <t>napunjen injekcioni špric, 1 po 5 mL (250mg/5mL)</t>
  </si>
  <si>
    <t>0039707</t>
  </si>
  <si>
    <t>napunjen injekcioni špric, 2 po 5 mL (250mg/5mL)</t>
  </si>
  <si>
    <t>0014449</t>
  </si>
  <si>
    <t>PELGRAZ</t>
  </si>
  <si>
    <t>napunjeni injekcioni špric (staklo) sa štitnikom za iglu + 1 alkoholni tupfer, 1 po 6 mg/0,6 ml</t>
  </si>
  <si>
    <t>Accord Healthcare Polska Sp.z.o.o.;
Accord Healthcare B.V.</t>
  </si>
  <si>
    <t>Poljska;
Holandija</t>
  </si>
  <si>
    <t>0015160</t>
  </si>
  <si>
    <t>L03AX03</t>
  </si>
  <si>
    <t>živi atenuisani bacili BCG (Bacillus Calmette-Guerin)</t>
  </si>
  <si>
    <t>BCG-MEDAC</t>
  </si>
  <si>
    <t>prašak i rastvarač za intravezikalnu suspenziju</t>
  </si>
  <si>
    <t>Medac Gesellschaft Fur Klinische Spezialpreparate M.B.H</t>
  </si>
  <si>
    <r>
      <t>bočica sa praškom i kesica sa rastvaračem, 1 po 50mL, 2x10exp</t>
    </r>
    <r>
      <rPr>
        <vertAlign val="superscript"/>
        <sz val="8"/>
        <rFont val="Arial"/>
        <family val="2"/>
      </rPr>
      <t>8</t>
    </r>
    <r>
      <rPr>
        <sz val="8"/>
        <rFont val="Arial"/>
        <family val="2"/>
      </rPr>
      <t xml:space="preserve"> do 3x10exp</t>
    </r>
    <r>
      <rPr>
        <vertAlign val="superscript"/>
        <sz val="8"/>
        <rFont val="Arial"/>
        <family val="2"/>
      </rPr>
      <t>9</t>
    </r>
    <r>
      <rPr>
        <sz val="8"/>
        <rFont val="Arial"/>
        <family val="2"/>
      </rPr>
      <t xml:space="preserve"> jedinica formiranja kolonija (CFU)/bočici</t>
    </r>
  </si>
  <si>
    <t>0082055</t>
  </si>
  <si>
    <t>ROKURONIJUM BROMID B. BRAUN</t>
  </si>
  <si>
    <t>ampula, 20 po 5 ml (10mg/ml)</t>
  </si>
  <si>
    <t>Baxter</t>
  </si>
  <si>
    <t>0087576</t>
  </si>
  <si>
    <t>ampula, 10 po 10 ml (0.5 mg/ml)</t>
  </si>
  <si>
    <t>0086321</t>
  </si>
  <si>
    <t>PARACETAMOL ABELAPHARM</t>
  </si>
  <si>
    <t>boca staklena, 10 po 100 ml (10 mg/ml)</t>
  </si>
  <si>
    <t>S.M. Farmaceutici s.r.l.;
Abela Pharm doo Beograd</t>
  </si>
  <si>
    <t>Italija; Italija</t>
  </si>
  <si>
    <t>0199301</t>
  </si>
  <si>
    <t>GADOBUTROL CORAPHARM</t>
  </si>
  <si>
    <t>bočica staklena, 5 po 15mL (1mmol/mL)</t>
  </si>
  <si>
    <t>Infosaude-Instituto De Farmacao E Inovacao Em Saude S.A.</t>
  </si>
  <si>
    <t>0199300</t>
  </si>
  <si>
    <t>bočica staklena, 10 po 30mL (1mmol/mL)</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</si>
  <si>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UKC Kragujevac,
 - Institut za zdravstvenu zaštitu majke i deteta Srbije „Dr Vukan Čupić”,
 - Institut za zdravstvenu zaštitu dece i omladine Vojvodine,
 - Klinika za dečje interne bolesti UKC Niš,
 - Univerzitetska dečja klinika,
 - Vojnomedicinska akademija,
 - KBC Zemun.  
Nastavak terapije u zdravstvenim ustanovama koje obavljaju zdravstvenu delatnost na sekundarnom ili tercijarnom nivou u mestu prebivališta osiguranog lica.</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</si>
  <si>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UKC Kragujevac, 
 - Vojnomedicinska akademija,
 -  KBC Zemun. 
Nastavak terapije u zdravstvenim ustanovama koje obavljaju zdravstvenu delatnost na sekundarnom ili tercijarnom nivou u mestu prebivališta osiguranog 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</si>
</sst>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_-;\-* #,##0.00_-;_-* &quot;-&quot;??_-;_-@_-"/>
    <numFmt numFmtId="167" formatCode="_-* #,##0.00\ _d_i_n_._-;\-* #,##0.00\ _d_i_n_._-;_-* &quot;-&quot;??\ _d_i_n_._-;_-@_-"/>
    <numFmt numFmtId="168" formatCode="&quot; &quot;#,##0.00&quot; &quot;;&quot;-&quot;#,##0.00&quot; &quot;;&quot; -&quot;00&quot; &quot;;&quot; &quot;@&quot; &quot;"/>
  </numFmts>
  <fonts count="107">
    <font>
      <sz val="11"/>
      <color theme="1"/>
      <name val="Calibri"/>
      <family val="2"/>
      <scheme val="minor"/>
    </font>
    <font>
      <sz val="11"/>
      <color indexed="8"/>
      <name val="Calibri"/>
      <family val="2"/>
    </font>
    <font>
      <b/>
      <sz val="9"/>
      <name val="Arial"/>
      <family val="2"/>
    </font>
    <font>
      <sz val="8"/>
      <name val="Arial"/>
      <family val="2"/>
    </font>
    <font>
      <u/>
      <sz val="10"/>
      <color indexed="12"/>
      <name val="Arial"/>
      <family val="2"/>
    </font>
    <font>
      <sz val="8"/>
      <name val="Arial"/>
      <family val="2"/>
      <charset val="238"/>
    </font>
    <font>
      <sz val="10"/>
      <name val="Arial"/>
      <family val="2"/>
    </font>
    <font>
      <sz val="8"/>
      <name val="Calibri"/>
      <family val="2"/>
      <charset val="238"/>
    </font>
    <font>
      <sz val="8"/>
      <name val="Calibri"/>
      <family val="2"/>
    </font>
    <font>
      <sz val="10"/>
      <name val="Arial"/>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charset val="238"/>
    </font>
    <font>
      <sz val="10"/>
      <color indexed="8"/>
      <name val="Arial"/>
      <family val="2"/>
      <charset val="238"/>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8"/>
      <name val="Calibri"/>
      <family val="2"/>
    </font>
    <font>
      <sz val="11"/>
      <color indexed="8"/>
      <name val="Calibri"/>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8.25"/>
      <name val="Microsoft Sans Serif"/>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11"/>
      <color theme="1"/>
      <name val="Calibri"/>
      <family val="2"/>
      <scheme val="minor"/>
    </font>
    <font>
      <sz val="11"/>
      <color theme="1"/>
      <name val="Calibri"/>
      <family val="2"/>
      <charset val="238"/>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theme="1"/>
      <name val="Calibri"/>
      <family val="2"/>
      <charset val="161"/>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sz val="18"/>
      <color theme="3"/>
      <name val="Calibri Light"/>
      <family val="2"/>
      <charset val="238"/>
      <scheme val="major"/>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
      <vertAlign val="superscript"/>
      <sz val="8"/>
      <name val="Arial"/>
      <family val="2"/>
    </font>
  </fonts>
  <fills count="10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3463">
    <xf numFmtId="0" fontId="0" fillId="0" borderId="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 fillId="31" borderId="0" applyNumberFormat="0" applyFont="0" applyBorder="0" applyAlignment="0" applyProtection="0"/>
    <xf numFmtId="0" fontId="19" fillId="30" borderId="0" applyNumberFormat="0" applyFont="0" applyBorder="0" applyAlignment="0" applyProtection="0"/>
    <xf numFmtId="0" fontId="1" fillId="31" borderId="0" applyNumberFormat="0" applyFont="0" applyBorder="0" applyAlignment="0" applyProtection="0"/>
    <xf numFmtId="0" fontId="19" fillId="30" borderId="0" applyNumberFormat="0" applyFont="0" applyBorder="0" applyAlignment="0" applyProtection="0"/>
    <xf numFmtId="0" fontId="33" fillId="31" borderId="0" applyNumberFormat="0" applyFont="0" applyBorder="0" applyAlignment="0" applyProtection="0"/>
    <xf numFmtId="0" fontId="38" fillId="31" borderId="0" applyNumberFormat="0" applyFont="0" applyBorder="0" applyAlignment="0" applyProtection="0"/>
    <xf numFmtId="0" fontId="42" fillId="31" borderId="0" applyNumberFormat="0" applyFont="0" applyBorder="0" applyAlignment="0" applyProtection="0"/>
    <xf numFmtId="0" fontId="1" fillId="32" borderId="0" applyNumberFormat="0" applyFont="0" applyBorder="0" applyAlignment="0" applyProtection="0"/>
    <xf numFmtId="0" fontId="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2" borderId="0" applyNumberFormat="0" applyFont="0" applyBorder="0" applyAlignment="0" applyProtection="0"/>
    <xf numFmtId="0" fontId="19" fillId="32" borderId="0" applyNumberFormat="0" applyFont="0" applyBorder="0" applyAlignment="0" applyProtection="0"/>
    <xf numFmtId="0" fontId="19" fillId="32" borderId="0" applyNumberFormat="0" applyFont="0" applyBorder="0" applyAlignment="0" applyProtection="0"/>
    <xf numFmtId="0" fontId="32" fillId="32" borderId="0" applyNumberFormat="0" applyFont="0" applyBorder="0" applyAlignment="0" applyProtection="0"/>
    <xf numFmtId="0" fontId="37" fillId="32" borderId="0" applyNumberFormat="0" applyFont="0" applyBorder="0" applyAlignment="0" applyProtection="0"/>
    <xf numFmtId="0" fontId="4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 fillId="34" borderId="0" applyNumberFormat="0" applyFont="0" applyBorder="0" applyAlignment="0" applyProtection="0"/>
    <xf numFmtId="0" fontId="19" fillId="33" borderId="0" applyNumberFormat="0" applyFont="0" applyBorder="0" applyAlignment="0" applyProtection="0"/>
    <xf numFmtId="0" fontId="1" fillId="34" borderId="0" applyNumberFormat="0" applyFont="0" applyBorder="0" applyAlignment="0" applyProtection="0"/>
    <xf numFmtId="0" fontId="19" fillId="33" borderId="0" applyNumberFormat="0" applyFont="0" applyBorder="0" applyAlignment="0" applyProtection="0"/>
    <xf numFmtId="0" fontId="33" fillId="34" borderId="0" applyNumberFormat="0" applyFont="0" applyBorder="0" applyAlignment="0" applyProtection="0"/>
    <xf numFmtId="0" fontId="38" fillId="34" borderId="0" applyNumberFormat="0" applyFont="0" applyBorder="0" applyAlignment="0" applyProtection="0"/>
    <xf numFmtId="0" fontId="42" fillId="34" borderId="0" applyNumberFormat="0" applyFont="0" applyBorder="0" applyAlignment="0" applyProtection="0"/>
    <xf numFmtId="0" fontId="1" fillId="35" borderId="0" applyNumberFormat="0" applyFont="0" applyBorder="0" applyAlignment="0" applyProtection="0"/>
    <xf numFmtId="0" fontId="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5" borderId="0" applyNumberFormat="0" applyFont="0" applyBorder="0" applyAlignment="0" applyProtection="0"/>
    <xf numFmtId="0" fontId="19" fillId="35" borderId="0" applyNumberFormat="0" applyFont="0" applyBorder="0" applyAlignment="0" applyProtection="0"/>
    <xf numFmtId="0" fontId="19" fillId="35" borderId="0" applyNumberFormat="0" applyFont="0" applyBorder="0" applyAlignment="0" applyProtection="0"/>
    <xf numFmtId="0" fontId="32" fillId="35" borderId="0" applyNumberFormat="0" applyFont="0" applyBorder="0" applyAlignment="0" applyProtection="0"/>
    <xf numFmtId="0" fontId="37" fillId="35" borderId="0" applyNumberFormat="0" applyFont="0" applyBorder="0" applyAlignment="0" applyProtection="0"/>
    <xf numFmtId="0" fontId="4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 fillId="37" borderId="0" applyNumberFormat="0" applyFont="0" applyBorder="0" applyAlignment="0" applyProtection="0"/>
    <xf numFmtId="0" fontId="19" fillId="36" borderId="0" applyNumberFormat="0" applyFont="0" applyBorder="0" applyAlignment="0" applyProtection="0"/>
    <xf numFmtId="0" fontId="1" fillId="37" borderId="0" applyNumberFormat="0" applyFont="0" applyBorder="0" applyAlignment="0" applyProtection="0"/>
    <xf numFmtId="0" fontId="19" fillId="36" borderId="0" applyNumberFormat="0" applyFont="0" applyBorder="0" applyAlignment="0" applyProtection="0"/>
    <xf numFmtId="0" fontId="33" fillId="37" borderId="0" applyNumberFormat="0" applyFont="0" applyBorder="0" applyAlignment="0" applyProtection="0"/>
    <xf numFmtId="0" fontId="38" fillId="37" borderId="0" applyNumberFormat="0" applyFont="0" applyBorder="0" applyAlignment="0" applyProtection="0"/>
    <xf numFmtId="0" fontId="42" fillId="37" borderId="0" applyNumberFormat="0" applyFont="0" applyBorder="0" applyAlignment="0" applyProtection="0"/>
    <xf numFmtId="0" fontId="1" fillId="38" borderId="0" applyNumberFormat="0" applyFont="0" applyBorder="0" applyAlignment="0" applyProtection="0"/>
    <xf numFmtId="0" fontId="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8" borderId="0" applyNumberFormat="0" applyFont="0" applyBorder="0" applyAlignment="0" applyProtection="0"/>
    <xf numFmtId="0" fontId="19" fillId="38" borderId="0" applyNumberFormat="0" applyFont="0" applyBorder="0" applyAlignment="0" applyProtection="0"/>
    <xf numFmtId="0" fontId="19" fillId="38" borderId="0" applyNumberFormat="0" applyFont="0" applyBorder="0" applyAlignment="0" applyProtection="0"/>
    <xf numFmtId="0" fontId="32" fillId="38" borderId="0" applyNumberFormat="0" applyFont="0" applyBorder="0" applyAlignment="0" applyProtection="0"/>
    <xf numFmtId="0" fontId="37" fillId="38" borderId="0" applyNumberFormat="0" applyFont="0" applyBorder="0" applyAlignment="0" applyProtection="0"/>
    <xf numFmtId="0" fontId="4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 fillId="40" borderId="0" applyNumberFormat="0" applyFont="0" applyBorder="0" applyAlignment="0" applyProtection="0"/>
    <xf numFmtId="0" fontId="19" fillId="39" borderId="0" applyNumberFormat="0" applyFont="0" applyBorder="0" applyAlignment="0" applyProtection="0"/>
    <xf numFmtId="0" fontId="1" fillId="40" borderId="0" applyNumberFormat="0" applyFont="0" applyBorder="0" applyAlignment="0" applyProtection="0"/>
    <xf numFmtId="0" fontId="19" fillId="39" borderId="0" applyNumberFormat="0" applyFont="0" applyBorder="0" applyAlignment="0" applyProtection="0"/>
    <xf numFmtId="0" fontId="33" fillId="40" borderId="0" applyNumberFormat="0" applyFont="0" applyBorder="0" applyAlignment="0" applyProtection="0"/>
    <xf numFmtId="0" fontId="38" fillId="40" borderId="0" applyNumberFormat="0" applyFont="0" applyBorder="0" applyAlignment="0" applyProtection="0"/>
    <xf numFmtId="0" fontId="42" fillId="40" borderId="0" applyNumberFormat="0" applyFont="0" applyBorder="0" applyAlignment="0" applyProtection="0"/>
    <xf numFmtId="0" fontId="1" fillId="41" borderId="0" applyNumberFormat="0" applyFont="0" applyBorder="0" applyAlignment="0" applyProtection="0"/>
    <xf numFmtId="0" fontId="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41" borderId="0" applyNumberFormat="0" applyFont="0" applyBorder="0" applyAlignment="0" applyProtection="0"/>
    <xf numFmtId="0" fontId="19" fillId="41" borderId="0" applyNumberFormat="0" applyFont="0" applyBorder="0" applyAlignment="0" applyProtection="0"/>
    <xf numFmtId="0" fontId="19" fillId="41" borderId="0" applyNumberFormat="0" applyFont="0" applyBorder="0" applyAlignment="0" applyProtection="0"/>
    <xf numFmtId="0" fontId="32" fillId="41" borderId="0" applyNumberFormat="0" applyFont="0" applyBorder="0" applyAlignment="0" applyProtection="0"/>
    <xf numFmtId="0" fontId="37" fillId="41" borderId="0" applyNumberFormat="0" applyFont="0" applyBorder="0" applyAlignment="0" applyProtection="0"/>
    <xf numFmtId="0" fontId="4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42" borderId="0" applyNumberFormat="0" applyFont="0" applyBorder="0" applyAlignment="0" applyProtection="0"/>
    <xf numFmtId="0" fontId="41"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32" fillId="42" borderId="0" applyNumberFormat="0" applyFont="0" applyBorder="0" applyAlignment="0" applyProtection="0"/>
    <xf numFmtId="0" fontId="37" fillId="42" borderId="0" applyNumberFormat="0" applyFont="0" applyBorder="0" applyAlignment="0" applyProtection="0"/>
    <xf numFmtId="0" fontId="41" fillId="42" borderId="0" applyNumberFormat="0" applyFont="0" applyBorder="0" applyAlignment="0" applyProtection="0"/>
    <xf numFmtId="0" fontId="1" fillId="43" borderId="0" applyNumberFormat="0" applyFont="0" applyBorder="0" applyAlignment="0" applyProtection="0"/>
    <xf numFmtId="0" fontId="19" fillId="42" borderId="0" applyNumberFormat="0" applyFont="0" applyBorder="0" applyAlignment="0" applyProtection="0"/>
    <xf numFmtId="0" fontId="1" fillId="43" borderId="0" applyNumberFormat="0" applyFont="0" applyBorder="0" applyAlignment="0" applyProtection="0"/>
    <xf numFmtId="0" fontId="19" fillId="42" borderId="0" applyNumberFormat="0" applyFont="0" applyBorder="0" applyAlignment="0" applyProtection="0"/>
    <xf numFmtId="0" fontId="33" fillId="43" borderId="0" applyNumberFormat="0" applyFont="0" applyBorder="0" applyAlignment="0" applyProtection="0"/>
    <xf numFmtId="0" fontId="38" fillId="43" borderId="0" applyNumberFormat="0" applyFont="0" applyBorder="0" applyAlignment="0" applyProtection="0"/>
    <xf numFmtId="0" fontId="42" fillId="43" borderId="0" applyNumberFormat="0" applyFont="0" applyBorder="0" applyAlignment="0" applyProtection="0"/>
    <xf numFmtId="0" fontId="1" fillId="42" borderId="0" applyNumberFormat="0" applyFont="0" applyBorder="0" applyAlignment="0" applyProtection="0"/>
    <xf numFmtId="0" fontId="1"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1" fillId="42" borderId="0" applyNumberFormat="0" applyFont="0" applyBorder="0" applyAlignment="0" applyProtection="0"/>
    <xf numFmtId="0" fontId="32" fillId="42" borderId="0" applyNumberFormat="0" applyFont="0" applyBorder="0" applyAlignment="0" applyProtection="0"/>
    <xf numFmtId="0" fontId="37" fillId="42" borderId="0" applyNumberFormat="0" applyFont="0" applyBorder="0" applyAlignment="0" applyProtection="0"/>
    <xf numFmtId="0" fontId="19" fillId="44" borderId="0" applyNumberFormat="0" applyFont="0" applyBorder="0" applyAlignment="0" applyProtection="0"/>
    <xf numFmtId="0" fontId="41"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32" fillId="44" borderId="0" applyNumberFormat="0" applyFont="0" applyBorder="0" applyAlignment="0" applyProtection="0"/>
    <xf numFmtId="0" fontId="37" fillId="44" borderId="0" applyNumberFormat="0" applyFont="0" applyBorder="0" applyAlignment="0" applyProtection="0"/>
    <xf numFmtId="0" fontId="41"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33" fillId="44" borderId="0" applyNumberFormat="0" applyFont="0" applyBorder="0" applyAlignment="0" applyProtection="0"/>
    <xf numFmtId="0" fontId="38" fillId="44" borderId="0" applyNumberFormat="0" applyFont="0" applyBorder="0" applyAlignment="0" applyProtection="0"/>
    <xf numFmtId="0" fontId="42" fillId="44" borderId="0" applyNumberFormat="0" applyFont="0" applyBorder="0" applyAlignment="0" applyProtection="0"/>
    <xf numFmtId="0" fontId="1"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1" fillId="44" borderId="0" applyNumberFormat="0" applyFont="0" applyBorder="0" applyAlignment="0" applyProtection="0"/>
    <xf numFmtId="0" fontId="32" fillId="44" borderId="0" applyNumberFormat="0" applyFont="0" applyBorder="0" applyAlignment="0" applyProtection="0"/>
    <xf numFmtId="0" fontId="37" fillId="44" borderId="0" applyNumberFormat="0" applyFon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51" borderId="0" applyNumberFormat="0" applyFont="0" applyBorder="0" applyAlignment="0" applyProtection="0"/>
    <xf numFmtId="0" fontId="41"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32" fillId="51" borderId="0" applyNumberFormat="0" applyFont="0" applyBorder="0" applyAlignment="0" applyProtection="0"/>
    <xf numFmtId="0" fontId="37" fillId="51" borderId="0" applyNumberFormat="0" applyFont="0" applyBorder="0" applyAlignment="0" applyProtection="0"/>
    <xf numFmtId="0" fontId="41"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33" fillId="51" borderId="0" applyNumberFormat="0" applyFont="0" applyBorder="0" applyAlignment="0" applyProtection="0"/>
    <xf numFmtId="0" fontId="38" fillId="51" borderId="0" applyNumberFormat="0" applyFont="0" applyBorder="0" applyAlignment="0" applyProtection="0"/>
    <xf numFmtId="0" fontId="42" fillId="51" borderId="0" applyNumberFormat="0" applyFont="0" applyBorder="0" applyAlignment="0" applyProtection="0"/>
    <xf numFmtId="0" fontId="1"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1" fillId="51" borderId="0" applyNumberFormat="0" applyFont="0" applyBorder="0" applyAlignment="0" applyProtection="0"/>
    <xf numFmtId="0" fontId="32" fillId="51" borderId="0" applyNumberFormat="0" applyFont="0" applyBorder="0" applyAlignment="0" applyProtection="0"/>
    <xf numFmtId="0" fontId="37" fillId="51" borderId="0" applyNumberFormat="0" applyFont="0" applyBorder="0" applyAlignment="0" applyProtection="0"/>
    <xf numFmtId="0" fontId="19" fillId="52" borderId="0" applyNumberFormat="0" applyFont="0" applyBorder="0" applyAlignment="0" applyProtection="0"/>
    <xf numFmtId="0" fontId="41"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32" fillId="52" borderId="0" applyNumberFormat="0" applyFont="0" applyBorder="0" applyAlignment="0" applyProtection="0"/>
    <xf numFmtId="0" fontId="37" fillId="52" borderId="0" applyNumberFormat="0" applyFont="0" applyBorder="0" applyAlignment="0" applyProtection="0"/>
    <xf numFmtId="0" fontId="41" fillId="52" borderId="0" applyNumberFormat="0" applyFont="0" applyBorder="0" applyAlignment="0" applyProtection="0"/>
    <xf numFmtId="0" fontId="1" fillId="53" borderId="0" applyNumberFormat="0" applyFont="0" applyBorder="0" applyAlignment="0" applyProtection="0"/>
    <xf numFmtId="0" fontId="19" fillId="52" borderId="0" applyNumberFormat="0" applyFont="0" applyBorder="0" applyAlignment="0" applyProtection="0"/>
    <xf numFmtId="0" fontId="1" fillId="53" borderId="0" applyNumberFormat="0" applyFont="0" applyBorder="0" applyAlignment="0" applyProtection="0"/>
    <xf numFmtId="0" fontId="19" fillId="52" borderId="0" applyNumberFormat="0" applyFont="0" applyBorder="0" applyAlignment="0" applyProtection="0"/>
    <xf numFmtId="0" fontId="33" fillId="53" borderId="0" applyNumberFormat="0" applyFont="0" applyBorder="0" applyAlignment="0" applyProtection="0"/>
    <xf numFmtId="0" fontId="38" fillId="53" borderId="0" applyNumberFormat="0" applyFont="0" applyBorder="0" applyAlignment="0" applyProtection="0"/>
    <xf numFmtId="0" fontId="42" fillId="53" borderId="0" applyNumberFormat="0" applyFont="0" applyBorder="0" applyAlignment="0" applyProtection="0"/>
    <xf numFmtId="0" fontId="1" fillId="52" borderId="0" applyNumberFormat="0" applyFont="0" applyBorder="0" applyAlignment="0" applyProtection="0"/>
    <xf numFmtId="0" fontId="1"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1" fillId="52" borderId="0" applyNumberFormat="0" applyFont="0" applyBorder="0" applyAlignment="0" applyProtection="0"/>
    <xf numFmtId="0" fontId="32" fillId="52" borderId="0" applyNumberFormat="0" applyFont="0" applyBorder="0" applyAlignment="0" applyProtection="0"/>
    <xf numFmtId="0" fontId="37" fillId="52"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 fillId="55" borderId="0" applyNumberFormat="0" applyFont="0" applyBorder="0" applyAlignment="0" applyProtection="0"/>
    <xf numFmtId="0" fontId="19" fillId="54" borderId="0" applyNumberFormat="0" applyFont="0" applyBorder="0" applyAlignment="0" applyProtection="0"/>
    <xf numFmtId="0" fontId="1" fillId="55" borderId="0" applyNumberFormat="0" applyFont="0" applyBorder="0" applyAlignment="0" applyProtection="0"/>
    <xf numFmtId="0" fontId="19" fillId="54" borderId="0" applyNumberFormat="0" applyFont="0" applyBorder="0" applyAlignment="0" applyProtection="0"/>
    <xf numFmtId="0" fontId="33" fillId="55" borderId="0" applyNumberFormat="0" applyFont="0" applyBorder="0" applyAlignment="0" applyProtection="0"/>
    <xf numFmtId="0" fontId="38" fillId="55" borderId="0" applyNumberFormat="0" applyFont="0" applyBorder="0" applyAlignment="0" applyProtection="0"/>
    <xf numFmtId="0" fontId="42" fillId="55" borderId="0" applyNumberFormat="0" applyFont="0" applyBorder="0" applyAlignment="0" applyProtection="0"/>
    <xf numFmtId="0" fontId="1" fillId="56" borderId="0" applyNumberFormat="0" applyFont="0" applyBorder="0" applyAlignment="0" applyProtection="0"/>
    <xf numFmtId="0" fontId="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6" borderId="0" applyNumberFormat="0" applyFont="0" applyBorder="0" applyAlignment="0" applyProtection="0"/>
    <xf numFmtId="0" fontId="19" fillId="56" borderId="0" applyNumberFormat="0" applyFont="0" applyBorder="0" applyAlignment="0" applyProtection="0"/>
    <xf numFmtId="0" fontId="19" fillId="56" borderId="0" applyNumberFormat="0" applyFont="0" applyBorder="0" applyAlignment="0" applyProtection="0"/>
    <xf numFmtId="0" fontId="32" fillId="56" borderId="0" applyNumberFormat="0" applyFont="0" applyBorder="0" applyAlignment="0" applyProtection="0"/>
    <xf numFmtId="0" fontId="37" fillId="56" borderId="0" applyNumberFormat="0" applyFont="0" applyBorder="0" applyAlignment="0" applyProtection="0"/>
    <xf numFmtId="0" fontId="4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7" borderId="0" applyNumberFormat="0" applyFont="0" applyBorder="0" applyAlignment="0" applyProtection="0"/>
    <xf numFmtId="0" fontId="41"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32" fillId="57" borderId="0" applyNumberFormat="0" applyFont="0" applyBorder="0" applyAlignment="0" applyProtection="0"/>
    <xf numFmtId="0" fontId="37" fillId="57" borderId="0" applyNumberFormat="0" applyFont="0" applyBorder="0" applyAlignment="0" applyProtection="0"/>
    <xf numFmtId="0" fontId="41"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33" fillId="57" borderId="0" applyNumberFormat="0" applyFont="0" applyBorder="0" applyAlignment="0" applyProtection="0"/>
    <xf numFmtId="0" fontId="38" fillId="57" borderId="0" applyNumberFormat="0" applyFont="0" applyBorder="0" applyAlignment="0" applyProtection="0"/>
    <xf numFmtId="0" fontId="42" fillId="57" borderId="0" applyNumberFormat="0" applyFont="0" applyBorder="0" applyAlignment="0" applyProtection="0"/>
    <xf numFmtId="0" fontId="1"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1" fillId="57" borderId="0" applyNumberFormat="0" applyFont="0" applyBorder="0" applyAlignment="0" applyProtection="0"/>
    <xf numFmtId="0" fontId="32" fillId="57" borderId="0" applyNumberFormat="0" applyFont="0" applyBorder="0" applyAlignment="0" applyProtection="0"/>
    <xf numFmtId="0" fontId="37" fillId="57" borderId="0" applyNumberFormat="0" applyFont="0" applyBorder="0" applyAlignment="0" applyProtection="0"/>
    <xf numFmtId="0" fontId="19" fillId="58" borderId="0" applyNumberFormat="0" applyFont="0" applyBorder="0" applyAlignment="0" applyProtection="0"/>
    <xf numFmtId="0" fontId="41"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32" fillId="58" borderId="0" applyNumberFormat="0" applyFont="0" applyBorder="0" applyAlignment="0" applyProtection="0"/>
    <xf numFmtId="0" fontId="37" fillId="58" borderId="0" applyNumberFormat="0" applyFont="0" applyBorder="0" applyAlignment="0" applyProtection="0"/>
    <xf numFmtId="0" fontId="41" fillId="58" borderId="0" applyNumberFormat="0" applyFont="0" applyBorder="0" applyAlignment="0" applyProtection="0"/>
    <xf numFmtId="0" fontId="1" fillId="59" borderId="0" applyNumberFormat="0" applyFont="0" applyBorder="0" applyAlignment="0" applyProtection="0"/>
    <xf numFmtId="0" fontId="19" fillId="58" borderId="0" applyNumberFormat="0" applyFont="0" applyBorder="0" applyAlignment="0" applyProtection="0"/>
    <xf numFmtId="0" fontId="1" fillId="59" borderId="0" applyNumberFormat="0" applyFont="0" applyBorder="0" applyAlignment="0" applyProtection="0"/>
    <xf numFmtId="0" fontId="19" fillId="58" borderId="0" applyNumberFormat="0" applyFont="0" applyBorder="0" applyAlignment="0" applyProtection="0"/>
    <xf numFmtId="0" fontId="33" fillId="59" borderId="0" applyNumberFormat="0" applyFont="0" applyBorder="0" applyAlignment="0" applyProtection="0"/>
    <xf numFmtId="0" fontId="38" fillId="59" borderId="0" applyNumberFormat="0" applyFont="0" applyBorder="0" applyAlignment="0" applyProtection="0"/>
    <xf numFmtId="0" fontId="42" fillId="59" borderId="0" applyNumberFormat="0" applyFont="0" applyBorder="0" applyAlignment="0" applyProtection="0"/>
    <xf numFmtId="0" fontId="1" fillId="58" borderId="0" applyNumberFormat="0" applyFont="0" applyBorder="0" applyAlignment="0" applyProtection="0"/>
    <xf numFmtId="0" fontId="1"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1" fillId="58" borderId="0" applyNumberFormat="0" applyFont="0" applyBorder="0" applyAlignment="0" applyProtection="0"/>
    <xf numFmtId="0" fontId="32" fillId="58" borderId="0" applyNumberFormat="0" applyFont="0" applyBorder="0" applyAlignment="0" applyProtection="0"/>
    <xf numFmtId="0" fontId="37" fillId="58" borderId="0" applyNumberFormat="0" applyFont="0" applyBorder="0" applyAlignment="0" applyProtection="0"/>
    <xf numFmtId="0" fontId="19" fillId="60" borderId="0" applyNumberFormat="0" applyFont="0" applyBorder="0" applyAlignment="0" applyProtection="0"/>
    <xf numFmtId="0" fontId="41"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32" fillId="60" borderId="0" applyNumberFormat="0" applyFont="0" applyBorder="0" applyAlignment="0" applyProtection="0"/>
    <xf numFmtId="0" fontId="37" fillId="60" borderId="0" applyNumberFormat="0" applyFont="0" applyBorder="0" applyAlignment="0" applyProtection="0"/>
    <xf numFmtId="0" fontId="41"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33" fillId="60" borderId="0" applyNumberFormat="0" applyFont="0" applyBorder="0" applyAlignment="0" applyProtection="0"/>
    <xf numFmtId="0" fontId="38" fillId="60" borderId="0" applyNumberFormat="0" applyFont="0" applyBorder="0" applyAlignment="0" applyProtection="0"/>
    <xf numFmtId="0" fontId="42" fillId="60" borderId="0" applyNumberFormat="0" applyFont="0" applyBorder="0" applyAlignment="0" applyProtection="0"/>
    <xf numFmtId="0" fontId="1"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1" fillId="60" borderId="0" applyNumberFormat="0" applyFont="0" applyBorder="0" applyAlignment="0" applyProtection="0"/>
    <xf numFmtId="0" fontId="32" fillId="60" borderId="0" applyNumberFormat="0" applyFont="0" applyBorder="0" applyAlignment="0" applyProtection="0"/>
    <xf numFmtId="0" fontId="37" fillId="60" borderId="0" applyNumberFormat="0" applyFont="0" applyBorder="0" applyAlignment="0" applyProtection="0"/>
    <xf numFmtId="0" fontId="45" fillId="6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45" fillId="6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45" fillId="6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45" fillId="64"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45" fillId="6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45" fillId="66"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46" fillId="67" borderId="0" applyNumberFormat="0" applyBorder="0" applyAlignment="0" applyProtection="0"/>
    <xf numFmtId="0" fontId="47" fillId="67" borderId="0" applyNumberFormat="0" applyBorder="0" applyAlignment="0" applyProtection="0"/>
    <xf numFmtId="0" fontId="46" fillId="67" borderId="0" applyNumberFormat="0" applyBorder="0" applyAlignment="0" applyProtection="0"/>
    <xf numFmtId="0" fontId="47" fillId="67" borderId="0" applyNumberFormat="0" applyBorder="0" applyAlignment="0" applyProtection="0"/>
    <xf numFmtId="0" fontId="47" fillId="67"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0" fontId="47" fillId="69" borderId="0" applyNumberFormat="0" applyBorder="0" applyAlignment="0" applyProtection="0"/>
    <xf numFmtId="0" fontId="46" fillId="68" borderId="0" applyNumberFormat="0" applyBorder="0" applyAlignment="0" applyProtection="0"/>
    <xf numFmtId="0" fontId="47" fillId="69" borderId="0" applyNumberFormat="0" applyBorder="0" applyAlignment="0" applyProtection="0"/>
    <xf numFmtId="0" fontId="47" fillId="68" borderId="0" applyNumberFormat="0" applyBorder="0" applyAlignment="0" applyProtection="0"/>
    <xf numFmtId="0" fontId="46" fillId="68"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70" borderId="0" applyNumberFormat="0" applyBorder="0" applyAlignment="0" applyProtection="0"/>
    <xf numFmtId="0" fontId="46" fillId="54" borderId="0" applyNumberFormat="0" applyBorder="0" applyAlignment="0" applyProtection="0"/>
    <xf numFmtId="0" fontId="47" fillId="70" borderId="0" applyNumberFormat="0" applyBorder="0" applyAlignment="0" applyProtection="0"/>
    <xf numFmtId="0" fontId="47" fillId="71" borderId="0" applyNumberFormat="0" applyBorder="0" applyAlignment="0" applyProtection="0"/>
    <xf numFmtId="0" fontId="46" fillId="54" borderId="0" applyNumberFormat="0" applyBorder="0" applyAlignment="0" applyProtection="0"/>
    <xf numFmtId="0" fontId="46" fillId="71"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7" fillId="73" borderId="0" applyNumberFormat="0" applyBorder="0" applyAlignment="0" applyProtection="0"/>
    <xf numFmtId="0" fontId="46" fillId="72" borderId="0" applyNumberFormat="0" applyBorder="0" applyAlignment="0" applyProtection="0"/>
    <xf numFmtId="0" fontId="47" fillId="73" borderId="0" applyNumberFormat="0" applyBorder="0" applyAlignment="0" applyProtection="0"/>
    <xf numFmtId="0" fontId="47" fillId="74" borderId="0" applyNumberFormat="0" applyBorder="0" applyAlignment="0" applyProtection="0"/>
    <xf numFmtId="0" fontId="46" fillId="72" borderId="0" applyNumberFormat="0" applyBorder="0" applyAlignment="0" applyProtection="0"/>
    <xf numFmtId="0" fontId="46" fillId="74"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5" borderId="0" applyNumberFormat="0" applyBorder="0" applyAlignment="0" applyProtection="0"/>
    <xf numFmtId="0" fontId="47" fillId="76" borderId="0" applyNumberFormat="0" applyBorder="0" applyAlignment="0" applyProtection="0"/>
    <xf numFmtId="0" fontId="46" fillId="75" borderId="0" applyNumberFormat="0" applyBorder="0" applyAlignment="0" applyProtection="0"/>
    <xf numFmtId="0" fontId="47" fillId="76" borderId="0" applyNumberFormat="0" applyBorder="0" applyAlignment="0" applyProtection="0"/>
    <xf numFmtId="0" fontId="47" fillId="75" borderId="0" applyNumberFormat="0" applyBorder="0" applyAlignment="0" applyProtection="0"/>
    <xf numFmtId="0" fontId="46" fillId="75"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7" fillId="78" borderId="0" applyNumberFormat="0" applyBorder="0" applyAlignment="0" applyProtection="0"/>
    <xf numFmtId="0" fontId="46" fillId="77" borderId="0" applyNumberFormat="0" applyBorder="0" applyAlignment="0" applyProtection="0"/>
    <xf numFmtId="0" fontId="47" fillId="78" borderId="0" applyNumberFormat="0" applyBorder="0" applyAlignment="0" applyProtection="0"/>
    <xf numFmtId="0" fontId="47" fillId="79" borderId="0" applyNumberFormat="0" applyBorder="0" applyAlignment="0" applyProtection="0"/>
    <xf numFmtId="0" fontId="46" fillId="77" borderId="0" applyNumberFormat="0" applyBorder="0" applyAlignment="0" applyProtection="0"/>
    <xf numFmtId="0" fontId="46" fillId="79"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5" fillId="8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45" fillId="8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45" fillId="8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45" fillId="83"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45" fillId="8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45" fillId="85"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48" fillId="8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9" fillId="87" borderId="11" applyNumberFormat="0" applyAlignment="0" applyProtection="0"/>
    <xf numFmtId="0" fontId="50" fillId="87" borderId="11" applyNumberFormat="0" applyAlignment="0" applyProtection="0"/>
    <xf numFmtId="0" fontId="49" fillId="87" borderId="11" applyNumberFormat="0" applyAlignment="0" applyProtection="0"/>
    <xf numFmtId="0" fontId="50" fillId="87" borderId="11" applyNumberFormat="0" applyAlignment="0" applyProtection="0"/>
    <xf numFmtId="0" fontId="50" fillId="87" borderId="11" applyNumberFormat="0" applyAlignment="0" applyProtection="0"/>
    <xf numFmtId="0" fontId="49" fillId="87" borderId="11" applyNumberFormat="0" applyAlignment="0" applyProtection="0"/>
    <xf numFmtId="0" fontId="51" fillId="88" borderId="1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52" fillId="0" borderId="12" applyNumberFormat="0" applyFill="0" applyAlignment="0" applyProtection="0"/>
    <xf numFmtId="0" fontId="53" fillId="0" borderId="12" applyNumberFormat="0" applyFill="0" applyAlignment="0" applyProtection="0"/>
    <xf numFmtId="0" fontId="52"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2" fillId="0" borderId="12" applyNumberFormat="0" applyFill="0" applyAlignment="0" applyProtection="0"/>
    <xf numFmtId="0" fontId="54" fillId="89" borderId="13" applyNumberFormat="0" applyAlignment="0" applyProtection="0"/>
    <xf numFmtId="0" fontId="55" fillId="89" borderId="13" applyNumberFormat="0" applyAlignment="0" applyProtection="0"/>
    <xf numFmtId="0" fontId="54" fillId="89" borderId="13" applyNumberFormat="0" applyAlignment="0" applyProtection="0"/>
    <xf numFmtId="0" fontId="55" fillId="89" borderId="13" applyNumberFormat="0" applyAlignment="0" applyProtection="0"/>
    <xf numFmtId="0" fontId="55" fillId="89" borderId="13" applyNumberFormat="0" applyAlignment="0" applyProtection="0"/>
    <xf numFmtId="0" fontId="54" fillId="89" borderId="13" applyNumberFormat="0" applyAlignment="0" applyProtection="0"/>
    <xf numFmtId="0" fontId="56" fillId="90" borderId="0" applyNumberFormat="0" applyBorder="0" applyAlignment="0" applyProtection="0"/>
    <xf numFmtId="0" fontId="57" fillId="91" borderId="1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46" fillId="92" borderId="0" applyNumberFormat="0" applyBorder="0" applyAlignment="0" applyProtection="0"/>
    <xf numFmtId="0" fontId="47" fillId="92" borderId="0" applyNumberFormat="0" applyBorder="0" applyAlignment="0" applyProtection="0"/>
    <xf numFmtId="0" fontId="46" fillId="92" borderId="0" applyNumberFormat="0" applyBorder="0" applyAlignment="0" applyProtection="0"/>
    <xf numFmtId="0" fontId="47" fillId="92" borderId="0" applyNumberFormat="0" applyBorder="0" applyAlignment="0" applyProtection="0"/>
    <xf numFmtId="0" fontId="47" fillId="92" borderId="0" applyNumberFormat="0" applyBorder="0" applyAlignment="0" applyProtection="0"/>
    <xf numFmtId="0" fontId="46" fillId="92" borderId="0" applyNumberFormat="0" applyBorder="0" applyAlignment="0" applyProtection="0"/>
    <xf numFmtId="0" fontId="46" fillId="93" borderId="0" applyNumberFormat="0" applyBorder="0" applyAlignment="0" applyProtection="0"/>
    <xf numFmtId="0" fontId="47" fillId="93" borderId="0" applyNumberFormat="0" applyBorder="0" applyAlignment="0" applyProtection="0"/>
    <xf numFmtId="0" fontId="46" fillId="93" borderId="0" applyNumberFormat="0" applyBorder="0" applyAlignment="0" applyProtection="0"/>
    <xf numFmtId="0" fontId="47" fillId="93" borderId="0" applyNumberFormat="0" applyBorder="0" applyAlignment="0" applyProtection="0"/>
    <xf numFmtId="0" fontId="47" fillId="93" borderId="0" applyNumberFormat="0" applyBorder="0" applyAlignment="0" applyProtection="0"/>
    <xf numFmtId="0" fontId="46" fillId="93" borderId="0" applyNumberFormat="0" applyBorder="0" applyAlignment="0" applyProtection="0"/>
    <xf numFmtId="0" fontId="46" fillId="94" borderId="0" applyNumberFormat="0" applyBorder="0" applyAlignment="0" applyProtection="0"/>
    <xf numFmtId="0" fontId="47" fillId="94" borderId="0" applyNumberFormat="0" applyBorder="0" applyAlignment="0" applyProtection="0"/>
    <xf numFmtId="0" fontId="46" fillId="94" borderId="0" applyNumberFormat="0" applyBorder="0" applyAlignment="0" applyProtection="0"/>
    <xf numFmtId="0" fontId="47" fillId="94" borderId="0" applyNumberFormat="0" applyBorder="0" applyAlignment="0" applyProtection="0"/>
    <xf numFmtId="0" fontId="47" fillId="94" borderId="0" applyNumberFormat="0" applyBorder="0" applyAlignment="0" applyProtection="0"/>
    <xf numFmtId="0" fontId="46" fillId="94" borderId="0" applyNumberFormat="0" applyBorder="0" applyAlignment="0" applyProtection="0"/>
    <xf numFmtId="0" fontId="46" fillId="95" borderId="0" applyNumberFormat="0" applyBorder="0" applyAlignment="0" applyProtection="0"/>
    <xf numFmtId="0" fontId="47" fillId="95" borderId="0" applyNumberFormat="0" applyBorder="0" applyAlignment="0" applyProtection="0"/>
    <xf numFmtId="0" fontId="46" fillId="95" borderId="0" applyNumberFormat="0" applyBorder="0" applyAlignment="0" applyProtection="0"/>
    <xf numFmtId="0" fontId="47" fillId="95" borderId="0" applyNumberFormat="0" applyBorder="0" applyAlignment="0" applyProtection="0"/>
    <xf numFmtId="0" fontId="47" fillId="95" borderId="0" applyNumberFormat="0" applyBorder="0" applyAlignment="0" applyProtection="0"/>
    <xf numFmtId="0" fontId="46" fillId="95" borderId="0" applyNumberFormat="0" applyBorder="0" applyAlignment="0" applyProtection="0"/>
    <xf numFmtId="0" fontId="46" fillId="96" borderId="0" applyNumberFormat="0" applyBorder="0" applyAlignment="0" applyProtection="0"/>
    <xf numFmtId="0" fontId="47" fillId="96" borderId="0" applyNumberFormat="0" applyBorder="0" applyAlignment="0" applyProtection="0"/>
    <xf numFmtId="0" fontId="46" fillId="96" borderId="0" applyNumberFormat="0" applyBorder="0" applyAlignment="0" applyProtection="0"/>
    <xf numFmtId="0" fontId="47" fillId="96" borderId="0" applyNumberFormat="0" applyBorder="0" applyAlignment="0" applyProtection="0"/>
    <xf numFmtId="0" fontId="47" fillId="96" borderId="0" applyNumberFormat="0" applyBorder="0" applyAlignment="0" applyProtection="0"/>
    <xf numFmtId="0" fontId="46" fillId="96" borderId="0" applyNumberFormat="0" applyBorder="0" applyAlignment="0" applyProtection="0"/>
    <xf numFmtId="0" fontId="46" fillId="97" borderId="0" applyNumberFormat="0" applyBorder="0" applyAlignment="0" applyProtection="0"/>
    <xf numFmtId="0" fontId="47" fillId="97" borderId="0" applyNumberFormat="0" applyBorder="0" applyAlignment="0" applyProtection="0"/>
    <xf numFmtId="0" fontId="46" fillId="97" borderId="0" applyNumberFormat="0" applyBorder="0" applyAlignment="0" applyProtection="0"/>
    <xf numFmtId="0" fontId="47" fillId="97" borderId="0" applyNumberFormat="0" applyBorder="0" applyAlignment="0" applyProtection="0"/>
    <xf numFmtId="0" fontId="47" fillId="97" borderId="0" applyNumberFormat="0" applyBorder="0" applyAlignment="0" applyProtection="0"/>
    <xf numFmtId="0" fontId="46" fillId="97" borderId="0" applyNumberFormat="0" applyBorder="0" applyAlignment="0" applyProtection="0"/>
    <xf numFmtId="43" fontId="28" fillId="0" borderId="0" applyFont="0" applyFill="0" applyBorder="0" applyAlignment="0" applyProtection="0"/>
    <xf numFmtId="43" fontId="1"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1"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31"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35" fillId="0" borderId="0" applyFont="0" applyFill="0" applyBorder="0" applyAlignment="0" applyProtection="0"/>
    <xf numFmtId="43" fontId="39"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30" fillId="0" borderId="0" applyFont="0" applyFill="0" applyBorder="0" applyAlignment="0" applyProtection="0"/>
    <xf numFmtId="166" fontId="35" fillId="0" borderId="0" applyFont="0" applyFill="0" applyBorder="0" applyAlignment="0" applyProtection="0"/>
    <xf numFmtId="166" fontId="39"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1"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43" fontId="35" fillId="0" borderId="0" applyFont="0" applyFill="0" applyBorder="0" applyAlignment="0" applyProtection="0"/>
    <xf numFmtId="43" fontId="39" fillId="0" borderId="0" applyFont="0" applyFill="0" applyBorder="0" applyAlignment="0" applyProtection="0"/>
    <xf numFmtId="0" fontId="58"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9" fillId="98"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0" fillId="0" borderId="14" applyNumberFormat="0" applyFill="0" applyAlignment="0" applyProtection="0"/>
    <xf numFmtId="0" fontId="24" fillId="0" borderId="4" applyNumberFormat="0" applyFill="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2" fillId="0" borderId="1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63" fillId="0" borderId="1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63"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4" fillId="0" borderId="0" applyNumberForma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100"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6" fillId="100" borderId="11" applyNumberFormat="0" applyAlignment="0" applyProtection="0"/>
    <xf numFmtId="0" fontId="67" fillId="100" borderId="11" applyNumberFormat="0" applyAlignment="0" applyProtection="0"/>
    <xf numFmtId="0" fontId="16" fillId="3" borderId="1" applyNumberFormat="0" applyAlignment="0" applyProtection="0"/>
    <xf numFmtId="0" fontId="66" fillId="100"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8" fillId="99"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7" fillId="100" borderId="11" applyNumberFormat="0" applyAlignment="0" applyProtection="0"/>
    <xf numFmtId="0" fontId="69" fillId="0" borderId="1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2" fillId="0" borderId="0" applyFont="0" applyFill="0" applyBorder="0" applyAlignment="0" applyProtection="0"/>
    <xf numFmtId="168" fontId="37" fillId="0" borderId="0" applyFont="0" applyFill="0" applyBorder="0" applyAlignment="0" applyProtection="0"/>
    <xf numFmtId="168" fontId="4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2" fillId="0" borderId="0" applyFont="0" applyFill="0" applyBorder="0" applyAlignment="0" applyProtection="0"/>
    <xf numFmtId="168" fontId="37" fillId="0" borderId="0" applyFont="0" applyFill="0" applyBorder="0" applyAlignment="0" applyProtection="0"/>
    <xf numFmtId="168" fontId="41" fillId="0" borderId="0" applyFont="0" applyFill="0" applyBorder="0" applyAlignment="0" applyProtection="0"/>
    <xf numFmtId="0" fontId="70" fillId="101"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71" fillId="102" borderId="0" applyNumberFormat="0" applyBorder="0" applyAlignment="0" applyProtection="0"/>
    <xf numFmtId="0" fontId="72" fillId="102" borderId="0" applyNumberFormat="0" applyBorder="0" applyAlignment="0" applyProtection="0"/>
    <xf numFmtId="0" fontId="71" fillId="102" borderId="0" applyNumberFormat="0" applyBorder="0" applyAlignment="0" applyProtection="0"/>
    <xf numFmtId="0" fontId="72" fillId="102" borderId="0" applyNumberFormat="0" applyBorder="0" applyAlignment="0" applyProtection="0"/>
    <xf numFmtId="0" fontId="72" fillId="102" borderId="0" applyNumberFormat="0" applyBorder="0" applyAlignment="0" applyProtection="0"/>
    <xf numFmtId="0" fontId="71" fillId="102" borderId="0" applyNumberFormat="0" applyBorder="0" applyAlignment="0" applyProtection="0"/>
    <xf numFmtId="0" fontId="6" fillId="0" borderId="0"/>
    <xf numFmtId="0" fontId="6" fillId="0" borderId="0"/>
    <xf numFmtId="0" fontId="9" fillId="0" borderId="0"/>
    <xf numFmtId="0" fontId="9" fillId="0" borderId="0"/>
    <xf numFmtId="0" fontId="9" fillId="0" borderId="0"/>
    <xf numFmtId="0" fontId="9" fillId="0" borderId="0"/>
    <xf numFmtId="0" fontId="6" fillId="0" borderId="0"/>
    <xf numFmtId="0" fontId="43" fillId="0" borderId="0"/>
    <xf numFmtId="0" fontId="9" fillId="0" borderId="0"/>
    <xf numFmtId="0" fontId="73" fillId="0" borderId="0"/>
    <xf numFmtId="0" fontId="43" fillId="0" borderId="0"/>
    <xf numFmtId="0" fontId="43"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9" fillId="0" borderId="0"/>
    <xf numFmtId="0" fontId="9" fillId="0" borderId="0"/>
    <xf numFmtId="0" fontId="44" fillId="0" borderId="0"/>
    <xf numFmtId="0" fontId="44" fillId="0" borderId="0"/>
    <xf numFmtId="0" fontId="44" fillId="0" borderId="0"/>
    <xf numFmtId="0" fontId="6" fillId="0" borderId="0"/>
    <xf numFmtId="0" fontId="6" fillId="0" borderId="0"/>
    <xf numFmtId="0" fontId="43" fillId="0" borderId="0"/>
    <xf numFmtId="0" fontId="6" fillId="0" borderId="0"/>
    <xf numFmtId="0" fontId="6" fillId="0" borderId="0"/>
    <xf numFmtId="0" fontId="44" fillId="0" borderId="0"/>
    <xf numFmtId="0" fontId="44" fillId="0" borderId="0"/>
    <xf numFmtId="0" fontId="44" fillId="0" borderId="0"/>
    <xf numFmtId="0" fontId="44" fillId="0" borderId="0"/>
    <xf numFmtId="0" fontId="6" fillId="0" borderId="0"/>
    <xf numFmtId="0" fontId="6"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 fillId="0" borderId="0"/>
    <xf numFmtId="0" fontId="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73" fillId="0" borderId="0"/>
    <xf numFmtId="0" fontId="43" fillId="0" borderId="0"/>
    <xf numFmtId="0" fontId="9" fillId="0" borderId="0"/>
    <xf numFmtId="0" fontId="9" fillId="0" borderId="0"/>
    <xf numFmtId="0" fontId="73" fillId="0" borderId="0"/>
    <xf numFmtId="0" fontId="6" fillId="0" borderId="0"/>
    <xf numFmtId="0" fontId="6" fillId="0" borderId="0"/>
    <xf numFmtId="0" fontId="73" fillId="0" borderId="0"/>
    <xf numFmtId="0" fontId="43" fillId="0" borderId="0"/>
    <xf numFmtId="0" fontId="73" fillId="0" borderId="0"/>
    <xf numFmtId="0" fontId="43" fillId="0" borderId="0"/>
    <xf numFmtId="0" fontId="73" fillId="0" borderId="0"/>
    <xf numFmtId="0" fontId="43" fillId="0" borderId="0"/>
    <xf numFmtId="0" fontId="9" fillId="0" borderId="0"/>
    <xf numFmtId="0" fontId="6" fillId="0" borderId="0"/>
    <xf numFmtId="0" fontId="6" fillId="0" borderId="0"/>
    <xf numFmtId="0" fontId="9" fillId="0" borderId="0"/>
    <xf numFmtId="0" fontId="9" fillId="0" borderId="0"/>
    <xf numFmtId="0" fontId="6" fillId="0" borderId="0"/>
    <xf numFmtId="0" fontId="73" fillId="0" borderId="0"/>
    <xf numFmtId="0" fontId="9" fillId="0" borderId="0"/>
    <xf numFmtId="0" fontId="6" fillId="0" borderId="0"/>
    <xf numFmtId="0" fontId="73" fillId="0" borderId="0"/>
    <xf numFmtId="0" fontId="73" fillId="0" borderId="0"/>
    <xf numFmtId="0" fontId="6" fillId="0" borderId="0"/>
    <xf numFmtId="0" fontId="43" fillId="0" borderId="0"/>
    <xf numFmtId="0" fontId="9" fillId="0" borderId="0"/>
    <xf numFmtId="0" fontId="43" fillId="0" borderId="0"/>
    <xf numFmtId="0" fontId="43" fillId="0" borderId="0"/>
    <xf numFmtId="0" fontId="9" fillId="0" borderId="0"/>
    <xf numFmtId="0" fontId="73" fillId="0" borderId="0"/>
    <xf numFmtId="0" fontId="73" fillId="0" borderId="0"/>
    <xf numFmtId="0" fontId="73" fillId="0" borderId="0"/>
    <xf numFmtId="0" fontId="6" fillId="0" borderId="0"/>
    <xf numFmtId="0" fontId="6" fillId="0" borderId="0"/>
    <xf numFmtId="0" fontId="43"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43"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43" fillId="0" borderId="0"/>
    <xf numFmtId="0" fontId="6" fillId="0" borderId="0"/>
    <xf numFmtId="0" fontId="43" fillId="0" borderId="0"/>
    <xf numFmtId="0" fontId="6" fillId="0" borderId="0"/>
    <xf numFmtId="0" fontId="44" fillId="0" borderId="0"/>
    <xf numFmtId="0" fontId="9" fillId="0" borderId="0"/>
    <xf numFmtId="0" fontId="19"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44" fillId="0" borderId="0"/>
    <xf numFmtId="0" fontId="20" fillId="0" borderId="0"/>
    <xf numFmtId="0" fontId="20" fillId="0" borderId="0"/>
    <xf numFmtId="0" fontId="20"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20" fillId="0" borderId="0"/>
    <xf numFmtId="0" fontId="43" fillId="0" borderId="0"/>
    <xf numFmtId="0" fontId="19" fillId="0" borderId="0"/>
    <xf numFmtId="0" fontId="43" fillId="0" borderId="0"/>
    <xf numFmtId="0" fontId="44" fillId="0" borderId="0"/>
    <xf numFmtId="0" fontId="44" fillId="0" borderId="0"/>
    <xf numFmtId="0" fontId="43" fillId="0" borderId="0"/>
    <xf numFmtId="0" fontId="44" fillId="0" borderId="0"/>
    <xf numFmtId="0" fontId="6" fillId="0" borderId="0"/>
    <xf numFmtId="0" fontId="44"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43" fillId="0" borderId="0"/>
    <xf numFmtId="0" fontId="43" fillId="0" borderId="0"/>
    <xf numFmtId="0" fontId="43" fillId="0" borderId="0"/>
    <xf numFmtId="0" fontId="6" fillId="0" borderId="0"/>
    <xf numFmtId="0" fontId="6" fillId="0" borderId="0"/>
    <xf numFmtId="0" fontId="34" fillId="0" borderId="0"/>
    <xf numFmtId="0" fontId="29" fillId="0" borderId="0">
      <alignment vertical="center"/>
    </xf>
    <xf numFmtId="0" fontId="6" fillId="0" borderId="0"/>
    <xf numFmtId="0" fontId="6" fillId="0" borderId="0"/>
    <xf numFmtId="0" fontId="73" fillId="0" borderId="0"/>
    <xf numFmtId="0" fontId="6" fillId="0" borderId="0"/>
    <xf numFmtId="0" fontId="9" fillId="0" borderId="0"/>
    <xf numFmtId="0" fontId="6" fillId="0" borderId="0"/>
    <xf numFmtId="0" fontId="73" fillId="0" borderId="0"/>
    <xf numFmtId="0" fontId="74" fillId="0" borderId="0"/>
    <xf numFmtId="0" fontId="9" fillId="0" borderId="0"/>
    <xf numFmtId="0" fontId="9" fillId="0" borderId="0"/>
    <xf numFmtId="0" fontId="9" fillId="0" borderId="0"/>
    <xf numFmtId="0" fontId="6" fillId="0" borderId="0"/>
    <xf numFmtId="0" fontId="6" fillId="0" borderId="0"/>
    <xf numFmtId="0" fontId="73" fillId="0" borderId="0"/>
    <xf numFmtId="0" fontId="6" fillId="0" borderId="0"/>
    <xf numFmtId="0" fontId="73" fillId="0" borderId="0"/>
    <xf numFmtId="0" fontId="6" fillId="0" borderId="0"/>
    <xf numFmtId="0" fontId="6" fillId="0" borderId="0"/>
    <xf numFmtId="0" fontId="73" fillId="0" borderId="0"/>
    <xf numFmtId="0" fontId="9" fillId="0" borderId="0"/>
    <xf numFmtId="0" fontId="75" fillId="0" borderId="0"/>
    <xf numFmtId="0" fontId="76" fillId="0" borderId="0"/>
    <xf numFmtId="0" fontId="9" fillId="0" borderId="0"/>
    <xf numFmtId="0" fontId="9" fillId="0" borderId="0"/>
    <xf numFmtId="0" fontId="43" fillId="0" borderId="0"/>
    <xf numFmtId="0" fontId="76" fillId="0" borderId="0"/>
    <xf numFmtId="0" fontId="6" fillId="0" borderId="0"/>
    <xf numFmtId="0" fontId="77" fillId="0" borderId="0"/>
    <xf numFmtId="0" fontId="6" fillId="0" borderId="0"/>
    <xf numFmtId="0" fontId="77" fillId="0" borderId="0"/>
    <xf numFmtId="0" fontId="43" fillId="0" borderId="0"/>
    <xf numFmtId="0" fontId="9" fillId="0" borderId="0"/>
    <xf numFmtId="0" fontId="44" fillId="0" borderId="0"/>
    <xf numFmtId="0" fontId="6" fillId="0" borderId="0"/>
    <xf numFmtId="0" fontId="43" fillId="0" borderId="0"/>
    <xf numFmtId="0" fontId="43" fillId="0" borderId="0"/>
    <xf numFmtId="0" fontId="44" fillId="0" borderId="0"/>
    <xf numFmtId="0" fontId="44" fillId="0" borderId="0"/>
    <xf numFmtId="0" fontId="43" fillId="0" borderId="0"/>
    <xf numFmtId="0" fontId="44" fillId="0" borderId="0"/>
    <xf numFmtId="0" fontId="44" fillId="0" borderId="0"/>
    <xf numFmtId="0" fontId="43" fillId="0" borderId="0"/>
    <xf numFmtId="0" fontId="9" fillId="0" borderId="0"/>
    <xf numFmtId="0" fontId="77" fillId="0" borderId="0"/>
    <xf numFmtId="0" fontId="43" fillId="0" borderId="0"/>
    <xf numFmtId="0" fontId="29" fillId="0" borderId="0">
      <alignment vertical="center"/>
    </xf>
    <xf numFmtId="0" fontId="6" fillId="0" borderId="0"/>
    <xf numFmtId="0" fontId="44" fillId="0" borderId="0"/>
    <xf numFmtId="0" fontId="6" fillId="0" borderId="0"/>
    <xf numFmtId="0" fontId="44" fillId="0" borderId="0"/>
    <xf numFmtId="0" fontId="44" fillId="0" borderId="0"/>
    <xf numFmtId="0" fontId="44" fillId="0" borderId="0"/>
    <xf numFmtId="0" fontId="44" fillId="0" borderId="0"/>
    <xf numFmtId="0" fontId="6" fillId="0" borderId="0"/>
    <xf numFmtId="0" fontId="7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43" fillId="0" borderId="0"/>
    <xf numFmtId="0" fontId="73" fillId="0" borderId="0"/>
    <xf numFmtId="0" fontId="6" fillId="0" borderId="0"/>
    <xf numFmtId="0" fontId="44" fillId="0" borderId="0"/>
    <xf numFmtId="0" fontId="44" fillId="0" borderId="0"/>
    <xf numFmtId="0" fontId="44" fillId="0" borderId="0"/>
    <xf numFmtId="0" fontId="78" fillId="0" borderId="0"/>
    <xf numFmtId="0" fontId="6" fillId="0" borderId="0"/>
    <xf numFmtId="0" fontId="6" fillId="0" borderId="0"/>
    <xf numFmtId="0" fontId="44" fillId="0" borderId="0"/>
    <xf numFmtId="0" fontId="6" fillId="0" borderId="0"/>
    <xf numFmtId="0" fontId="44" fillId="0" borderId="0"/>
    <xf numFmtId="0" fontId="44" fillId="0" borderId="0"/>
    <xf numFmtId="0" fontId="44" fillId="0" borderId="0"/>
    <xf numFmtId="0" fontId="44" fillId="0" borderId="0"/>
    <xf numFmtId="0" fontId="76" fillId="0" borderId="0"/>
    <xf numFmtId="0" fontId="76" fillId="0" borderId="0"/>
    <xf numFmtId="0" fontId="6" fillId="0" borderId="0"/>
    <xf numFmtId="0" fontId="44" fillId="0" borderId="0"/>
    <xf numFmtId="0" fontId="44" fillId="0" borderId="0"/>
    <xf numFmtId="0" fontId="44" fillId="0" borderId="0"/>
    <xf numFmtId="0" fontId="44" fillId="0" borderId="0"/>
    <xf numFmtId="0" fontId="44" fillId="0" borderId="0"/>
    <xf numFmtId="0" fontId="43" fillId="0" borderId="0"/>
    <xf numFmtId="0" fontId="44" fillId="0" borderId="0"/>
    <xf numFmtId="0" fontId="9" fillId="0" borderId="0"/>
    <xf numFmtId="0" fontId="76" fillId="0" borderId="0"/>
    <xf numFmtId="0" fontId="76" fillId="0" borderId="0"/>
    <xf numFmtId="0" fontId="74" fillId="0" borderId="0"/>
    <xf numFmtId="0" fontId="6" fillId="0" borderId="0"/>
    <xf numFmtId="0" fontId="44" fillId="0" borderId="0"/>
    <xf numFmtId="0" fontId="44" fillId="0" borderId="0"/>
    <xf numFmtId="0" fontId="44" fillId="0" borderId="0"/>
    <xf numFmtId="0" fontId="44" fillId="0" borderId="0"/>
    <xf numFmtId="0" fontId="44" fillId="0" borderId="0"/>
    <xf numFmtId="0" fontId="9" fillId="0" borderId="0"/>
    <xf numFmtId="0" fontId="6" fillId="0" borderId="0"/>
    <xf numFmtId="0" fontId="78" fillId="0" borderId="0"/>
    <xf numFmtId="0" fontId="9" fillId="0" borderId="0"/>
    <xf numFmtId="0" fontId="44" fillId="0" borderId="0"/>
    <xf numFmtId="0" fontId="44" fillId="0" borderId="0"/>
    <xf numFmtId="0" fontId="6" fillId="0" borderId="0"/>
    <xf numFmtId="0" fontId="6" fillId="0" borderId="0"/>
    <xf numFmtId="0" fontId="74" fillId="0" borderId="0"/>
    <xf numFmtId="0" fontId="74" fillId="0" borderId="0"/>
    <xf numFmtId="0" fontId="6" fillId="0" borderId="0"/>
    <xf numFmtId="0" fontId="43" fillId="0" borderId="0"/>
    <xf numFmtId="0" fontId="44" fillId="0" borderId="0"/>
    <xf numFmtId="0" fontId="6" fillId="0" borderId="0"/>
    <xf numFmtId="0" fontId="9" fillId="0" borderId="0"/>
    <xf numFmtId="0" fontId="44"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9" fillId="0" borderId="0"/>
    <xf numFmtId="0" fontId="78" fillId="0" borderId="0"/>
    <xf numFmtId="0" fontId="44" fillId="0" borderId="0"/>
    <xf numFmtId="0" fontId="44" fillId="0" borderId="0"/>
    <xf numFmtId="0" fontId="44" fillId="0" borderId="0"/>
    <xf numFmtId="0" fontId="44" fillId="0" borderId="0"/>
    <xf numFmtId="0" fontId="78" fillId="0" borderId="0"/>
    <xf numFmtId="0" fontId="6" fillId="0" borderId="0"/>
    <xf numFmtId="0" fontId="9" fillId="0" borderId="0"/>
    <xf numFmtId="0" fontId="43" fillId="0" borderId="0"/>
    <xf numFmtId="0" fontId="6" fillId="0" borderId="0"/>
    <xf numFmtId="0" fontId="9" fillId="0" borderId="0"/>
    <xf numFmtId="0" fontId="78" fillId="0" borderId="0"/>
    <xf numFmtId="0" fontId="78" fillId="0" borderId="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33" fillId="0" borderId="0" applyNumberFormat="0" applyFont="0" applyBorder="0" applyProtection="0"/>
    <xf numFmtId="0" fontId="38" fillId="0" borderId="0" applyNumberFormat="0" applyFont="0" applyBorder="0" applyProtection="0"/>
    <xf numFmtId="0" fontId="42"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32" fillId="0" borderId="0" applyNumberFormat="0" applyFont="0" applyBorder="0" applyProtection="0"/>
    <xf numFmtId="0" fontId="37" fillId="0" borderId="0" applyNumberFormat="0" applyFont="0" applyBorder="0" applyProtection="0"/>
    <xf numFmtId="0" fontId="4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33" fillId="0" borderId="0" applyNumberFormat="0" applyFont="0" applyBorder="0" applyProtection="0"/>
    <xf numFmtId="0" fontId="38" fillId="0" borderId="0" applyNumberFormat="0" applyFont="0" applyBorder="0" applyProtection="0"/>
    <xf numFmtId="0" fontId="42"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32" fillId="0" borderId="0" applyNumberFormat="0" applyFont="0" applyBorder="0" applyProtection="0"/>
    <xf numFmtId="0" fontId="37" fillId="0" borderId="0" applyNumberFormat="0" applyFont="0" applyBorder="0" applyProtection="0"/>
    <xf numFmtId="0" fontId="41" fillId="0" borderId="0" applyNumberFormat="0" applyFon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81" fillId="0" borderId="0" applyNumberFormat="0" applyBorder="0" applyProtection="0"/>
    <xf numFmtId="0" fontId="44" fillId="0" borderId="0"/>
    <xf numFmtId="0" fontId="44" fillId="0" borderId="0"/>
    <xf numFmtId="0" fontId="44" fillId="0" borderId="0"/>
    <xf numFmtId="0" fontId="44" fillId="0" borderId="0"/>
    <xf numFmtId="0" fontId="44" fillId="0" borderId="0"/>
    <xf numFmtId="0" fontId="44" fillId="0" borderId="0"/>
    <xf numFmtId="0" fontId="77" fillId="0" borderId="0"/>
    <xf numFmtId="0" fontId="77" fillId="0" borderId="0"/>
    <xf numFmtId="0" fontId="44" fillId="0" borderId="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33" fillId="103" borderId="17" applyNumberFormat="0" applyFont="0" applyAlignment="0" applyProtection="0"/>
    <xf numFmtId="0" fontId="38" fillId="103" borderId="17" applyNumberFormat="0" applyFont="0" applyAlignment="0" applyProtection="0"/>
    <xf numFmtId="0" fontId="42" fillId="103" borderId="17" applyNumberFormat="0" applyFont="0" applyAlignment="0" applyProtection="0"/>
    <xf numFmtId="0" fontId="1"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4" borderId="1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6" fillId="6" borderId="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82" fillId="87"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2" fillId="87" borderId="18" applyNumberFormat="0" applyAlignment="0" applyProtection="0"/>
    <xf numFmtId="0" fontId="83" fillId="87" borderId="18" applyNumberFormat="0" applyAlignment="0" applyProtection="0"/>
    <xf numFmtId="0" fontId="21" fillId="11" borderId="8" applyNumberFormat="0" applyAlignment="0" applyProtection="0"/>
    <xf numFmtId="0" fontId="82" fillId="87"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4" fillId="88"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3" fillId="87" borderId="18" applyNumberFormat="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30" fillId="0" borderId="0" applyFon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91" fillId="0" borderId="0" applyNumberFormat="0" applyFill="0" applyBorder="0" applyAlignment="0" applyProtection="0"/>
    <xf numFmtId="0" fontId="92" fillId="0" borderId="19" applyNumberFormat="0" applyFill="0" applyAlignment="0" applyProtection="0"/>
    <xf numFmtId="0" fontId="93" fillId="0" borderId="19" applyNumberFormat="0" applyFill="0" applyAlignment="0" applyProtection="0"/>
    <xf numFmtId="0" fontId="92"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2" fillId="0" borderId="19"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95" fillId="0" borderId="20" applyNumberFormat="0" applyFill="0" applyAlignment="0" applyProtection="0"/>
    <xf numFmtId="0" fontId="94" fillId="0" borderId="20"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8" fillId="0" borderId="0" applyNumberFormat="0" applyFill="0" applyBorder="0" applyAlignment="0" applyProtection="0"/>
    <xf numFmtId="0" fontId="9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1" fillId="0" borderId="0" applyNumberFormat="0" applyFill="0" applyBorder="0" applyAlignment="0" applyProtection="0"/>
    <xf numFmtId="0" fontId="99" fillId="0" borderId="23"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100" fillId="0" borderId="24" applyNumberFormat="0" applyFill="0" applyAlignment="0" applyProtection="0"/>
    <xf numFmtId="0" fontId="101" fillId="0" borderId="24" applyNumberFormat="0" applyFill="0" applyAlignment="0" applyProtection="0"/>
    <xf numFmtId="0" fontId="100" fillId="0" borderId="24" applyNumberFormat="0" applyFill="0" applyAlignment="0" applyProtection="0"/>
    <xf numFmtId="0" fontId="101" fillId="0" borderId="24" applyNumberFormat="0" applyFill="0" applyAlignment="0" applyProtection="0"/>
    <xf numFmtId="0" fontId="101" fillId="0" borderId="24" applyNumberFormat="0" applyFill="0" applyAlignment="0" applyProtection="0"/>
    <xf numFmtId="0" fontId="100" fillId="0" borderId="24" applyNumberFormat="0" applyFill="0" applyAlignment="0" applyProtection="0"/>
    <xf numFmtId="0" fontId="102" fillId="90" borderId="0" applyNumberFormat="0" applyBorder="0" applyAlignment="0" applyProtection="0"/>
    <xf numFmtId="0" fontId="56" fillId="90" borderId="0" applyNumberFormat="0" applyBorder="0" applyAlignment="0" applyProtection="0"/>
    <xf numFmtId="0" fontId="102" fillId="90" borderId="0" applyNumberFormat="0" applyBorder="0" applyAlignment="0" applyProtection="0"/>
    <xf numFmtId="0" fontId="56" fillId="90" borderId="0" applyNumberFormat="0" applyBorder="0" applyAlignment="0" applyProtection="0"/>
    <xf numFmtId="0" fontId="56" fillId="90" borderId="0" applyNumberFormat="0" applyBorder="0" applyAlignment="0" applyProtection="0"/>
    <xf numFmtId="0" fontId="102" fillId="90" borderId="0" applyNumberFormat="0" applyBorder="0" applyAlignment="0" applyProtection="0"/>
    <xf numFmtId="0" fontId="103" fillId="105" borderId="0" applyNumberFormat="0" applyBorder="0" applyAlignment="0" applyProtection="0"/>
    <xf numFmtId="0" fontId="104" fillId="105" borderId="0" applyNumberFormat="0" applyBorder="0" applyAlignment="0" applyProtection="0"/>
    <xf numFmtId="0" fontId="103" fillId="105" borderId="0" applyNumberFormat="0" applyBorder="0" applyAlignment="0" applyProtection="0"/>
    <xf numFmtId="0" fontId="104" fillId="105" borderId="0" applyNumberFormat="0" applyBorder="0" applyAlignment="0" applyProtection="0"/>
    <xf numFmtId="0" fontId="104" fillId="105" borderId="0" applyNumberFormat="0" applyBorder="0" applyAlignment="0" applyProtection="0"/>
    <xf numFmtId="0" fontId="103" fillId="105" borderId="0" applyNumberFormat="0" applyBorder="0" applyAlignment="0" applyProtection="0"/>
    <xf numFmtId="0" fontId="10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137">
    <xf numFmtId="0" fontId="0" fillId="0" borderId="0" xfId="0"/>
    <xf numFmtId="0" fontId="3" fillId="0" borderId="10" xfId="2457" applyFont="1" applyFill="1" applyBorder="1" applyAlignment="1" applyProtection="1">
      <alignment horizontal="left" wrapText="1"/>
    </xf>
    <xf numFmtId="0" fontId="3" fillId="0" borderId="10" xfId="2458" applyFont="1" applyFill="1" applyBorder="1" applyAlignment="1" applyProtection="1">
      <alignment horizontal="left" wrapText="1"/>
    </xf>
    <xf numFmtId="43" fontId="3" fillId="0" borderId="10" xfId="2123" applyFont="1" applyFill="1" applyBorder="1" applyAlignment="1">
      <alignment horizontal="left" wrapText="1"/>
    </xf>
    <xf numFmtId="0" fontId="3" fillId="0" borderId="10" xfId="0" applyFont="1" applyFill="1" applyBorder="1" applyAlignment="1">
      <alignment horizontal="center" wrapText="1"/>
    </xf>
    <xf numFmtId="4" fontId="3" fillId="0" borderId="10" xfId="0" applyNumberFormat="1" applyFont="1" applyFill="1" applyBorder="1" applyAlignment="1">
      <alignment horizontal="center"/>
    </xf>
    <xf numFmtId="4" fontId="3" fillId="0" borderId="10" xfId="0" applyNumberFormat="1" applyFont="1" applyFill="1" applyBorder="1" applyAlignment="1">
      <alignment horizontal="center" wrapText="1"/>
    </xf>
    <xf numFmtId="0" fontId="3" fillId="0" borderId="10" xfId="0" applyFont="1" applyFill="1" applyBorder="1" applyAlignment="1">
      <alignment horizontal="center"/>
    </xf>
    <xf numFmtId="4" fontId="3" fillId="0" borderId="10" xfId="2641" applyNumberFormat="1" applyFont="1" applyFill="1" applyBorder="1" applyAlignment="1">
      <alignment horizontal="center"/>
    </xf>
    <xf numFmtId="0" fontId="3" fillId="0" borderId="10" xfId="0" quotePrefix="1" applyFont="1" applyFill="1" applyBorder="1" applyAlignment="1">
      <alignment horizontal="left" wrapText="1"/>
    </xf>
    <xf numFmtId="49" fontId="3" fillId="0" borderId="10" xfId="2644" applyNumberFormat="1" applyFont="1" applyFill="1" applyBorder="1" applyAlignment="1">
      <alignment horizontal="left" wrapText="1"/>
    </xf>
    <xf numFmtId="0" fontId="3" fillId="0" borderId="10" xfId="0" applyFont="1" applyFill="1" applyBorder="1" applyAlignment="1">
      <alignment horizontal="left" wrapText="1"/>
    </xf>
    <xf numFmtId="0" fontId="3" fillId="0" borderId="10" xfId="0" applyFont="1" applyFill="1" applyBorder="1" applyAlignment="1">
      <alignment horizontal="left"/>
    </xf>
    <xf numFmtId="0" fontId="3" fillId="0" borderId="10" xfId="2641" applyFont="1" applyFill="1" applyBorder="1" applyAlignment="1">
      <alignment horizontal="left" wrapText="1"/>
    </xf>
    <xf numFmtId="4" fontId="3" fillId="0" borderId="10" xfId="0" applyNumberFormat="1" applyFont="1" applyFill="1" applyBorder="1" applyAlignment="1">
      <alignment horizontal="left" wrapText="1"/>
    </xf>
    <xf numFmtId="4" fontId="2" fillId="0" borderId="10" xfId="2621" applyNumberFormat="1" applyFont="1" applyFill="1" applyBorder="1" applyAlignment="1">
      <alignment horizontal="center" wrapText="1"/>
    </xf>
    <xf numFmtId="4" fontId="3" fillId="0" borderId="10" xfId="2641" applyNumberFormat="1" applyFont="1" applyFill="1" applyBorder="1" applyAlignment="1">
      <alignment horizontal="center" wrapText="1"/>
    </xf>
    <xf numFmtId="0" fontId="3" fillId="0" borderId="10" xfId="2641" applyFont="1" applyFill="1" applyBorder="1" applyAlignment="1">
      <alignment horizontal="center" wrapText="1"/>
    </xf>
    <xf numFmtId="4" fontId="3" fillId="0" borderId="10" xfId="2621" applyNumberFormat="1" applyFont="1" applyFill="1" applyBorder="1" applyAlignment="1">
      <alignment horizontal="center" wrapText="1"/>
    </xf>
    <xf numFmtId="0" fontId="3" fillId="0" borderId="10" xfId="0" quotePrefix="1" applyFont="1" applyFill="1" applyBorder="1" applyAlignment="1">
      <alignment horizontal="center" wrapText="1"/>
    </xf>
    <xf numFmtId="4" fontId="3" fillId="0" borderId="10" xfId="0" quotePrefix="1" applyNumberFormat="1" applyFont="1" applyFill="1" applyBorder="1" applyAlignment="1">
      <alignment horizontal="center" wrapText="1"/>
    </xf>
    <xf numFmtId="0" fontId="5" fillId="0" borderId="10" xfId="0" applyFont="1" applyFill="1" applyBorder="1" applyAlignment="1">
      <alignment horizontal="center"/>
    </xf>
    <xf numFmtId="49" fontId="3" fillId="0" borderId="10" xfId="0" applyNumberFormat="1" applyFont="1" applyFill="1" applyBorder="1" applyAlignment="1">
      <alignment horizontal="center"/>
    </xf>
    <xf numFmtId="4" fontId="3" fillId="0" borderId="10" xfId="2594" applyNumberFormat="1" applyFont="1" applyFill="1" applyBorder="1" applyAlignment="1">
      <alignment horizontal="center" wrapText="1"/>
    </xf>
    <xf numFmtId="4" fontId="5" fillId="0" borderId="10" xfId="0" applyNumberFormat="1" applyFont="1" applyFill="1" applyBorder="1" applyAlignment="1">
      <alignment horizontal="center" wrapText="1"/>
    </xf>
    <xf numFmtId="2" fontId="3" fillId="0" borderId="10" xfId="0" applyNumberFormat="1" applyFont="1" applyFill="1" applyBorder="1" applyAlignment="1">
      <alignment horizontal="center" wrapText="1"/>
    </xf>
    <xf numFmtId="0" fontId="3" fillId="0" borderId="10" xfId="2644" applyFont="1" applyFill="1" applyBorder="1" applyAlignment="1">
      <alignment horizontal="center"/>
    </xf>
    <xf numFmtId="4" fontId="3" fillId="0" borderId="10" xfId="2588" applyNumberFormat="1" applyFont="1" applyFill="1" applyBorder="1" applyAlignment="1">
      <alignment horizontal="center"/>
    </xf>
    <xf numFmtId="4" fontId="5" fillId="0" borderId="10" xfId="2588" applyNumberFormat="1" applyFont="1" applyFill="1" applyBorder="1" applyAlignment="1">
      <alignment horizontal="center"/>
    </xf>
    <xf numFmtId="4" fontId="3" fillId="0" borderId="10" xfId="2644" applyNumberFormat="1" applyFont="1" applyFill="1" applyBorder="1" applyAlignment="1">
      <alignment horizontal="center"/>
    </xf>
    <xf numFmtId="4" fontId="5" fillId="0" borderId="10" xfId="0" applyNumberFormat="1" applyFont="1" applyFill="1" applyBorder="1" applyAlignment="1">
      <alignment horizontal="center"/>
    </xf>
    <xf numFmtId="2" fontId="3" fillId="0" borderId="10" xfId="2621" applyNumberFormat="1" applyFont="1" applyFill="1" applyBorder="1" applyAlignment="1">
      <alignment horizontal="center" wrapText="1"/>
    </xf>
    <xf numFmtId="4" fontId="3" fillId="0" borderId="10" xfId="2644" applyNumberFormat="1" applyFont="1" applyFill="1" applyBorder="1" applyAlignment="1">
      <alignment horizontal="center" wrapText="1"/>
    </xf>
    <xf numFmtId="4" fontId="3" fillId="0" borderId="10" xfId="2621" applyNumberFormat="1" applyFont="1" applyFill="1" applyBorder="1" applyAlignment="1">
      <alignment horizontal="center"/>
    </xf>
    <xf numFmtId="0" fontId="3" fillId="0" borderId="10" xfId="2617" applyFont="1" applyFill="1" applyBorder="1" applyAlignment="1">
      <alignment horizontal="center"/>
    </xf>
    <xf numFmtId="0" fontId="3" fillId="0" borderId="10" xfId="2648" applyFont="1" applyFill="1" applyBorder="1" applyAlignment="1">
      <alignment horizontal="center" wrapText="1"/>
    </xf>
    <xf numFmtId="4" fontId="3" fillId="0" borderId="10" xfId="2648" applyNumberFormat="1" applyFont="1" applyFill="1" applyBorder="1" applyAlignment="1">
      <alignment horizontal="center" wrapText="1"/>
    </xf>
    <xf numFmtId="4" fontId="3" fillId="0" borderId="10" xfId="2649" applyNumberFormat="1" applyFont="1" applyFill="1" applyBorder="1" applyAlignment="1">
      <alignment horizontal="center"/>
    </xf>
    <xf numFmtId="2" fontId="3" fillId="0" borderId="10" xfId="2641" applyNumberFormat="1" applyFont="1" applyFill="1" applyBorder="1" applyAlignment="1">
      <alignment horizontal="center"/>
    </xf>
    <xf numFmtId="4" fontId="3" fillId="0" borderId="0" xfId="0" applyNumberFormat="1" applyFont="1" applyFill="1" applyAlignment="1">
      <alignment horizontal="center" wrapText="1"/>
    </xf>
    <xf numFmtId="2" fontId="3" fillId="0" borderId="10" xfId="0" applyNumberFormat="1" applyFont="1" applyFill="1" applyBorder="1" applyAlignment="1">
      <alignment horizontal="center"/>
    </xf>
    <xf numFmtId="0" fontId="3" fillId="0" borderId="10" xfId="2621" applyFont="1" applyFill="1" applyBorder="1" applyAlignment="1">
      <alignment horizontal="center" wrapText="1"/>
    </xf>
    <xf numFmtId="2" fontId="3" fillId="0" borderId="10" xfId="2641" applyNumberFormat="1" applyFont="1" applyFill="1" applyBorder="1" applyAlignment="1">
      <alignment horizontal="center" wrapText="1"/>
    </xf>
    <xf numFmtId="4" fontId="3" fillId="0" borderId="10" xfId="2651" applyNumberFormat="1" applyFont="1" applyFill="1" applyBorder="1" applyAlignment="1">
      <alignment horizontal="center"/>
    </xf>
    <xf numFmtId="0" fontId="3" fillId="0" borderId="10" xfId="2950" applyFont="1" applyFill="1" applyBorder="1" applyAlignment="1">
      <alignment horizontal="center"/>
    </xf>
    <xf numFmtId="0" fontId="3" fillId="0" borderId="0" xfId="0" applyFont="1" applyFill="1" applyAlignment="1">
      <alignment horizontal="center" wrapText="1"/>
    </xf>
    <xf numFmtId="0" fontId="2" fillId="0" borderId="10" xfId="0" applyFont="1" applyFill="1" applyBorder="1" applyAlignment="1">
      <alignment horizontal="center" wrapText="1"/>
    </xf>
    <xf numFmtId="2" fontId="2" fillId="0" borderId="10" xfId="0" applyNumberFormat="1" applyFont="1" applyFill="1" applyBorder="1" applyAlignment="1">
      <alignment horizontal="center" wrapText="1"/>
    </xf>
    <xf numFmtId="0" fontId="2" fillId="0" borderId="0" xfId="0" applyFont="1" applyFill="1" applyAlignment="1">
      <alignment horizontal="center" wrapText="1"/>
    </xf>
    <xf numFmtId="0" fontId="3" fillId="0" borderId="0" xfId="0" applyFont="1" applyFill="1" applyAlignment="1">
      <alignment wrapText="1"/>
    </xf>
    <xf numFmtId="49" fontId="3" fillId="0" borderId="10" xfId="0" applyNumberFormat="1" applyFont="1" applyFill="1" applyBorder="1" applyAlignment="1">
      <alignment horizontal="left" wrapText="1"/>
    </xf>
    <xf numFmtId="49" fontId="3" fillId="0" borderId="10" xfId="2641" applyNumberFormat="1" applyFont="1" applyFill="1" applyBorder="1" applyAlignment="1">
      <alignment horizontal="left" wrapText="1"/>
    </xf>
    <xf numFmtId="0" fontId="3" fillId="0" borderId="0" xfId="0" applyFont="1" applyFill="1"/>
    <xf numFmtId="49" fontId="5" fillId="0" borderId="10" xfId="0" applyNumberFormat="1" applyFont="1" applyFill="1" applyBorder="1" applyAlignment="1">
      <alignment horizontal="left" wrapText="1"/>
    </xf>
    <xf numFmtId="0" fontId="5" fillId="0" borderId="10" xfId="0" applyFont="1" applyFill="1" applyBorder="1" applyAlignment="1">
      <alignment horizontal="left" wrapText="1"/>
    </xf>
    <xf numFmtId="0" fontId="5" fillId="0" borderId="10" xfId="0" applyFont="1" applyFill="1" applyBorder="1" applyAlignment="1">
      <alignment horizontal="center" wrapText="1"/>
    </xf>
    <xf numFmtId="0" fontId="5" fillId="0" borderId="10" xfId="2641" applyFont="1" applyFill="1" applyBorder="1" applyAlignment="1">
      <alignment horizontal="center" wrapText="1"/>
    </xf>
    <xf numFmtId="2" fontId="5" fillId="0" borderId="10" xfId="0" applyNumberFormat="1" applyFont="1" applyFill="1" applyBorder="1" applyAlignment="1">
      <alignment horizontal="center" wrapText="1"/>
    </xf>
    <xf numFmtId="0" fontId="5" fillId="0" borderId="10" xfId="2621" applyFont="1" applyFill="1" applyBorder="1" applyAlignment="1">
      <alignment horizontal="left" wrapText="1"/>
    </xf>
    <xf numFmtId="49" fontId="3" fillId="0" borderId="10" xfId="2621" applyNumberFormat="1" applyFont="1" applyFill="1" applyBorder="1" applyAlignment="1">
      <alignment horizontal="left" wrapText="1"/>
    </xf>
    <xf numFmtId="0" fontId="3" fillId="0" borderId="10" xfId="2621" applyFont="1" applyFill="1" applyBorder="1" applyAlignment="1">
      <alignment horizontal="left" wrapText="1"/>
    </xf>
    <xf numFmtId="49" fontId="3" fillId="0" borderId="10" xfId="0" applyNumberFormat="1" applyFont="1" applyFill="1" applyBorder="1" applyAlignment="1">
      <alignment horizontal="left"/>
    </xf>
    <xf numFmtId="0" fontId="5" fillId="0" borderId="10" xfId="0" applyFont="1" applyFill="1" applyBorder="1" applyAlignment="1">
      <alignment horizontal="left"/>
    </xf>
    <xf numFmtId="49" fontId="3" fillId="0" borderId="0" xfId="0" applyNumberFormat="1" applyFont="1" applyFill="1"/>
    <xf numFmtId="49" fontId="3" fillId="0" borderId="10" xfId="2644" applyNumberFormat="1" applyFont="1" applyFill="1" applyBorder="1" applyAlignment="1">
      <alignment horizontal="left"/>
    </xf>
    <xf numFmtId="0" fontId="3" fillId="0" borderId="10" xfId="2644" applyFont="1" applyFill="1" applyBorder="1" applyAlignment="1">
      <alignment horizontal="left"/>
    </xf>
    <xf numFmtId="0" fontId="3" fillId="0" borderId="10" xfId="2644" applyFont="1" applyFill="1" applyBorder="1" applyAlignment="1">
      <alignment horizontal="left" wrapText="1"/>
    </xf>
    <xf numFmtId="0" fontId="3" fillId="0" borderId="10" xfId="2644" applyFont="1" applyFill="1" applyBorder="1" applyAlignment="1">
      <alignment horizontal="center" wrapText="1"/>
    </xf>
    <xf numFmtId="49" fontId="3" fillId="0" borderId="10" xfId="0" applyNumberFormat="1" applyFont="1" applyFill="1" applyBorder="1" applyAlignment="1">
      <alignment horizontal="center" wrapText="1"/>
    </xf>
    <xf numFmtId="0" fontId="7" fillId="0" borderId="10" xfId="0" applyFont="1" applyFill="1" applyBorder="1" applyAlignment="1">
      <alignment horizontal="left" wrapText="1"/>
    </xf>
    <xf numFmtId="49" fontId="3" fillId="0" borderId="10" xfId="2644" applyNumberFormat="1" applyFont="1" applyFill="1" applyBorder="1" applyAlignment="1">
      <alignment horizontal="center" wrapText="1"/>
    </xf>
    <xf numFmtId="49" fontId="3" fillId="0" borderId="10" xfId="2648" applyNumberFormat="1" applyFont="1" applyFill="1" applyBorder="1" applyAlignment="1">
      <alignment horizontal="left" wrapText="1"/>
    </xf>
    <xf numFmtId="0" fontId="3" fillId="0" borderId="10" xfId="2648" applyFont="1" applyFill="1" applyBorder="1" applyAlignment="1">
      <alignment horizontal="left" wrapText="1"/>
    </xf>
    <xf numFmtId="0" fontId="3" fillId="0" borderId="10" xfId="0" applyFont="1" applyFill="1" applyBorder="1" applyAlignment="1">
      <alignment horizontal="left" vertical="center"/>
    </xf>
    <xf numFmtId="0" fontId="3" fillId="0" borderId="10" xfId="2827" applyFont="1" applyFill="1" applyBorder="1" applyAlignment="1">
      <alignment horizontal="left"/>
    </xf>
    <xf numFmtId="0" fontId="3" fillId="0" borderId="10" xfId="2827" applyFont="1" applyFill="1" applyBorder="1" applyAlignment="1">
      <alignment horizontal="left" wrapText="1"/>
    </xf>
    <xf numFmtId="0" fontId="3" fillId="0" borderId="10" xfId="2827" applyFont="1" applyFill="1" applyBorder="1" applyAlignment="1">
      <alignment horizontal="center" wrapText="1"/>
    </xf>
    <xf numFmtId="0" fontId="3" fillId="0" borderId="10" xfId="2827" applyFont="1" applyFill="1" applyBorder="1" applyAlignment="1">
      <alignment horizontal="left" vertical="top" wrapText="1"/>
    </xf>
    <xf numFmtId="49" fontId="3" fillId="0" borderId="10" xfId="2827" applyNumberFormat="1" applyFont="1" applyFill="1" applyBorder="1" applyAlignment="1">
      <alignment horizontal="left"/>
    </xf>
    <xf numFmtId="0" fontId="8" fillId="0" borderId="10" xfId="0" applyFont="1" applyFill="1" applyBorder="1" applyAlignment="1">
      <alignment horizontal="left"/>
    </xf>
    <xf numFmtId="4" fontId="5" fillId="0" borderId="10" xfId="2651" applyNumberFormat="1" applyFont="1" applyFill="1" applyBorder="1" applyAlignment="1">
      <alignment horizontal="center"/>
    </xf>
    <xf numFmtId="49" fontId="5" fillId="0" borderId="10" xfId="2588" applyNumberFormat="1" applyFont="1" applyFill="1" applyBorder="1" applyAlignment="1">
      <alignment horizontal="left" wrapText="1"/>
    </xf>
    <xf numFmtId="0" fontId="5" fillId="0" borderId="10" xfId="2588" applyFont="1" applyFill="1" applyBorder="1" applyAlignment="1">
      <alignment horizontal="left" wrapText="1"/>
    </xf>
    <xf numFmtId="0" fontId="5" fillId="0" borderId="10" xfId="2588" applyFont="1" applyFill="1" applyBorder="1" applyAlignment="1">
      <alignment horizontal="center" wrapText="1"/>
    </xf>
    <xf numFmtId="0" fontId="3" fillId="0" borderId="10" xfId="2594" applyFont="1" applyFill="1" applyBorder="1" applyAlignment="1">
      <alignment horizontal="left" wrapText="1"/>
    </xf>
    <xf numFmtId="49" fontId="3" fillId="0" borderId="10" xfId="2654" applyNumberFormat="1" applyFont="1" applyFill="1" applyBorder="1" applyAlignment="1">
      <alignment horizontal="left" wrapText="1"/>
    </xf>
    <xf numFmtId="0" fontId="3" fillId="0" borderId="10" xfId="2654" applyFont="1" applyFill="1" applyBorder="1" applyAlignment="1">
      <alignment horizontal="left" wrapText="1"/>
    </xf>
    <xf numFmtId="0" fontId="3" fillId="0" borderId="10" xfId="2654" applyFont="1" applyFill="1" applyBorder="1" applyAlignment="1">
      <alignment horizontal="center" wrapText="1"/>
    </xf>
    <xf numFmtId="49" fontId="5" fillId="0" borderId="10" xfId="0" applyNumberFormat="1" applyFont="1" applyFill="1" applyBorder="1" applyAlignment="1">
      <alignment horizontal="left"/>
    </xf>
    <xf numFmtId="0" fontId="3" fillId="0" borderId="10" xfId="2701" applyFont="1" applyFill="1" applyBorder="1" applyAlignment="1">
      <alignment horizontal="center" wrapText="1"/>
    </xf>
    <xf numFmtId="164" fontId="5" fillId="0" borderId="10" xfId="0" applyNumberFormat="1" applyFont="1" applyFill="1" applyBorder="1" applyAlignment="1">
      <alignment horizontal="left" wrapText="1"/>
    </xf>
    <xf numFmtId="0" fontId="3" fillId="0" borderId="10" xfId="2708" applyFont="1" applyFill="1" applyBorder="1" applyAlignment="1">
      <alignment horizontal="center" wrapText="1"/>
    </xf>
    <xf numFmtId="4" fontId="3" fillId="0" borderId="10" xfId="2642" applyNumberFormat="1" applyFont="1" applyFill="1" applyBorder="1" applyAlignment="1">
      <alignment horizontal="center" wrapText="1"/>
    </xf>
    <xf numFmtId="0" fontId="5" fillId="0" borderId="10" xfId="2594" applyFont="1" applyFill="1" applyBorder="1" applyAlignment="1">
      <alignment horizontal="left" wrapText="1"/>
    </xf>
    <xf numFmtId="0" fontId="3" fillId="0" borderId="10" xfId="2651" applyFont="1" applyFill="1" applyBorder="1" applyAlignment="1">
      <alignment horizontal="center" wrapText="1"/>
    </xf>
    <xf numFmtId="0" fontId="3" fillId="0" borderId="10" xfId="2689" applyFont="1" applyFill="1" applyBorder="1" applyAlignment="1">
      <alignment horizontal="center" wrapText="1"/>
    </xf>
    <xf numFmtId="2" fontId="3" fillId="0" borderId="10" xfId="0" applyNumberFormat="1" applyFont="1" applyFill="1" applyBorder="1" applyAlignment="1">
      <alignment horizontal="left" wrapText="1"/>
    </xf>
    <xf numFmtId="49" fontId="3" fillId="0" borderId="10" xfId="2621" applyNumberFormat="1" applyFont="1" applyFill="1" applyBorder="1" applyAlignment="1">
      <alignment horizontal="center" wrapText="1"/>
    </xf>
    <xf numFmtId="0" fontId="3" fillId="0" borderId="10" xfId="2666" applyFont="1" applyFill="1" applyBorder="1" applyAlignment="1">
      <alignment horizontal="center" wrapText="1"/>
    </xf>
    <xf numFmtId="49" fontId="3" fillId="0" borderId="10" xfId="2701" applyNumberFormat="1" applyFont="1" applyFill="1" applyBorder="1" applyAlignment="1">
      <alignment horizontal="left" wrapText="1"/>
    </xf>
    <xf numFmtId="0" fontId="3" fillId="0" borderId="10" xfId="2701" applyFont="1" applyFill="1" applyBorder="1" applyAlignment="1">
      <alignment horizontal="left" wrapText="1"/>
    </xf>
    <xf numFmtId="164" fontId="3" fillId="0" borderId="10" xfId="2701" applyNumberFormat="1" applyFont="1" applyFill="1" applyBorder="1" applyAlignment="1">
      <alignment horizontal="left" wrapText="1"/>
    </xf>
    <xf numFmtId="164" fontId="3" fillId="0" borderId="10" xfId="2701" applyNumberFormat="1" applyFont="1" applyFill="1" applyBorder="1" applyAlignment="1">
      <alignment horizontal="center" wrapText="1"/>
    </xf>
    <xf numFmtId="49" fontId="3" fillId="0" borderId="10" xfId="2701" applyNumberFormat="1" applyFont="1" applyFill="1" applyBorder="1" applyAlignment="1">
      <alignment horizontal="center" wrapText="1"/>
    </xf>
    <xf numFmtId="164" fontId="3" fillId="0" borderId="10" xfId="2644" applyNumberFormat="1" applyFont="1" applyFill="1" applyBorder="1" applyAlignment="1">
      <alignment horizontal="left" wrapText="1"/>
    </xf>
    <xf numFmtId="164" fontId="3" fillId="0" borderId="10" xfId="2644" applyNumberFormat="1" applyFont="1" applyFill="1" applyBorder="1" applyAlignment="1">
      <alignment horizontal="center" wrapText="1"/>
    </xf>
    <xf numFmtId="0" fontId="3" fillId="0" borderId="10" xfId="2649" applyFont="1" applyFill="1" applyBorder="1" applyAlignment="1">
      <alignment horizontal="center"/>
    </xf>
    <xf numFmtId="0" fontId="3" fillId="0" borderId="10" xfId="2649" applyFont="1" applyFill="1" applyBorder="1" applyAlignment="1">
      <alignment horizontal="left" wrapText="1"/>
    </xf>
    <xf numFmtId="0" fontId="3" fillId="0" borderId="10" xfId="2649" applyFont="1" applyFill="1" applyBorder="1" applyAlignment="1">
      <alignment horizontal="center" wrapText="1"/>
    </xf>
    <xf numFmtId="49" fontId="5" fillId="0" borderId="10" xfId="2644" applyNumberFormat="1" applyFont="1" applyFill="1" applyBorder="1" applyAlignment="1">
      <alignment horizontal="center" wrapText="1"/>
    </xf>
    <xf numFmtId="0" fontId="5" fillId="0" borderId="10" xfId="2689" applyFont="1" applyFill="1" applyBorder="1" applyAlignment="1">
      <alignment horizontal="center" wrapText="1"/>
    </xf>
    <xf numFmtId="49" fontId="3" fillId="0" borderId="10" xfId="2594" applyNumberFormat="1" applyFont="1" applyFill="1" applyBorder="1" applyAlignment="1">
      <alignment horizontal="left" wrapText="1"/>
    </xf>
    <xf numFmtId="0" fontId="3" fillId="0" borderId="10" xfId="2856" applyFont="1" applyFill="1" applyBorder="1" applyAlignment="1">
      <alignment horizontal="left" wrapText="1"/>
    </xf>
    <xf numFmtId="0" fontId="3" fillId="0" borderId="10" xfId="2856" applyFont="1" applyFill="1" applyBorder="1" applyAlignment="1">
      <alignment horizontal="center" wrapText="1"/>
    </xf>
    <xf numFmtId="0" fontId="3" fillId="0" borderId="10" xfId="2594" applyFont="1" applyFill="1" applyBorder="1" applyAlignment="1">
      <alignment horizontal="center" wrapText="1"/>
    </xf>
    <xf numFmtId="0" fontId="3" fillId="0" borderId="10" xfId="2588" applyFont="1" applyFill="1" applyBorder="1" applyAlignment="1">
      <alignment horizontal="left" wrapText="1"/>
    </xf>
    <xf numFmtId="0" fontId="3" fillId="0" borderId="10" xfId="2780" applyFont="1" applyFill="1" applyBorder="1" applyAlignment="1">
      <alignment horizontal="left"/>
    </xf>
    <xf numFmtId="0" fontId="3" fillId="0" borderId="10" xfId="2780" applyFont="1" applyFill="1" applyBorder="1" applyAlignment="1">
      <alignment horizontal="left" wrapText="1"/>
    </xf>
    <xf numFmtId="0" fontId="3" fillId="0" borderId="10" xfId="2780" applyFont="1" applyFill="1" applyBorder="1" applyAlignment="1">
      <alignment horizontal="center" wrapText="1"/>
    </xf>
    <xf numFmtId="0" fontId="3" fillId="0" borderId="10" xfId="2789" applyFont="1" applyFill="1" applyBorder="1" applyAlignment="1">
      <alignment horizontal="left"/>
    </xf>
    <xf numFmtId="0" fontId="3" fillId="0" borderId="10" xfId="2789" applyFont="1" applyFill="1" applyBorder="1" applyAlignment="1">
      <alignment horizontal="left" wrapText="1"/>
    </xf>
    <xf numFmtId="0" fontId="3" fillId="0" borderId="10" xfId="2789" applyFont="1" applyFill="1" applyBorder="1" applyAlignment="1">
      <alignment horizontal="center" wrapText="1"/>
    </xf>
    <xf numFmtId="0" fontId="3" fillId="0" borderId="10" xfId="2799" applyFont="1" applyFill="1" applyBorder="1" applyAlignment="1">
      <alignment horizontal="left"/>
    </xf>
    <xf numFmtId="0" fontId="3" fillId="0" borderId="10" xfId="2799" applyFont="1" applyFill="1" applyBorder="1" applyAlignment="1">
      <alignment horizontal="left" wrapText="1"/>
    </xf>
    <xf numFmtId="0" fontId="3" fillId="0" borderId="10" xfId="2799" applyFont="1" applyFill="1" applyBorder="1" applyAlignment="1">
      <alignment horizontal="center" wrapText="1"/>
    </xf>
    <xf numFmtId="0" fontId="3" fillId="0" borderId="10" xfId="2799" applyFont="1" applyFill="1" applyBorder="1" applyAlignment="1">
      <alignment horizontal="center"/>
    </xf>
    <xf numFmtId="0" fontId="3" fillId="0" borderId="10" xfId="2653" applyFont="1" applyFill="1" applyBorder="1" applyAlignment="1">
      <alignment horizontal="center" wrapText="1"/>
    </xf>
    <xf numFmtId="49" fontId="5" fillId="0" borderId="10" xfId="2644" applyNumberFormat="1" applyFont="1" applyFill="1" applyBorder="1" applyAlignment="1">
      <alignment horizontal="left" wrapText="1"/>
    </xf>
    <xf numFmtId="164" fontId="5" fillId="0" borderId="10" xfId="0" applyNumberFormat="1" applyFont="1" applyFill="1" applyBorder="1" applyAlignment="1">
      <alignment horizontal="center" wrapText="1"/>
    </xf>
    <xf numFmtId="164" fontId="3" fillId="0" borderId="10" xfId="0" applyNumberFormat="1" applyFont="1" applyFill="1" applyBorder="1" applyAlignment="1">
      <alignment horizontal="center" wrapText="1"/>
    </xf>
    <xf numFmtId="2" fontId="3" fillId="0" borderId="10" xfId="2641" applyNumberFormat="1" applyFont="1" applyFill="1" applyBorder="1" applyAlignment="1">
      <alignment horizontal="left" wrapText="1"/>
    </xf>
    <xf numFmtId="0" fontId="3" fillId="0" borderId="0" xfId="0" applyFont="1" applyFill="1" applyAlignment="1">
      <alignment horizontal="left" wrapText="1"/>
    </xf>
    <xf numFmtId="0" fontId="7" fillId="0" borderId="10" xfId="0" applyFont="1" applyFill="1" applyBorder="1" applyAlignment="1">
      <alignment horizontal="center"/>
    </xf>
    <xf numFmtId="49" fontId="5" fillId="0" borderId="10" xfId="0" applyNumberFormat="1" applyFont="1" applyFill="1" applyBorder="1" applyAlignment="1">
      <alignment horizontal="center" wrapText="1"/>
    </xf>
    <xf numFmtId="4" fontId="3" fillId="0" borderId="10" xfId="2841" applyNumberFormat="1" applyFont="1" applyFill="1" applyBorder="1" applyAlignment="1">
      <alignment horizontal="center" wrapText="1"/>
    </xf>
    <xf numFmtId="0" fontId="3" fillId="0" borderId="10" xfId="2652" applyFont="1" applyFill="1" applyBorder="1" applyAlignment="1">
      <alignment horizontal="center" wrapText="1"/>
    </xf>
    <xf numFmtId="0" fontId="5" fillId="0" borderId="0" xfId="0" applyFont="1" applyFill="1" applyAlignment="1">
      <alignment wrapText="1"/>
    </xf>
  </cellXfs>
  <cellStyles count="3463">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21" xfId="27" xr:uid="{00000000-0005-0000-0000-00001A000000}"/>
    <cellStyle name="20% - Accent1 2 3" xfId="28" xr:uid="{00000000-0005-0000-0000-00001B000000}"/>
    <cellStyle name="20% - Accent1 2 3 2" xfId="29" xr:uid="{00000000-0005-0000-0000-00001C000000}"/>
    <cellStyle name="20% - Accent1 2 4" xfId="30" xr:uid="{00000000-0005-0000-0000-00001D000000}"/>
    <cellStyle name="20% - Accent1 2 4 2" xfId="31" xr:uid="{00000000-0005-0000-0000-00001E000000}"/>
    <cellStyle name="20% - Accent1 2 5" xfId="32" xr:uid="{00000000-0005-0000-0000-00001F000000}"/>
    <cellStyle name="20% - Accent1 2 5 2" xfId="33" xr:uid="{00000000-0005-0000-0000-000020000000}"/>
    <cellStyle name="20% - Accent1 2 6" xfId="34" xr:uid="{00000000-0005-0000-0000-000021000000}"/>
    <cellStyle name="20% - Accent1 2 6 2" xfId="35" xr:uid="{00000000-0005-0000-0000-000022000000}"/>
    <cellStyle name="20% - Accent1 2 7" xfId="36" xr:uid="{00000000-0005-0000-0000-000023000000}"/>
    <cellStyle name="20% - Accent1 2 7 2" xfId="37" xr:uid="{00000000-0005-0000-0000-000024000000}"/>
    <cellStyle name="20% - Accent1 2 8" xfId="38" xr:uid="{00000000-0005-0000-0000-000025000000}"/>
    <cellStyle name="20% - Accent1 2 8 2" xfId="39" xr:uid="{00000000-0005-0000-0000-000026000000}"/>
    <cellStyle name="20% - Accent1 2 9" xfId="40" xr:uid="{00000000-0005-0000-0000-000027000000}"/>
    <cellStyle name="20% - Accent1 2 9 2" xfId="41" xr:uid="{00000000-0005-0000-0000-000028000000}"/>
    <cellStyle name="20% - Accent1 3 10" xfId="42" xr:uid="{00000000-0005-0000-0000-000029000000}"/>
    <cellStyle name="20% - Accent1 3 10 2" xfId="43" xr:uid="{00000000-0005-0000-0000-00002A000000}"/>
    <cellStyle name="20% - Accent1 3 11" xfId="44" xr:uid="{00000000-0005-0000-0000-00002B000000}"/>
    <cellStyle name="20% - Accent1 3 11 2" xfId="45" xr:uid="{00000000-0005-0000-0000-00002C000000}"/>
    <cellStyle name="20% - Accent1 3 12" xfId="46" xr:uid="{00000000-0005-0000-0000-00002D000000}"/>
    <cellStyle name="20% - Accent1 3 12 2" xfId="47" xr:uid="{00000000-0005-0000-0000-00002E000000}"/>
    <cellStyle name="20% - Accent1 3 13" xfId="48" xr:uid="{00000000-0005-0000-0000-00002F000000}"/>
    <cellStyle name="20% - Accent1 3 13 2" xfId="49" xr:uid="{00000000-0005-0000-0000-000030000000}"/>
    <cellStyle name="20% - Accent1 3 14" xfId="50" xr:uid="{00000000-0005-0000-0000-000031000000}"/>
    <cellStyle name="20% - Accent1 3 14 2" xfId="51" xr:uid="{00000000-0005-0000-0000-000032000000}"/>
    <cellStyle name="20% - Accent1 3 15" xfId="52" xr:uid="{00000000-0005-0000-0000-000033000000}"/>
    <cellStyle name="20% - Accent1 3 15 2" xfId="53" xr:uid="{00000000-0005-0000-0000-000034000000}"/>
    <cellStyle name="20% - Accent1 3 16" xfId="54" xr:uid="{00000000-0005-0000-0000-000035000000}"/>
    <cellStyle name="20% - Accent1 3 16 2" xfId="55" xr:uid="{00000000-0005-0000-0000-000036000000}"/>
    <cellStyle name="20% - Accent1 3 17" xfId="56" xr:uid="{00000000-0005-0000-0000-000037000000}"/>
    <cellStyle name="20% - Accent1 3 17 2" xfId="57" xr:uid="{00000000-0005-0000-0000-000038000000}"/>
    <cellStyle name="20% - Accent1 3 2" xfId="58" xr:uid="{00000000-0005-0000-0000-000039000000}"/>
    <cellStyle name="20% - Accent1 3 2 2" xfId="59" xr:uid="{00000000-0005-0000-0000-00003A000000}"/>
    <cellStyle name="20% - Accent1 3 3" xfId="60" xr:uid="{00000000-0005-0000-0000-00003B000000}"/>
    <cellStyle name="20% - Accent1 3 3 2" xfId="61" xr:uid="{00000000-0005-0000-0000-00003C000000}"/>
    <cellStyle name="20% - Accent1 3 4" xfId="62" xr:uid="{00000000-0005-0000-0000-00003D000000}"/>
    <cellStyle name="20% - Accent1 3 4 2" xfId="63" xr:uid="{00000000-0005-0000-0000-00003E000000}"/>
    <cellStyle name="20% - Accent1 3 5" xfId="64" xr:uid="{00000000-0005-0000-0000-00003F000000}"/>
    <cellStyle name="20% - Accent1 3 5 2" xfId="65" xr:uid="{00000000-0005-0000-0000-000040000000}"/>
    <cellStyle name="20% - Accent1 3 6" xfId="66" xr:uid="{00000000-0005-0000-0000-000041000000}"/>
    <cellStyle name="20% - Accent1 3 6 2" xfId="67" xr:uid="{00000000-0005-0000-0000-000042000000}"/>
    <cellStyle name="20% - Accent1 3 7" xfId="68" xr:uid="{00000000-0005-0000-0000-000043000000}"/>
    <cellStyle name="20% - Accent1 3 7 2" xfId="69" xr:uid="{00000000-0005-0000-0000-000044000000}"/>
    <cellStyle name="20% - Accent1 3 8" xfId="70" xr:uid="{00000000-0005-0000-0000-000045000000}"/>
    <cellStyle name="20% - Accent1 3 8 2" xfId="71" xr:uid="{00000000-0005-0000-0000-000046000000}"/>
    <cellStyle name="20% - Accent1 3 9" xfId="72" xr:uid="{00000000-0005-0000-0000-000047000000}"/>
    <cellStyle name="20% - Accent1 3 9 2" xfId="73" xr:uid="{00000000-0005-0000-0000-000048000000}"/>
    <cellStyle name="20% - Accent2 2" xfId="74" xr:uid="{00000000-0005-0000-0000-000049000000}"/>
    <cellStyle name="20% - Accent2 2 10" xfId="75" xr:uid="{00000000-0005-0000-0000-00004A000000}"/>
    <cellStyle name="20% - Accent2 2 10 2" xfId="76" xr:uid="{00000000-0005-0000-0000-00004B000000}"/>
    <cellStyle name="20% - Accent2 2 11" xfId="77" xr:uid="{00000000-0005-0000-0000-00004C000000}"/>
    <cellStyle name="20% - Accent2 2 11 2" xfId="78" xr:uid="{00000000-0005-0000-0000-00004D000000}"/>
    <cellStyle name="20% - Accent2 2 12" xfId="79" xr:uid="{00000000-0005-0000-0000-00004E000000}"/>
    <cellStyle name="20% - Accent2 2 12 2" xfId="80" xr:uid="{00000000-0005-0000-0000-00004F000000}"/>
    <cellStyle name="20% - Accent2 2 13" xfId="81" xr:uid="{00000000-0005-0000-0000-000050000000}"/>
    <cellStyle name="20% - Accent2 2 13 2" xfId="82" xr:uid="{00000000-0005-0000-0000-000051000000}"/>
    <cellStyle name="20% - Accent2 2 14" xfId="83" xr:uid="{00000000-0005-0000-0000-000052000000}"/>
    <cellStyle name="20% - Accent2 2 14 2" xfId="84" xr:uid="{00000000-0005-0000-0000-000053000000}"/>
    <cellStyle name="20% - Accent2 2 15" xfId="85" xr:uid="{00000000-0005-0000-0000-000054000000}"/>
    <cellStyle name="20% - Accent2 2 15 2" xfId="86" xr:uid="{00000000-0005-0000-0000-000055000000}"/>
    <cellStyle name="20% - Accent2 2 16" xfId="87" xr:uid="{00000000-0005-0000-0000-000056000000}"/>
    <cellStyle name="20% - Accent2 2 16 2" xfId="88" xr:uid="{00000000-0005-0000-0000-000057000000}"/>
    <cellStyle name="20% - Accent2 2 17" xfId="89" xr:uid="{00000000-0005-0000-0000-000058000000}"/>
    <cellStyle name="20% - Accent2 2 17 2" xfId="90" xr:uid="{00000000-0005-0000-0000-000059000000}"/>
    <cellStyle name="20% - Accent2 2 18" xfId="91" xr:uid="{00000000-0005-0000-0000-00005A000000}"/>
    <cellStyle name="20% - Accent2 2 18 2" xfId="92" xr:uid="{00000000-0005-0000-0000-00005B000000}"/>
    <cellStyle name="20% - Accent2 2 19" xfId="93" xr:uid="{00000000-0005-0000-0000-00005C000000}"/>
    <cellStyle name="20% - Accent2 2 2" xfId="94" xr:uid="{00000000-0005-0000-0000-00005D000000}"/>
    <cellStyle name="20% - Accent2 2 2 2" xfId="95" xr:uid="{00000000-0005-0000-0000-00005E000000}"/>
    <cellStyle name="20% - Accent2 2 2 3" xfId="96" xr:uid="{00000000-0005-0000-0000-00005F000000}"/>
    <cellStyle name="20% - Accent2 2 2 4" xfId="97" xr:uid="{00000000-0005-0000-0000-000060000000}"/>
    <cellStyle name="20% - Accent2 2 2 5" xfId="98" xr:uid="{00000000-0005-0000-0000-000061000000}"/>
    <cellStyle name="20% - Accent2 2 20" xfId="99" xr:uid="{00000000-0005-0000-0000-000062000000}"/>
    <cellStyle name="20% - Accent2 2 21" xfId="100" xr:uid="{00000000-0005-0000-0000-000063000000}"/>
    <cellStyle name="20% - Accent2 2 3" xfId="101" xr:uid="{00000000-0005-0000-0000-000064000000}"/>
    <cellStyle name="20% - Accent2 2 3 2" xfId="102" xr:uid="{00000000-0005-0000-0000-000065000000}"/>
    <cellStyle name="20% - Accent2 2 4" xfId="103" xr:uid="{00000000-0005-0000-0000-000066000000}"/>
    <cellStyle name="20% - Accent2 2 4 2" xfId="104" xr:uid="{00000000-0005-0000-0000-000067000000}"/>
    <cellStyle name="20% - Accent2 2 5" xfId="105" xr:uid="{00000000-0005-0000-0000-000068000000}"/>
    <cellStyle name="20% - Accent2 2 5 2" xfId="106" xr:uid="{00000000-0005-0000-0000-000069000000}"/>
    <cellStyle name="20% - Accent2 2 6" xfId="107" xr:uid="{00000000-0005-0000-0000-00006A000000}"/>
    <cellStyle name="20% - Accent2 2 6 2" xfId="108" xr:uid="{00000000-0005-0000-0000-00006B000000}"/>
    <cellStyle name="20% - Accent2 2 7" xfId="109" xr:uid="{00000000-0005-0000-0000-00006C000000}"/>
    <cellStyle name="20% - Accent2 2 7 2" xfId="110" xr:uid="{00000000-0005-0000-0000-00006D000000}"/>
    <cellStyle name="20% - Accent2 2 8" xfId="111" xr:uid="{00000000-0005-0000-0000-00006E000000}"/>
    <cellStyle name="20% - Accent2 2 8 2" xfId="112" xr:uid="{00000000-0005-0000-0000-00006F000000}"/>
    <cellStyle name="20% - Accent2 2 9" xfId="113" xr:uid="{00000000-0005-0000-0000-000070000000}"/>
    <cellStyle name="20% - Accent2 2 9 2" xfId="114" xr:uid="{00000000-0005-0000-0000-000071000000}"/>
    <cellStyle name="20% - Accent2 3 10" xfId="115" xr:uid="{00000000-0005-0000-0000-000072000000}"/>
    <cellStyle name="20% - Accent2 3 10 2" xfId="116" xr:uid="{00000000-0005-0000-0000-000073000000}"/>
    <cellStyle name="20% - Accent2 3 11" xfId="117" xr:uid="{00000000-0005-0000-0000-000074000000}"/>
    <cellStyle name="20% - Accent2 3 11 2" xfId="118" xr:uid="{00000000-0005-0000-0000-000075000000}"/>
    <cellStyle name="20% - Accent2 3 12" xfId="119" xr:uid="{00000000-0005-0000-0000-000076000000}"/>
    <cellStyle name="20% - Accent2 3 12 2" xfId="120" xr:uid="{00000000-0005-0000-0000-000077000000}"/>
    <cellStyle name="20% - Accent2 3 13" xfId="121" xr:uid="{00000000-0005-0000-0000-000078000000}"/>
    <cellStyle name="20% - Accent2 3 13 2" xfId="122" xr:uid="{00000000-0005-0000-0000-000079000000}"/>
    <cellStyle name="20% - Accent2 3 14" xfId="123" xr:uid="{00000000-0005-0000-0000-00007A000000}"/>
    <cellStyle name="20% - Accent2 3 14 2" xfId="124" xr:uid="{00000000-0005-0000-0000-00007B000000}"/>
    <cellStyle name="20% - Accent2 3 15" xfId="125" xr:uid="{00000000-0005-0000-0000-00007C000000}"/>
    <cellStyle name="20% - Accent2 3 15 2" xfId="126" xr:uid="{00000000-0005-0000-0000-00007D000000}"/>
    <cellStyle name="20% - Accent2 3 16" xfId="127" xr:uid="{00000000-0005-0000-0000-00007E000000}"/>
    <cellStyle name="20% - Accent2 3 16 2" xfId="128" xr:uid="{00000000-0005-0000-0000-00007F000000}"/>
    <cellStyle name="20% - Accent2 3 17" xfId="129" xr:uid="{00000000-0005-0000-0000-000080000000}"/>
    <cellStyle name="20% - Accent2 3 17 2" xfId="130" xr:uid="{00000000-0005-0000-0000-000081000000}"/>
    <cellStyle name="20% - Accent2 3 2" xfId="131" xr:uid="{00000000-0005-0000-0000-000082000000}"/>
    <cellStyle name="20% - Accent2 3 2 2" xfId="132" xr:uid="{00000000-0005-0000-0000-000083000000}"/>
    <cellStyle name="20% - Accent2 3 3" xfId="133" xr:uid="{00000000-0005-0000-0000-000084000000}"/>
    <cellStyle name="20% - Accent2 3 3 2" xfId="134" xr:uid="{00000000-0005-0000-0000-000085000000}"/>
    <cellStyle name="20% - Accent2 3 4" xfId="135" xr:uid="{00000000-0005-0000-0000-000086000000}"/>
    <cellStyle name="20% - Accent2 3 4 2" xfId="136" xr:uid="{00000000-0005-0000-0000-000087000000}"/>
    <cellStyle name="20% - Accent2 3 5" xfId="137" xr:uid="{00000000-0005-0000-0000-000088000000}"/>
    <cellStyle name="20% - Accent2 3 5 2" xfId="138" xr:uid="{00000000-0005-0000-0000-000089000000}"/>
    <cellStyle name="20% - Accent2 3 6" xfId="139" xr:uid="{00000000-0005-0000-0000-00008A000000}"/>
    <cellStyle name="20% - Accent2 3 6 2" xfId="140" xr:uid="{00000000-0005-0000-0000-00008B000000}"/>
    <cellStyle name="20% - Accent2 3 7" xfId="141" xr:uid="{00000000-0005-0000-0000-00008C000000}"/>
    <cellStyle name="20% - Accent2 3 7 2" xfId="142" xr:uid="{00000000-0005-0000-0000-00008D000000}"/>
    <cellStyle name="20% - Accent2 3 8" xfId="143" xr:uid="{00000000-0005-0000-0000-00008E000000}"/>
    <cellStyle name="20% - Accent2 3 8 2" xfId="144" xr:uid="{00000000-0005-0000-0000-00008F000000}"/>
    <cellStyle name="20% - Accent2 3 9" xfId="145" xr:uid="{00000000-0005-0000-0000-000090000000}"/>
    <cellStyle name="20% - Accent2 3 9 2" xfId="146" xr:uid="{00000000-0005-0000-0000-000091000000}"/>
    <cellStyle name="20% - Accent3 2" xfId="147" xr:uid="{00000000-0005-0000-0000-000092000000}"/>
    <cellStyle name="20% - Accent3 2 10" xfId="148" xr:uid="{00000000-0005-0000-0000-000093000000}"/>
    <cellStyle name="20% - Accent3 2 10 2" xfId="149" xr:uid="{00000000-0005-0000-0000-000094000000}"/>
    <cellStyle name="20% - Accent3 2 11" xfId="150" xr:uid="{00000000-0005-0000-0000-000095000000}"/>
    <cellStyle name="20% - Accent3 2 11 2" xfId="151" xr:uid="{00000000-0005-0000-0000-000096000000}"/>
    <cellStyle name="20% - Accent3 2 12" xfId="152" xr:uid="{00000000-0005-0000-0000-000097000000}"/>
    <cellStyle name="20% - Accent3 2 12 2" xfId="153" xr:uid="{00000000-0005-0000-0000-000098000000}"/>
    <cellStyle name="20% - Accent3 2 13" xfId="154" xr:uid="{00000000-0005-0000-0000-000099000000}"/>
    <cellStyle name="20% - Accent3 2 13 2" xfId="155" xr:uid="{00000000-0005-0000-0000-00009A000000}"/>
    <cellStyle name="20% - Accent3 2 14" xfId="156" xr:uid="{00000000-0005-0000-0000-00009B000000}"/>
    <cellStyle name="20% - Accent3 2 14 2" xfId="157" xr:uid="{00000000-0005-0000-0000-00009C000000}"/>
    <cellStyle name="20% - Accent3 2 15" xfId="158" xr:uid="{00000000-0005-0000-0000-00009D000000}"/>
    <cellStyle name="20% - Accent3 2 15 2" xfId="159" xr:uid="{00000000-0005-0000-0000-00009E000000}"/>
    <cellStyle name="20% - Accent3 2 16" xfId="160" xr:uid="{00000000-0005-0000-0000-00009F000000}"/>
    <cellStyle name="20% - Accent3 2 16 2" xfId="161" xr:uid="{00000000-0005-0000-0000-0000A0000000}"/>
    <cellStyle name="20% - Accent3 2 17" xfId="162" xr:uid="{00000000-0005-0000-0000-0000A1000000}"/>
    <cellStyle name="20% - Accent3 2 17 2" xfId="163" xr:uid="{00000000-0005-0000-0000-0000A2000000}"/>
    <cellStyle name="20% - Accent3 2 18" xfId="164" xr:uid="{00000000-0005-0000-0000-0000A3000000}"/>
    <cellStyle name="20% - Accent3 2 18 2" xfId="165" xr:uid="{00000000-0005-0000-0000-0000A4000000}"/>
    <cellStyle name="20% - Accent3 2 19" xfId="166" xr:uid="{00000000-0005-0000-0000-0000A5000000}"/>
    <cellStyle name="20% - Accent3 2 2" xfId="167" xr:uid="{00000000-0005-0000-0000-0000A6000000}"/>
    <cellStyle name="20% - Accent3 2 2 2" xfId="168" xr:uid="{00000000-0005-0000-0000-0000A7000000}"/>
    <cellStyle name="20% - Accent3 2 2 3" xfId="169" xr:uid="{00000000-0005-0000-0000-0000A8000000}"/>
    <cellStyle name="20% - Accent3 2 2 4" xfId="170" xr:uid="{00000000-0005-0000-0000-0000A9000000}"/>
    <cellStyle name="20% - Accent3 2 2 5" xfId="171" xr:uid="{00000000-0005-0000-0000-0000AA000000}"/>
    <cellStyle name="20% - Accent3 2 20" xfId="172" xr:uid="{00000000-0005-0000-0000-0000AB000000}"/>
    <cellStyle name="20% - Accent3 2 21" xfId="173" xr:uid="{00000000-0005-0000-0000-0000AC000000}"/>
    <cellStyle name="20% - Accent3 2 3" xfId="174" xr:uid="{00000000-0005-0000-0000-0000AD000000}"/>
    <cellStyle name="20% - Accent3 2 3 2" xfId="175" xr:uid="{00000000-0005-0000-0000-0000AE000000}"/>
    <cellStyle name="20% - Accent3 2 4" xfId="176" xr:uid="{00000000-0005-0000-0000-0000AF000000}"/>
    <cellStyle name="20% - Accent3 2 4 2" xfId="177" xr:uid="{00000000-0005-0000-0000-0000B0000000}"/>
    <cellStyle name="20% - Accent3 2 5" xfId="178" xr:uid="{00000000-0005-0000-0000-0000B1000000}"/>
    <cellStyle name="20% - Accent3 2 5 2" xfId="179" xr:uid="{00000000-0005-0000-0000-0000B2000000}"/>
    <cellStyle name="20% - Accent3 2 6" xfId="180" xr:uid="{00000000-0005-0000-0000-0000B3000000}"/>
    <cellStyle name="20% - Accent3 2 6 2" xfId="181" xr:uid="{00000000-0005-0000-0000-0000B4000000}"/>
    <cellStyle name="20% - Accent3 2 7" xfId="182" xr:uid="{00000000-0005-0000-0000-0000B5000000}"/>
    <cellStyle name="20% - Accent3 2 7 2" xfId="183" xr:uid="{00000000-0005-0000-0000-0000B6000000}"/>
    <cellStyle name="20% - Accent3 2 8" xfId="184" xr:uid="{00000000-0005-0000-0000-0000B7000000}"/>
    <cellStyle name="20% - Accent3 2 8 2" xfId="185" xr:uid="{00000000-0005-0000-0000-0000B8000000}"/>
    <cellStyle name="20% - Accent3 2 9" xfId="186" xr:uid="{00000000-0005-0000-0000-0000B9000000}"/>
    <cellStyle name="20% - Accent3 2 9 2" xfId="187" xr:uid="{00000000-0005-0000-0000-0000BA000000}"/>
    <cellStyle name="20% - Accent3 3 10" xfId="188" xr:uid="{00000000-0005-0000-0000-0000BB000000}"/>
    <cellStyle name="20% - Accent3 3 10 2" xfId="189" xr:uid="{00000000-0005-0000-0000-0000BC000000}"/>
    <cellStyle name="20% - Accent3 3 11" xfId="190" xr:uid="{00000000-0005-0000-0000-0000BD000000}"/>
    <cellStyle name="20% - Accent3 3 11 2" xfId="191" xr:uid="{00000000-0005-0000-0000-0000BE000000}"/>
    <cellStyle name="20% - Accent3 3 12" xfId="192" xr:uid="{00000000-0005-0000-0000-0000BF000000}"/>
    <cellStyle name="20% - Accent3 3 12 2" xfId="193" xr:uid="{00000000-0005-0000-0000-0000C0000000}"/>
    <cellStyle name="20% - Accent3 3 13" xfId="194" xr:uid="{00000000-0005-0000-0000-0000C1000000}"/>
    <cellStyle name="20% - Accent3 3 13 2" xfId="195" xr:uid="{00000000-0005-0000-0000-0000C2000000}"/>
    <cellStyle name="20% - Accent3 3 14" xfId="196" xr:uid="{00000000-0005-0000-0000-0000C3000000}"/>
    <cellStyle name="20% - Accent3 3 14 2" xfId="197" xr:uid="{00000000-0005-0000-0000-0000C4000000}"/>
    <cellStyle name="20% - Accent3 3 15" xfId="198" xr:uid="{00000000-0005-0000-0000-0000C5000000}"/>
    <cellStyle name="20% - Accent3 3 15 2" xfId="199" xr:uid="{00000000-0005-0000-0000-0000C6000000}"/>
    <cellStyle name="20% - Accent3 3 16" xfId="200" xr:uid="{00000000-0005-0000-0000-0000C7000000}"/>
    <cellStyle name="20% - Accent3 3 16 2" xfId="201" xr:uid="{00000000-0005-0000-0000-0000C8000000}"/>
    <cellStyle name="20% - Accent3 3 17" xfId="202" xr:uid="{00000000-0005-0000-0000-0000C9000000}"/>
    <cellStyle name="20% - Accent3 3 17 2" xfId="203" xr:uid="{00000000-0005-0000-0000-0000CA000000}"/>
    <cellStyle name="20% - Accent3 3 2" xfId="204" xr:uid="{00000000-0005-0000-0000-0000CB000000}"/>
    <cellStyle name="20% - Accent3 3 2 2" xfId="205" xr:uid="{00000000-0005-0000-0000-0000CC000000}"/>
    <cellStyle name="20% - Accent3 3 3" xfId="206" xr:uid="{00000000-0005-0000-0000-0000CD000000}"/>
    <cellStyle name="20% - Accent3 3 3 2" xfId="207" xr:uid="{00000000-0005-0000-0000-0000CE000000}"/>
    <cellStyle name="20% - Accent3 3 4" xfId="208" xr:uid="{00000000-0005-0000-0000-0000CF000000}"/>
    <cellStyle name="20% - Accent3 3 4 2" xfId="209" xr:uid="{00000000-0005-0000-0000-0000D0000000}"/>
    <cellStyle name="20% - Accent3 3 5" xfId="210" xr:uid="{00000000-0005-0000-0000-0000D1000000}"/>
    <cellStyle name="20% - Accent3 3 5 2" xfId="211" xr:uid="{00000000-0005-0000-0000-0000D2000000}"/>
    <cellStyle name="20% - Accent3 3 6" xfId="212" xr:uid="{00000000-0005-0000-0000-0000D3000000}"/>
    <cellStyle name="20% - Accent3 3 6 2" xfId="213" xr:uid="{00000000-0005-0000-0000-0000D4000000}"/>
    <cellStyle name="20% - Accent3 3 7" xfId="214" xr:uid="{00000000-0005-0000-0000-0000D5000000}"/>
    <cellStyle name="20% - Accent3 3 7 2" xfId="215" xr:uid="{00000000-0005-0000-0000-0000D6000000}"/>
    <cellStyle name="20% - Accent3 3 8" xfId="216" xr:uid="{00000000-0005-0000-0000-0000D7000000}"/>
    <cellStyle name="20% - Accent3 3 8 2" xfId="217" xr:uid="{00000000-0005-0000-0000-0000D8000000}"/>
    <cellStyle name="20% - Accent3 3 9" xfId="218" xr:uid="{00000000-0005-0000-0000-0000D9000000}"/>
    <cellStyle name="20% - Accent3 3 9 2" xfId="219" xr:uid="{00000000-0005-0000-0000-0000DA000000}"/>
    <cellStyle name="20% - Accent4 2" xfId="220" xr:uid="{00000000-0005-0000-0000-0000DB000000}"/>
    <cellStyle name="20% - Accent4 2 10" xfId="221" xr:uid="{00000000-0005-0000-0000-0000DC000000}"/>
    <cellStyle name="20% - Accent4 2 10 2" xfId="222" xr:uid="{00000000-0005-0000-0000-0000DD000000}"/>
    <cellStyle name="20% - Accent4 2 11" xfId="223" xr:uid="{00000000-0005-0000-0000-0000DE000000}"/>
    <cellStyle name="20% - Accent4 2 11 2" xfId="224" xr:uid="{00000000-0005-0000-0000-0000DF000000}"/>
    <cellStyle name="20% - Accent4 2 12" xfId="225" xr:uid="{00000000-0005-0000-0000-0000E0000000}"/>
    <cellStyle name="20% - Accent4 2 12 2" xfId="226" xr:uid="{00000000-0005-0000-0000-0000E1000000}"/>
    <cellStyle name="20% - Accent4 2 13" xfId="227" xr:uid="{00000000-0005-0000-0000-0000E2000000}"/>
    <cellStyle name="20% - Accent4 2 13 2" xfId="228" xr:uid="{00000000-0005-0000-0000-0000E3000000}"/>
    <cellStyle name="20% - Accent4 2 14" xfId="229" xr:uid="{00000000-0005-0000-0000-0000E4000000}"/>
    <cellStyle name="20% - Accent4 2 14 2" xfId="230" xr:uid="{00000000-0005-0000-0000-0000E5000000}"/>
    <cellStyle name="20% - Accent4 2 15" xfId="231" xr:uid="{00000000-0005-0000-0000-0000E6000000}"/>
    <cellStyle name="20% - Accent4 2 15 2" xfId="232" xr:uid="{00000000-0005-0000-0000-0000E7000000}"/>
    <cellStyle name="20% - Accent4 2 16" xfId="233" xr:uid="{00000000-0005-0000-0000-0000E8000000}"/>
    <cellStyle name="20% - Accent4 2 16 2" xfId="234" xr:uid="{00000000-0005-0000-0000-0000E9000000}"/>
    <cellStyle name="20% - Accent4 2 17" xfId="235" xr:uid="{00000000-0005-0000-0000-0000EA000000}"/>
    <cellStyle name="20% - Accent4 2 17 2" xfId="236" xr:uid="{00000000-0005-0000-0000-0000EB000000}"/>
    <cellStyle name="20% - Accent4 2 18" xfId="237" xr:uid="{00000000-0005-0000-0000-0000EC000000}"/>
    <cellStyle name="20% - Accent4 2 18 2" xfId="238" xr:uid="{00000000-0005-0000-0000-0000ED000000}"/>
    <cellStyle name="20% - Accent4 2 19" xfId="239" xr:uid="{00000000-0005-0000-0000-0000EE000000}"/>
    <cellStyle name="20% - Accent4 2 2" xfId="240" xr:uid="{00000000-0005-0000-0000-0000EF000000}"/>
    <cellStyle name="20% - Accent4 2 2 2" xfId="241" xr:uid="{00000000-0005-0000-0000-0000F0000000}"/>
    <cellStyle name="20% - Accent4 2 2 3" xfId="242" xr:uid="{00000000-0005-0000-0000-0000F1000000}"/>
    <cellStyle name="20% - Accent4 2 2 4" xfId="243" xr:uid="{00000000-0005-0000-0000-0000F2000000}"/>
    <cellStyle name="20% - Accent4 2 2 5" xfId="244" xr:uid="{00000000-0005-0000-0000-0000F3000000}"/>
    <cellStyle name="20% - Accent4 2 20" xfId="245" xr:uid="{00000000-0005-0000-0000-0000F4000000}"/>
    <cellStyle name="20% - Accent4 2 21" xfId="246" xr:uid="{00000000-0005-0000-0000-0000F5000000}"/>
    <cellStyle name="20% - Accent4 2 3" xfId="247" xr:uid="{00000000-0005-0000-0000-0000F6000000}"/>
    <cellStyle name="20% - Accent4 2 3 2" xfId="248" xr:uid="{00000000-0005-0000-0000-0000F7000000}"/>
    <cellStyle name="20% - Accent4 2 4" xfId="249" xr:uid="{00000000-0005-0000-0000-0000F8000000}"/>
    <cellStyle name="20% - Accent4 2 4 2" xfId="250" xr:uid="{00000000-0005-0000-0000-0000F9000000}"/>
    <cellStyle name="20% - Accent4 2 5" xfId="251" xr:uid="{00000000-0005-0000-0000-0000FA000000}"/>
    <cellStyle name="20% - Accent4 2 5 2" xfId="252" xr:uid="{00000000-0005-0000-0000-0000FB000000}"/>
    <cellStyle name="20% - Accent4 2 6" xfId="253" xr:uid="{00000000-0005-0000-0000-0000FC000000}"/>
    <cellStyle name="20% - Accent4 2 6 2" xfId="254" xr:uid="{00000000-0005-0000-0000-0000FD000000}"/>
    <cellStyle name="20% - Accent4 2 7" xfId="255" xr:uid="{00000000-0005-0000-0000-0000FE000000}"/>
    <cellStyle name="20% - Accent4 2 7 2" xfId="256" xr:uid="{00000000-0005-0000-0000-0000FF000000}"/>
    <cellStyle name="20% - Accent4 2 8" xfId="257" xr:uid="{00000000-0005-0000-0000-000000010000}"/>
    <cellStyle name="20% - Accent4 2 8 2" xfId="258" xr:uid="{00000000-0005-0000-0000-000001010000}"/>
    <cellStyle name="20% - Accent4 2 9" xfId="259" xr:uid="{00000000-0005-0000-0000-000002010000}"/>
    <cellStyle name="20% - Accent4 2 9 2" xfId="260" xr:uid="{00000000-0005-0000-0000-000003010000}"/>
    <cellStyle name="20% - Accent4 3 10" xfId="261" xr:uid="{00000000-0005-0000-0000-000004010000}"/>
    <cellStyle name="20% - Accent4 3 10 2" xfId="262" xr:uid="{00000000-0005-0000-0000-000005010000}"/>
    <cellStyle name="20% - Accent4 3 11" xfId="263" xr:uid="{00000000-0005-0000-0000-000006010000}"/>
    <cellStyle name="20% - Accent4 3 11 2" xfId="264" xr:uid="{00000000-0005-0000-0000-000007010000}"/>
    <cellStyle name="20% - Accent4 3 12" xfId="265" xr:uid="{00000000-0005-0000-0000-000008010000}"/>
    <cellStyle name="20% - Accent4 3 12 2" xfId="266" xr:uid="{00000000-0005-0000-0000-000009010000}"/>
    <cellStyle name="20% - Accent4 3 13" xfId="267" xr:uid="{00000000-0005-0000-0000-00000A010000}"/>
    <cellStyle name="20% - Accent4 3 13 2" xfId="268" xr:uid="{00000000-0005-0000-0000-00000B010000}"/>
    <cellStyle name="20% - Accent4 3 14" xfId="269" xr:uid="{00000000-0005-0000-0000-00000C010000}"/>
    <cellStyle name="20% - Accent4 3 14 2" xfId="270" xr:uid="{00000000-0005-0000-0000-00000D010000}"/>
    <cellStyle name="20% - Accent4 3 15" xfId="271" xr:uid="{00000000-0005-0000-0000-00000E010000}"/>
    <cellStyle name="20% - Accent4 3 15 2" xfId="272" xr:uid="{00000000-0005-0000-0000-00000F010000}"/>
    <cellStyle name="20% - Accent4 3 16" xfId="273" xr:uid="{00000000-0005-0000-0000-000010010000}"/>
    <cellStyle name="20% - Accent4 3 16 2" xfId="274" xr:uid="{00000000-0005-0000-0000-000011010000}"/>
    <cellStyle name="20% - Accent4 3 17" xfId="275" xr:uid="{00000000-0005-0000-0000-000012010000}"/>
    <cellStyle name="20% - Accent4 3 17 2" xfId="276" xr:uid="{00000000-0005-0000-0000-000013010000}"/>
    <cellStyle name="20% - Accent4 3 2" xfId="277" xr:uid="{00000000-0005-0000-0000-000014010000}"/>
    <cellStyle name="20% - Accent4 3 2 2" xfId="278" xr:uid="{00000000-0005-0000-0000-000015010000}"/>
    <cellStyle name="20% - Accent4 3 3" xfId="279" xr:uid="{00000000-0005-0000-0000-000016010000}"/>
    <cellStyle name="20% - Accent4 3 3 2" xfId="280" xr:uid="{00000000-0005-0000-0000-000017010000}"/>
    <cellStyle name="20% - Accent4 3 4" xfId="281" xr:uid="{00000000-0005-0000-0000-000018010000}"/>
    <cellStyle name="20% - Accent4 3 4 2" xfId="282" xr:uid="{00000000-0005-0000-0000-000019010000}"/>
    <cellStyle name="20% - Accent4 3 5" xfId="283" xr:uid="{00000000-0005-0000-0000-00001A010000}"/>
    <cellStyle name="20% - Accent4 3 5 2" xfId="284" xr:uid="{00000000-0005-0000-0000-00001B010000}"/>
    <cellStyle name="20% - Accent4 3 6" xfId="285" xr:uid="{00000000-0005-0000-0000-00001C010000}"/>
    <cellStyle name="20% - Accent4 3 6 2" xfId="286" xr:uid="{00000000-0005-0000-0000-00001D010000}"/>
    <cellStyle name="20% - Accent4 3 7" xfId="287" xr:uid="{00000000-0005-0000-0000-00001E010000}"/>
    <cellStyle name="20% - Accent4 3 7 2" xfId="288" xr:uid="{00000000-0005-0000-0000-00001F010000}"/>
    <cellStyle name="20% - Accent4 3 8" xfId="289" xr:uid="{00000000-0005-0000-0000-000020010000}"/>
    <cellStyle name="20% - Accent4 3 8 2" xfId="290" xr:uid="{00000000-0005-0000-0000-000021010000}"/>
    <cellStyle name="20% - Accent4 3 9" xfId="291" xr:uid="{00000000-0005-0000-0000-000022010000}"/>
    <cellStyle name="20% - Accent4 3 9 2" xfId="292" xr:uid="{00000000-0005-0000-0000-000023010000}"/>
    <cellStyle name="20% - Accent5 2" xfId="293" xr:uid="{00000000-0005-0000-0000-000024010000}"/>
    <cellStyle name="20% - Accent5 2 10" xfId="294" xr:uid="{00000000-0005-0000-0000-000025010000}"/>
    <cellStyle name="20% - Accent5 2 10 2" xfId="295" xr:uid="{00000000-0005-0000-0000-000026010000}"/>
    <cellStyle name="20% - Accent5 2 11" xfId="296" xr:uid="{00000000-0005-0000-0000-000027010000}"/>
    <cellStyle name="20% - Accent5 2 11 2" xfId="297" xr:uid="{00000000-0005-0000-0000-000028010000}"/>
    <cellStyle name="20% - Accent5 2 12" xfId="298" xr:uid="{00000000-0005-0000-0000-000029010000}"/>
    <cellStyle name="20% - Accent5 2 12 2" xfId="299" xr:uid="{00000000-0005-0000-0000-00002A010000}"/>
    <cellStyle name="20% - Accent5 2 13" xfId="300" xr:uid="{00000000-0005-0000-0000-00002B010000}"/>
    <cellStyle name="20% - Accent5 2 13 2" xfId="301" xr:uid="{00000000-0005-0000-0000-00002C010000}"/>
    <cellStyle name="20% - Accent5 2 14" xfId="302" xr:uid="{00000000-0005-0000-0000-00002D010000}"/>
    <cellStyle name="20% - Accent5 2 14 2" xfId="303" xr:uid="{00000000-0005-0000-0000-00002E010000}"/>
    <cellStyle name="20% - Accent5 2 15" xfId="304" xr:uid="{00000000-0005-0000-0000-00002F010000}"/>
    <cellStyle name="20% - Accent5 2 15 2" xfId="305" xr:uid="{00000000-0005-0000-0000-000030010000}"/>
    <cellStyle name="20% - Accent5 2 16" xfId="306" xr:uid="{00000000-0005-0000-0000-000031010000}"/>
    <cellStyle name="20% - Accent5 2 16 2" xfId="307" xr:uid="{00000000-0005-0000-0000-000032010000}"/>
    <cellStyle name="20% - Accent5 2 17" xfId="308" xr:uid="{00000000-0005-0000-0000-000033010000}"/>
    <cellStyle name="20% - Accent5 2 17 2" xfId="309" xr:uid="{00000000-0005-0000-0000-000034010000}"/>
    <cellStyle name="20% - Accent5 2 18" xfId="310" xr:uid="{00000000-0005-0000-0000-000035010000}"/>
    <cellStyle name="20% - Accent5 2 18 2" xfId="311" xr:uid="{00000000-0005-0000-0000-000036010000}"/>
    <cellStyle name="20% - Accent5 2 19" xfId="312" xr:uid="{00000000-0005-0000-0000-000037010000}"/>
    <cellStyle name="20% - Accent5 2 2" xfId="313" xr:uid="{00000000-0005-0000-0000-000038010000}"/>
    <cellStyle name="20% - Accent5 2 2 2" xfId="314" xr:uid="{00000000-0005-0000-0000-000039010000}"/>
    <cellStyle name="20% - Accent5 2 2 3" xfId="315" xr:uid="{00000000-0005-0000-0000-00003A010000}"/>
    <cellStyle name="20% - Accent5 2 2 4" xfId="316" xr:uid="{00000000-0005-0000-0000-00003B010000}"/>
    <cellStyle name="20% - Accent5 2 2 5" xfId="317" xr:uid="{00000000-0005-0000-0000-00003C010000}"/>
    <cellStyle name="20% - Accent5 2 20" xfId="318" xr:uid="{00000000-0005-0000-0000-00003D010000}"/>
    <cellStyle name="20% - Accent5 2 21" xfId="319" xr:uid="{00000000-0005-0000-0000-00003E010000}"/>
    <cellStyle name="20% - Accent5 2 3" xfId="320" xr:uid="{00000000-0005-0000-0000-00003F010000}"/>
    <cellStyle name="20% - Accent5 2 3 2" xfId="321" xr:uid="{00000000-0005-0000-0000-000040010000}"/>
    <cellStyle name="20% - Accent5 2 4" xfId="322" xr:uid="{00000000-0005-0000-0000-000041010000}"/>
    <cellStyle name="20% - Accent5 2 4 2" xfId="323" xr:uid="{00000000-0005-0000-0000-000042010000}"/>
    <cellStyle name="20% - Accent5 2 5" xfId="324" xr:uid="{00000000-0005-0000-0000-000043010000}"/>
    <cellStyle name="20% - Accent5 2 5 2" xfId="325" xr:uid="{00000000-0005-0000-0000-000044010000}"/>
    <cellStyle name="20% - Accent5 2 6" xfId="326" xr:uid="{00000000-0005-0000-0000-000045010000}"/>
    <cellStyle name="20% - Accent5 2 6 2" xfId="327" xr:uid="{00000000-0005-0000-0000-000046010000}"/>
    <cellStyle name="20% - Accent5 2 7" xfId="328" xr:uid="{00000000-0005-0000-0000-000047010000}"/>
    <cellStyle name="20% - Accent5 2 7 2" xfId="329" xr:uid="{00000000-0005-0000-0000-000048010000}"/>
    <cellStyle name="20% - Accent5 2 8" xfId="330" xr:uid="{00000000-0005-0000-0000-000049010000}"/>
    <cellStyle name="20% - Accent5 2 8 2" xfId="331" xr:uid="{00000000-0005-0000-0000-00004A010000}"/>
    <cellStyle name="20% - Accent5 2 9" xfId="332" xr:uid="{00000000-0005-0000-0000-00004B010000}"/>
    <cellStyle name="20% - Accent5 2 9 2" xfId="333" xr:uid="{00000000-0005-0000-0000-00004C010000}"/>
    <cellStyle name="20% - Accent5 3 10" xfId="334" xr:uid="{00000000-0005-0000-0000-00004D010000}"/>
    <cellStyle name="20% - Accent5 3 10 2" xfId="335" xr:uid="{00000000-0005-0000-0000-00004E010000}"/>
    <cellStyle name="20% - Accent5 3 11" xfId="336" xr:uid="{00000000-0005-0000-0000-00004F010000}"/>
    <cellStyle name="20% - Accent5 3 11 2" xfId="337" xr:uid="{00000000-0005-0000-0000-000050010000}"/>
    <cellStyle name="20% - Accent5 3 12" xfId="338" xr:uid="{00000000-0005-0000-0000-000051010000}"/>
    <cellStyle name="20% - Accent5 3 12 2" xfId="339" xr:uid="{00000000-0005-0000-0000-000052010000}"/>
    <cellStyle name="20% - Accent5 3 13" xfId="340" xr:uid="{00000000-0005-0000-0000-000053010000}"/>
    <cellStyle name="20% - Accent5 3 13 2" xfId="341" xr:uid="{00000000-0005-0000-0000-000054010000}"/>
    <cellStyle name="20% - Accent5 3 14" xfId="342" xr:uid="{00000000-0005-0000-0000-000055010000}"/>
    <cellStyle name="20% - Accent5 3 14 2" xfId="343" xr:uid="{00000000-0005-0000-0000-000056010000}"/>
    <cellStyle name="20% - Accent5 3 15" xfId="344" xr:uid="{00000000-0005-0000-0000-000057010000}"/>
    <cellStyle name="20% - Accent5 3 15 2" xfId="345" xr:uid="{00000000-0005-0000-0000-000058010000}"/>
    <cellStyle name="20% - Accent5 3 16" xfId="346" xr:uid="{00000000-0005-0000-0000-000059010000}"/>
    <cellStyle name="20% - Accent5 3 16 2" xfId="347" xr:uid="{00000000-0005-0000-0000-00005A010000}"/>
    <cellStyle name="20% - Accent5 3 17" xfId="348" xr:uid="{00000000-0005-0000-0000-00005B010000}"/>
    <cellStyle name="20% - Accent5 3 17 2" xfId="349" xr:uid="{00000000-0005-0000-0000-00005C010000}"/>
    <cellStyle name="20% - Accent5 3 2" xfId="350" xr:uid="{00000000-0005-0000-0000-00005D010000}"/>
    <cellStyle name="20% - Accent5 3 2 2" xfId="351" xr:uid="{00000000-0005-0000-0000-00005E010000}"/>
    <cellStyle name="20% - Accent5 3 3" xfId="352" xr:uid="{00000000-0005-0000-0000-00005F010000}"/>
    <cellStyle name="20% - Accent5 3 3 2" xfId="353" xr:uid="{00000000-0005-0000-0000-000060010000}"/>
    <cellStyle name="20% - Accent5 3 4" xfId="354" xr:uid="{00000000-0005-0000-0000-000061010000}"/>
    <cellStyle name="20% - Accent5 3 4 2" xfId="355" xr:uid="{00000000-0005-0000-0000-000062010000}"/>
    <cellStyle name="20% - Accent5 3 5" xfId="356" xr:uid="{00000000-0005-0000-0000-000063010000}"/>
    <cellStyle name="20% - Accent5 3 5 2" xfId="357" xr:uid="{00000000-0005-0000-0000-000064010000}"/>
    <cellStyle name="20% - Accent5 3 6" xfId="358" xr:uid="{00000000-0005-0000-0000-000065010000}"/>
    <cellStyle name="20% - Accent5 3 6 2" xfId="359" xr:uid="{00000000-0005-0000-0000-000066010000}"/>
    <cellStyle name="20% - Accent5 3 7" xfId="360" xr:uid="{00000000-0005-0000-0000-000067010000}"/>
    <cellStyle name="20% - Accent5 3 7 2" xfId="361" xr:uid="{00000000-0005-0000-0000-000068010000}"/>
    <cellStyle name="20% - Accent5 3 8" xfId="362" xr:uid="{00000000-0005-0000-0000-000069010000}"/>
    <cellStyle name="20% - Accent5 3 8 2" xfId="363" xr:uid="{00000000-0005-0000-0000-00006A010000}"/>
    <cellStyle name="20% - Accent5 3 9" xfId="364" xr:uid="{00000000-0005-0000-0000-00006B010000}"/>
    <cellStyle name="20% - Accent5 3 9 2" xfId="365" xr:uid="{00000000-0005-0000-0000-00006C010000}"/>
    <cellStyle name="20% - Accent6 2" xfId="366" xr:uid="{00000000-0005-0000-0000-00006D010000}"/>
    <cellStyle name="20% - Accent6 2 10" xfId="367" xr:uid="{00000000-0005-0000-0000-00006E010000}"/>
    <cellStyle name="20% - Accent6 2 10 2" xfId="368" xr:uid="{00000000-0005-0000-0000-00006F010000}"/>
    <cellStyle name="20% - Accent6 2 11" xfId="369" xr:uid="{00000000-0005-0000-0000-000070010000}"/>
    <cellStyle name="20% - Accent6 2 11 2" xfId="370" xr:uid="{00000000-0005-0000-0000-000071010000}"/>
    <cellStyle name="20% - Accent6 2 12" xfId="371" xr:uid="{00000000-0005-0000-0000-000072010000}"/>
    <cellStyle name="20% - Accent6 2 12 2" xfId="372" xr:uid="{00000000-0005-0000-0000-000073010000}"/>
    <cellStyle name="20% - Accent6 2 13" xfId="373" xr:uid="{00000000-0005-0000-0000-000074010000}"/>
    <cellStyle name="20% - Accent6 2 13 2" xfId="374" xr:uid="{00000000-0005-0000-0000-000075010000}"/>
    <cellStyle name="20% - Accent6 2 14" xfId="375" xr:uid="{00000000-0005-0000-0000-000076010000}"/>
    <cellStyle name="20% - Accent6 2 14 2" xfId="376" xr:uid="{00000000-0005-0000-0000-000077010000}"/>
    <cellStyle name="20% - Accent6 2 15" xfId="377" xr:uid="{00000000-0005-0000-0000-000078010000}"/>
    <cellStyle name="20% - Accent6 2 15 2" xfId="378" xr:uid="{00000000-0005-0000-0000-000079010000}"/>
    <cellStyle name="20% - Accent6 2 16" xfId="379" xr:uid="{00000000-0005-0000-0000-00007A010000}"/>
    <cellStyle name="20% - Accent6 2 16 2" xfId="380" xr:uid="{00000000-0005-0000-0000-00007B010000}"/>
    <cellStyle name="20% - Accent6 2 17" xfId="381" xr:uid="{00000000-0005-0000-0000-00007C010000}"/>
    <cellStyle name="20% - Accent6 2 17 2" xfId="382" xr:uid="{00000000-0005-0000-0000-00007D010000}"/>
    <cellStyle name="20% - Accent6 2 18" xfId="383" xr:uid="{00000000-0005-0000-0000-00007E010000}"/>
    <cellStyle name="20% - Accent6 2 18 2" xfId="384" xr:uid="{00000000-0005-0000-0000-00007F010000}"/>
    <cellStyle name="20% - Accent6 2 19" xfId="385" xr:uid="{00000000-0005-0000-0000-000080010000}"/>
    <cellStyle name="20% - Accent6 2 2" xfId="386" xr:uid="{00000000-0005-0000-0000-000081010000}"/>
    <cellStyle name="20% - Accent6 2 2 2" xfId="387" xr:uid="{00000000-0005-0000-0000-000082010000}"/>
    <cellStyle name="20% - Accent6 2 2 3" xfId="388" xr:uid="{00000000-0005-0000-0000-000083010000}"/>
    <cellStyle name="20% - Accent6 2 2 4" xfId="389" xr:uid="{00000000-0005-0000-0000-000084010000}"/>
    <cellStyle name="20% - Accent6 2 2 5" xfId="390" xr:uid="{00000000-0005-0000-0000-000085010000}"/>
    <cellStyle name="20% - Accent6 2 20" xfId="391" xr:uid="{00000000-0005-0000-0000-000086010000}"/>
    <cellStyle name="20% - Accent6 2 21" xfId="392" xr:uid="{00000000-0005-0000-0000-000087010000}"/>
    <cellStyle name="20% - Accent6 2 3" xfId="393" xr:uid="{00000000-0005-0000-0000-000088010000}"/>
    <cellStyle name="20% - Accent6 2 3 2" xfId="394" xr:uid="{00000000-0005-0000-0000-000089010000}"/>
    <cellStyle name="20% - Accent6 2 4" xfId="395" xr:uid="{00000000-0005-0000-0000-00008A010000}"/>
    <cellStyle name="20% - Accent6 2 4 2" xfId="396" xr:uid="{00000000-0005-0000-0000-00008B010000}"/>
    <cellStyle name="20% - Accent6 2 5" xfId="397" xr:uid="{00000000-0005-0000-0000-00008C010000}"/>
    <cellStyle name="20% - Accent6 2 5 2" xfId="398" xr:uid="{00000000-0005-0000-0000-00008D010000}"/>
    <cellStyle name="20% - Accent6 2 6" xfId="399" xr:uid="{00000000-0005-0000-0000-00008E010000}"/>
    <cellStyle name="20% - Accent6 2 6 2" xfId="400" xr:uid="{00000000-0005-0000-0000-00008F010000}"/>
    <cellStyle name="20% - Accent6 2 7" xfId="401" xr:uid="{00000000-0005-0000-0000-000090010000}"/>
    <cellStyle name="20% - Accent6 2 7 2" xfId="402" xr:uid="{00000000-0005-0000-0000-000091010000}"/>
    <cellStyle name="20% - Accent6 2 8" xfId="403" xr:uid="{00000000-0005-0000-0000-000092010000}"/>
    <cellStyle name="20% - Accent6 2 8 2" xfId="404" xr:uid="{00000000-0005-0000-0000-000093010000}"/>
    <cellStyle name="20% - Accent6 2 9" xfId="405" xr:uid="{00000000-0005-0000-0000-000094010000}"/>
    <cellStyle name="20% - Accent6 2 9 2" xfId="406" xr:uid="{00000000-0005-0000-0000-000095010000}"/>
    <cellStyle name="20% - Accent6 3 10" xfId="407" xr:uid="{00000000-0005-0000-0000-000096010000}"/>
    <cellStyle name="20% - Accent6 3 10 2" xfId="408" xr:uid="{00000000-0005-0000-0000-000097010000}"/>
    <cellStyle name="20% - Accent6 3 11" xfId="409" xr:uid="{00000000-0005-0000-0000-000098010000}"/>
    <cellStyle name="20% - Accent6 3 11 2" xfId="410" xr:uid="{00000000-0005-0000-0000-000099010000}"/>
    <cellStyle name="20% - Accent6 3 12" xfId="411" xr:uid="{00000000-0005-0000-0000-00009A010000}"/>
    <cellStyle name="20% - Accent6 3 12 2" xfId="412" xr:uid="{00000000-0005-0000-0000-00009B010000}"/>
    <cellStyle name="20% - Accent6 3 13" xfId="413" xr:uid="{00000000-0005-0000-0000-00009C010000}"/>
    <cellStyle name="20% - Accent6 3 13 2" xfId="414" xr:uid="{00000000-0005-0000-0000-00009D010000}"/>
    <cellStyle name="20% - Accent6 3 14" xfId="415" xr:uid="{00000000-0005-0000-0000-00009E010000}"/>
    <cellStyle name="20% - Accent6 3 14 2" xfId="416" xr:uid="{00000000-0005-0000-0000-00009F010000}"/>
    <cellStyle name="20% - Accent6 3 15" xfId="417" xr:uid="{00000000-0005-0000-0000-0000A0010000}"/>
    <cellStyle name="20% - Accent6 3 15 2" xfId="418" xr:uid="{00000000-0005-0000-0000-0000A1010000}"/>
    <cellStyle name="20% - Accent6 3 16" xfId="419" xr:uid="{00000000-0005-0000-0000-0000A2010000}"/>
    <cellStyle name="20% - Accent6 3 16 2" xfId="420" xr:uid="{00000000-0005-0000-0000-0000A3010000}"/>
    <cellStyle name="20% - Accent6 3 17" xfId="421" xr:uid="{00000000-0005-0000-0000-0000A4010000}"/>
    <cellStyle name="20% - Accent6 3 17 2" xfId="422" xr:uid="{00000000-0005-0000-0000-0000A5010000}"/>
    <cellStyle name="20% - Accent6 3 2" xfId="423" xr:uid="{00000000-0005-0000-0000-0000A6010000}"/>
    <cellStyle name="20% - Accent6 3 2 2" xfId="424" xr:uid="{00000000-0005-0000-0000-0000A7010000}"/>
    <cellStyle name="20% - Accent6 3 3" xfId="425" xr:uid="{00000000-0005-0000-0000-0000A8010000}"/>
    <cellStyle name="20% - Accent6 3 3 2" xfId="426" xr:uid="{00000000-0005-0000-0000-0000A9010000}"/>
    <cellStyle name="20% - Accent6 3 4" xfId="427" xr:uid="{00000000-0005-0000-0000-0000AA010000}"/>
    <cellStyle name="20% - Accent6 3 4 2" xfId="428" xr:uid="{00000000-0005-0000-0000-0000AB010000}"/>
    <cellStyle name="20% - Accent6 3 5" xfId="429" xr:uid="{00000000-0005-0000-0000-0000AC010000}"/>
    <cellStyle name="20% - Accent6 3 5 2" xfId="430" xr:uid="{00000000-0005-0000-0000-0000AD010000}"/>
    <cellStyle name="20% - Accent6 3 6" xfId="431" xr:uid="{00000000-0005-0000-0000-0000AE010000}"/>
    <cellStyle name="20% - Accent6 3 6 2" xfId="432" xr:uid="{00000000-0005-0000-0000-0000AF010000}"/>
    <cellStyle name="20% - Accent6 3 7" xfId="433" xr:uid="{00000000-0005-0000-0000-0000B0010000}"/>
    <cellStyle name="20% - Accent6 3 7 2" xfId="434" xr:uid="{00000000-0005-0000-0000-0000B1010000}"/>
    <cellStyle name="20% - Accent6 3 8" xfId="435" xr:uid="{00000000-0005-0000-0000-0000B2010000}"/>
    <cellStyle name="20% - Accent6 3 8 2" xfId="436" xr:uid="{00000000-0005-0000-0000-0000B3010000}"/>
    <cellStyle name="20% - Accent6 3 9" xfId="437" xr:uid="{00000000-0005-0000-0000-0000B4010000}"/>
    <cellStyle name="20% - Accent6 3 9 2" xfId="438" xr:uid="{00000000-0005-0000-0000-0000B5010000}"/>
    <cellStyle name="20% - Colore 1" xfId="439" xr:uid="{00000000-0005-0000-0000-0000B6010000}"/>
    <cellStyle name="20% - Colore 1 10" xfId="440" xr:uid="{00000000-0005-0000-0000-0000B7010000}"/>
    <cellStyle name="20% - Colore 1 10 2" xfId="441" xr:uid="{00000000-0005-0000-0000-0000B8010000}"/>
    <cellStyle name="20% - Colore 1 10 3" xfId="442" xr:uid="{00000000-0005-0000-0000-0000B9010000}"/>
    <cellStyle name="20% - Colore 1 10 4" xfId="443" xr:uid="{00000000-0005-0000-0000-0000BA010000}"/>
    <cellStyle name="20% - Colore 1 10 5" xfId="444" xr:uid="{00000000-0005-0000-0000-0000BB010000}"/>
    <cellStyle name="20% - Colore 1 10 6" xfId="445" xr:uid="{00000000-0005-0000-0000-0000BC010000}"/>
    <cellStyle name="20% - Colore 1 11" xfId="446" xr:uid="{00000000-0005-0000-0000-0000BD010000}"/>
    <cellStyle name="20% - Colore 1 11 2" xfId="447" xr:uid="{00000000-0005-0000-0000-0000BE010000}"/>
    <cellStyle name="20% - Colore 1 11 3" xfId="448" xr:uid="{00000000-0005-0000-0000-0000BF010000}"/>
    <cellStyle name="20% - Colore 1 11 4" xfId="449" xr:uid="{00000000-0005-0000-0000-0000C0010000}"/>
    <cellStyle name="20% - Colore 1 11 5" xfId="450" xr:uid="{00000000-0005-0000-0000-0000C1010000}"/>
    <cellStyle name="20% - Colore 1 11 6" xfId="451" xr:uid="{00000000-0005-0000-0000-0000C2010000}"/>
    <cellStyle name="20% - Colore 1 12" xfId="452" xr:uid="{00000000-0005-0000-0000-0000C3010000}"/>
    <cellStyle name="20% - Colore 1 12 2" xfId="453" xr:uid="{00000000-0005-0000-0000-0000C4010000}"/>
    <cellStyle name="20% - Colore 1 12 3" xfId="454" xr:uid="{00000000-0005-0000-0000-0000C5010000}"/>
    <cellStyle name="20% - Colore 1 12 4" xfId="455" xr:uid="{00000000-0005-0000-0000-0000C6010000}"/>
    <cellStyle name="20% - Colore 1 12 5" xfId="456" xr:uid="{00000000-0005-0000-0000-0000C7010000}"/>
    <cellStyle name="20% - Colore 1 12 6" xfId="457" xr:uid="{00000000-0005-0000-0000-0000C8010000}"/>
    <cellStyle name="20% - Colore 1 13" xfId="458" xr:uid="{00000000-0005-0000-0000-0000C9010000}"/>
    <cellStyle name="20% - Colore 1 13 2" xfId="459" xr:uid="{00000000-0005-0000-0000-0000CA010000}"/>
    <cellStyle name="20% - Colore 1 13 3" xfId="460" xr:uid="{00000000-0005-0000-0000-0000CB010000}"/>
    <cellStyle name="20% - Colore 1 13 4" xfId="461" xr:uid="{00000000-0005-0000-0000-0000CC010000}"/>
    <cellStyle name="20% - Colore 1 13 5" xfId="462" xr:uid="{00000000-0005-0000-0000-0000CD010000}"/>
    <cellStyle name="20% - Colore 1 13 6" xfId="463" xr:uid="{00000000-0005-0000-0000-0000CE010000}"/>
    <cellStyle name="20% - Colore 1 14" xfId="464" xr:uid="{00000000-0005-0000-0000-0000CF010000}"/>
    <cellStyle name="20% - Colore 1 14 2" xfId="465" xr:uid="{00000000-0005-0000-0000-0000D0010000}"/>
    <cellStyle name="20% - Colore 1 14 3" xfId="466" xr:uid="{00000000-0005-0000-0000-0000D1010000}"/>
    <cellStyle name="20% - Colore 1 14 4" xfId="467" xr:uid="{00000000-0005-0000-0000-0000D2010000}"/>
    <cellStyle name="20% - Colore 1 14 5" xfId="468" xr:uid="{00000000-0005-0000-0000-0000D3010000}"/>
    <cellStyle name="20% - Colore 1 14 6" xfId="469" xr:uid="{00000000-0005-0000-0000-0000D4010000}"/>
    <cellStyle name="20% - Colore 1 15" xfId="470" xr:uid="{00000000-0005-0000-0000-0000D5010000}"/>
    <cellStyle name="20% - Colore 1 15 2" xfId="471" xr:uid="{00000000-0005-0000-0000-0000D6010000}"/>
    <cellStyle name="20% - Colore 1 15 2 2" xfId="472" xr:uid="{00000000-0005-0000-0000-0000D7010000}"/>
    <cellStyle name="20% - Colore 1 15 3" xfId="473" xr:uid="{00000000-0005-0000-0000-0000D8010000}"/>
    <cellStyle name="20% - Colore 1 15 4" xfId="474" xr:uid="{00000000-0005-0000-0000-0000D9010000}"/>
    <cellStyle name="20% - Colore 1 15 5" xfId="475" xr:uid="{00000000-0005-0000-0000-0000DA010000}"/>
    <cellStyle name="20% - Colore 1 15 6" xfId="476" xr:uid="{00000000-0005-0000-0000-0000DB010000}"/>
    <cellStyle name="20% - Colore 1 16" xfId="477" xr:uid="{00000000-0005-0000-0000-0000DC010000}"/>
    <cellStyle name="20% - Colore 1 16 2" xfId="478" xr:uid="{00000000-0005-0000-0000-0000DD010000}"/>
    <cellStyle name="20% - Colore 1 17" xfId="479" xr:uid="{00000000-0005-0000-0000-0000DE010000}"/>
    <cellStyle name="20% - Colore 1 18" xfId="480" xr:uid="{00000000-0005-0000-0000-0000DF010000}"/>
    <cellStyle name="20% - Colore 1 19" xfId="481" xr:uid="{00000000-0005-0000-0000-0000E0010000}"/>
    <cellStyle name="20% - Colore 1 2" xfId="482" xr:uid="{00000000-0005-0000-0000-0000E1010000}"/>
    <cellStyle name="20% - Colore 1 2 2" xfId="483" xr:uid="{00000000-0005-0000-0000-0000E2010000}"/>
    <cellStyle name="20% - Colore 1 2 3" xfId="484" xr:uid="{00000000-0005-0000-0000-0000E3010000}"/>
    <cellStyle name="20% - Colore 1 2 4" xfId="485" xr:uid="{00000000-0005-0000-0000-0000E4010000}"/>
    <cellStyle name="20% - Colore 1 2 5" xfId="486" xr:uid="{00000000-0005-0000-0000-0000E5010000}"/>
    <cellStyle name="20% - Colore 1 2 6" xfId="487" xr:uid="{00000000-0005-0000-0000-0000E6010000}"/>
    <cellStyle name="20% - Colore 1 20" xfId="488" xr:uid="{00000000-0005-0000-0000-0000E7010000}"/>
    <cellStyle name="20% - Colore 1 21" xfId="489" xr:uid="{00000000-0005-0000-0000-0000E8010000}"/>
    <cellStyle name="20% - Colore 1 22" xfId="490" xr:uid="{00000000-0005-0000-0000-0000E9010000}"/>
    <cellStyle name="20% - Colore 1 3" xfId="491" xr:uid="{00000000-0005-0000-0000-0000EA010000}"/>
    <cellStyle name="20% - Colore 1 3 2" xfId="492" xr:uid="{00000000-0005-0000-0000-0000EB010000}"/>
    <cellStyle name="20% - Colore 1 3 3" xfId="493" xr:uid="{00000000-0005-0000-0000-0000EC010000}"/>
    <cellStyle name="20% - Colore 1 3 4" xfId="494" xr:uid="{00000000-0005-0000-0000-0000ED010000}"/>
    <cellStyle name="20% - Colore 1 3 5" xfId="495" xr:uid="{00000000-0005-0000-0000-0000EE010000}"/>
    <cellStyle name="20% - Colore 1 3 6" xfId="496" xr:uid="{00000000-0005-0000-0000-0000EF010000}"/>
    <cellStyle name="20% - Colore 1 4" xfId="497" xr:uid="{00000000-0005-0000-0000-0000F0010000}"/>
    <cellStyle name="20% - Colore 1 4 2" xfId="498" xr:uid="{00000000-0005-0000-0000-0000F1010000}"/>
    <cellStyle name="20% - Colore 1 4 3" xfId="499" xr:uid="{00000000-0005-0000-0000-0000F2010000}"/>
    <cellStyle name="20% - Colore 1 4 4" xfId="500" xr:uid="{00000000-0005-0000-0000-0000F3010000}"/>
    <cellStyle name="20% - Colore 1 4 5" xfId="501" xr:uid="{00000000-0005-0000-0000-0000F4010000}"/>
    <cellStyle name="20% - Colore 1 4 6" xfId="502" xr:uid="{00000000-0005-0000-0000-0000F5010000}"/>
    <cellStyle name="20% - Colore 1 5" xfId="503" xr:uid="{00000000-0005-0000-0000-0000F6010000}"/>
    <cellStyle name="20% - Colore 1 5 2" xfId="504" xr:uid="{00000000-0005-0000-0000-0000F7010000}"/>
    <cellStyle name="20% - Colore 1 5 3" xfId="505" xr:uid="{00000000-0005-0000-0000-0000F8010000}"/>
    <cellStyle name="20% - Colore 1 5 4" xfId="506" xr:uid="{00000000-0005-0000-0000-0000F9010000}"/>
    <cellStyle name="20% - Colore 1 5 5" xfId="507" xr:uid="{00000000-0005-0000-0000-0000FA010000}"/>
    <cellStyle name="20% - Colore 1 5 6" xfId="508" xr:uid="{00000000-0005-0000-0000-0000FB010000}"/>
    <cellStyle name="20% - Colore 1 6" xfId="509" xr:uid="{00000000-0005-0000-0000-0000FC010000}"/>
    <cellStyle name="20% - Colore 1 6 2" xfId="510" xr:uid="{00000000-0005-0000-0000-0000FD010000}"/>
    <cellStyle name="20% - Colore 1 6 3" xfId="511" xr:uid="{00000000-0005-0000-0000-0000FE010000}"/>
    <cellStyle name="20% - Colore 1 6 4" xfId="512" xr:uid="{00000000-0005-0000-0000-0000FF010000}"/>
    <cellStyle name="20% - Colore 1 6 5" xfId="513" xr:uid="{00000000-0005-0000-0000-000000020000}"/>
    <cellStyle name="20% - Colore 1 6 6" xfId="514" xr:uid="{00000000-0005-0000-0000-000001020000}"/>
    <cellStyle name="20% - Colore 1 7" xfId="515" xr:uid="{00000000-0005-0000-0000-000002020000}"/>
    <cellStyle name="20% - Colore 1 7 2" xfId="516" xr:uid="{00000000-0005-0000-0000-000003020000}"/>
    <cellStyle name="20% - Colore 1 7 3" xfId="517" xr:uid="{00000000-0005-0000-0000-000004020000}"/>
    <cellStyle name="20% - Colore 1 7 4" xfId="518" xr:uid="{00000000-0005-0000-0000-000005020000}"/>
    <cellStyle name="20% - Colore 1 7 5" xfId="519" xr:uid="{00000000-0005-0000-0000-000006020000}"/>
    <cellStyle name="20% - Colore 1 7 6" xfId="520" xr:uid="{00000000-0005-0000-0000-000007020000}"/>
    <cellStyle name="20% - Colore 1 8" xfId="521" xr:uid="{00000000-0005-0000-0000-000008020000}"/>
    <cellStyle name="20% - Colore 1 8 2" xfId="522" xr:uid="{00000000-0005-0000-0000-000009020000}"/>
    <cellStyle name="20% - Colore 1 8 3" xfId="523" xr:uid="{00000000-0005-0000-0000-00000A020000}"/>
    <cellStyle name="20% - Colore 1 8 4" xfId="524" xr:uid="{00000000-0005-0000-0000-00000B020000}"/>
    <cellStyle name="20% - Colore 1 8 5" xfId="525" xr:uid="{00000000-0005-0000-0000-00000C020000}"/>
    <cellStyle name="20% - Colore 1 8 6" xfId="526" xr:uid="{00000000-0005-0000-0000-00000D020000}"/>
    <cellStyle name="20% - Colore 1 9" xfId="527" xr:uid="{00000000-0005-0000-0000-00000E020000}"/>
    <cellStyle name="20% - Colore 1 9 2" xfId="528" xr:uid="{00000000-0005-0000-0000-00000F020000}"/>
    <cellStyle name="20% - Colore 1 9 3" xfId="529" xr:uid="{00000000-0005-0000-0000-000010020000}"/>
    <cellStyle name="20% - Colore 1 9 4" xfId="530" xr:uid="{00000000-0005-0000-0000-000011020000}"/>
    <cellStyle name="20% - Colore 1 9 5" xfId="531" xr:uid="{00000000-0005-0000-0000-000012020000}"/>
    <cellStyle name="20% - Colore 1 9 6" xfId="532" xr:uid="{00000000-0005-0000-0000-000013020000}"/>
    <cellStyle name="20% - Colore 2" xfId="533" xr:uid="{00000000-0005-0000-0000-000014020000}"/>
    <cellStyle name="20% - Colore 2 10" xfId="534" xr:uid="{00000000-0005-0000-0000-000015020000}"/>
    <cellStyle name="20% - Colore 2 10 2" xfId="535" xr:uid="{00000000-0005-0000-0000-000016020000}"/>
    <cellStyle name="20% - Colore 2 10 3" xfId="536" xr:uid="{00000000-0005-0000-0000-000017020000}"/>
    <cellStyle name="20% - Colore 2 10 4" xfId="537" xr:uid="{00000000-0005-0000-0000-000018020000}"/>
    <cellStyle name="20% - Colore 2 10 5" xfId="538" xr:uid="{00000000-0005-0000-0000-000019020000}"/>
    <cellStyle name="20% - Colore 2 10 6" xfId="539" xr:uid="{00000000-0005-0000-0000-00001A020000}"/>
    <cellStyle name="20% - Colore 2 11" xfId="540" xr:uid="{00000000-0005-0000-0000-00001B020000}"/>
    <cellStyle name="20% - Colore 2 11 2" xfId="541" xr:uid="{00000000-0005-0000-0000-00001C020000}"/>
    <cellStyle name="20% - Colore 2 11 3" xfId="542" xr:uid="{00000000-0005-0000-0000-00001D020000}"/>
    <cellStyle name="20% - Colore 2 11 4" xfId="543" xr:uid="{00000000-0005-0000-0000-00001E020000}"/>
    <cellStyle name="20% - Colore 2 11 5" xfId="544" xr:uid="{00000000-0005-0000-0000-00001F020000}"/>
    <cellStyle name="20% - Colore 2 11 6" xfId="545" xr:uid="{00000000-0005-0000-0000-000020020000}"/>
    <cellStyle name="20% - Colore 2 12" xfId="546" xr:uid="{00000000-0005-0000-0000-000021020000}"/>
    <cellStyle name="20% - Colore 2 12 2" xfId="547" xr:uid="{00000000-0005-0000-0000-000022020000}"/>
    <cellStyle name="20% - Colore 2 12 3" xfId="548" xr:uid="{00000000-0005-0000-0000-000023020000}"/>
    <cellStyle name="20% - Colore 2 12 4" xfId="549" xr:uid="{00000000-0005-0000-0000-000024020000}"/>
    <cellStyle name="20% - Colore 2 12 5" xfId="550" xr:uid="{00000000-0005-0000-0000-000025020000}"/>
    <cellStyle name="20% - Colore 2 12 6" xfId="551" xr:uid="{00000000-0005-0000-0000-000026020000}"/>
    <cellStyle name="20% - Colore 2 13" xfId="552" xr:uid="{00000000-0005-0000-0000-000027020000}"/>
    <cellStyle name="20% - Colore 2 13 2" xfId="553" xr:uid="{00000000-0005-0000-0000-000028020000}"/>
    <cellStyle name="20% - Colore 2 13 3" xfId="554" xr:uid="{00000000-0005-0000-0000-000029020000}"/>
    <cellStyle name="20% - Colore 2 13 4" xfId="555" xr:uid="{00000000-0005-0000-0000-00002A020000}"/>
    <cellStyle name="20% - Colore 2 13 5" xfId="556" xr:uid="{00000000-0005-0000-0000-00002B020000}"/>
    <cellStyle name="20% - Colore 2 13 6" xfId="557" xr:uid="{00000000-0005-0000-0000-00002C020000}"/>
    <cellStyle name="20% - Colore 2 14" xfId="558" xr:uid="{00000000-0005-0000-0000-00002D020000}"/>
    <cellStyle name="20% - Colore 2 14 2" xfId="559" xr:uid="{00000000-0005-0000-0000-00002E020000}"/>
    <cellStyle name="20% - Colore 2 14 3" xfId="560" xr:uid="{00000000-0005-0000-0000-00002F020000}"/>
    <cellStyle name="20% - Colore 2 14 4" xfId="561" xr:uid="{00000000-0005-0000-0000-000030020000}"/>
    <cellStyle name="20% - Colore 2 14 5" xfId="562" xr:uid="{00000000-0005-0000-0000-000031020000}"/>
    <cellStyle name="20% - Colore 2 14 6" xfId="563" xr:uid="{00000000-0005-0000-0000-000032020000}"/>
    <cellStyle name="20% - Colore 2 15" xfId="564" xr:uid="{00000000-0005-0000-0000-000033020000}"/>
    <cellStyle name="20% - Colore 2 15 2" xfId="565" xr:uid="{00000000-0005-0000-0000-000034020000}"/>
    <cellStyle name="20% - Colore 2 15 2 2" xfId="566" xr:uid="{00000000-0005-0000-0000-000035020000}"/>
    <cellStyle name="20% - Colore 2 15 3" xfId="567" xr:uid="{00000000-0005-0000-0000-000036020000}"/>
    <cellStyle name="20% - Colore 2 15 4" xfId="568" xr:uid="{00000000-0005-0000-0000-000037020000}"/>
    <cellStyle name="20% - Colore 2 15 5" xfId="569" xr:uid="{00000000-0005-0000-0000-000038020000}"/>
    <cellStyle name="20% - Colore 2 15 6" xfId="570" xr:uid="{00000000-0005-0000-0000-000039020000}"/>
    <cellStyle name="20% - Colore 2 16" xfId="571" xr:uid="{00000000-0005-0000-0000-00003A020000}"/>
    <cellStyle name="20% - Colore 2 16 2" xfId="572" xr:uid="{00000000-0005-0000-0000-00003B020000}"/>
    <cellStyle name="20% - Colore 2 17" xfId="573" xr:uid="{00000000-0005-0000-0000-00003C020000}"/>
    <cellStyle name="20% - Colore 2 18" xfId="574" xr:uid="{00000000-0005-0000-0000-00003D020000}"/>
    <cellStyle name="20% - Colore 2 19" xfId="575" xr:uid="{00000000-0005-0000-0000-00003E020000}"/>
    <cellStyle name="20% - Colore 2 2" xfId="576" xr:uid="{00000000-0005-0000-0000-00003F020000}"/>
    <cellStyle name="20% - Colore 2 2 2" xfId="577" xr:uid="{00000000-0005-0000-0000-000040020000}"/>
    <cellStyle name="20% - Colore 2 2 3" xfId="578" xr:uid="{00000000-0005-0000-0000-000041020000}"/>
    <cellStyle name="20% - Colore 2 2 4" xfId="579" xr:uid="{00000000-0005-0000-0000-000042020000}"/>
    <cellStyle name="20% - Colore 2 2 5" xfId="580" xr:uid="{00000000-0005-0000-0000-000043020000}"/>
    <cellStyle name="20% - Colore 2 2 6" xfId="581" xr:uid="{00000000-0005-0000-0000-000044020000}"/>
    <cellStyle name="20% - Colore 2 20" xfId="582" xr:uid="{00000000-0005-0000-0000-000045020000}"/>
    <cellStyle name="20% - Colore 2 21" xfId="583" xr:uid="{00000000-0005-0000-0000-000046020000}"/>
    <cellStyle name="20% - Colore 2 22" xfId="584" xr:uid="{00000000-0005-0000-0000-000047020000}"/>
    <cellStyle name="20% - Colore 2 3" xfId="585" xr:uid="{00000000-0005-0000-0000-000048020000}"/>
    <cellStyle name="20% - Colore 2 3 2" xfId="586" xr:uid="{00000000-0005-0000-0000-000049020000}"/>
    <cellStyle name="20% - Colore 2 3 3" xfId="587" xr:uid="{00000000-0005-0000-0000-00004A020000}"/>
    <cellStyle name="20% - Colore 2 3 4" xfId="588" xr:uid="{00000000-0005-0000-0000-00004B020000}"/>
    <cellStyle name="20% - Colore 2 3 5" xfId="589" xr:uid="{00000000-0005-0000-0000-00004C020000}"/>
    <cellStyle name="20% - Colore 2 3 6" xfId="590" xr:uid="{00000000-0005-0000-0000-00004D020000}"/>
    <cellStyle name="20% - Colore 2 4" xfId="591" xr:uid="{00000000-0005-0000-0000-00004E020000}"/>
    <cellStyle name="20% - Colore 2 4 2" xfId="592" xr:uid="{00000000-0005-0000-0000-00004F020000}"/>
    <cellStyle name="20% - Colore 2 4 3" xfId="593" xr:uid="{00000000-0005-0000-0000-000050020000}"/>
    <cellStyle name="20% - Colore 2 4 4" xfId="594" xr:uid="{00000000-0005-0000-0000-000051020000}"/>
    <cellStyle name="20% - Colore 2 4 5" xfId="595" xr:uid="{00000000-0005-0000-0000-000052020000}"/>
    <cellStyle name="20% - Colore 2 4 6" xfId="596" xr:uid="{00000000-0005-0000-0000-000053020000}"/>
    <cellStyle name="20% - Colore 2 5" xfId="597" xr:uid="{00000000-0005-0000-0000-000054020000}"/>
    <cellStyle name="20% - Colore 2 5 2" xfId="598" xr:uid="{00000000-0005-0000-0000-000055020000}"/>
    <cellStyle name="20% - Colore 2 5 3" xfId="599" xr:uid="{00000000-0005-0000-0000-000056020000}"/>
    <cellStyle name="20% - Colore 2 5 4" xfId="600" xr:uid="{00000000-0005-0000-0000-000057020000}"/>
    <cellStyle name="20% - Colore 2 5 5" xfId="601" xr:uid="{00000000-0005-0000-0000-000058020000}"/>
    <cellStyle name="20% - Colore 2 5 6" xfId="602" xr:uid="{00000000-0005-0000-0000-000059020000}"/>
    <cellStyle name="20% - Colore 2 6" xfId="603" xr:uid="{00000000-0005-0000-0000-00005A020000}"/>
    <cellStyle name="20% - Colore 2 6 2" xfId="604" xr:uid="{00000000-0005-0000-0000-00005B020000}"/>
    <cellStyle name="20% - Colore 2 6 3" xfId="605" xr:uid="{00000000-0005-0000-0000-00005C020000}"/>
    <cellStyle name="20% - Colore 2 6 4" xfId="606" xr:uid="{00000000-0005-0000-0000-00005D020000}"/>
    <cellStyle name="20% - Colore 2 6 5" xfId="607" xr:uid="{00000000-0005-0000-0000-00005E020000}"/>
    <cellStyle name="20% - Colore 2 6 6" xfId="608" xr:uid="{00000000-0005-0000-0000-00005F020000}"/>
    <cellStyle name="20% - Colore 2 7" xfId="609" xr:uid="{00000000-0005-0000-0000-000060020000}"/>
    <cellStyle name="20% - Colore 2 7 2" xfId="610" xr:uid="{00000000-0005-0000-0000-000061020000}"/>
    <cellStyle name="20% - Colore 2 7 3" xfId="611" xr:uid="{00000000-0005-0000-0000-000062020000}"/>
    <cellStyle name="20% - Colore 2 7 4" xfId="612" xr:uid="{00000000-0005-0000-0000-000063020000}"/>
    <cellStyle name="20% - Colore 2 7 5" xfId="613" xr:uid="{00000000-0005-0000-0000-000064020000}"/>
    <cellStyle name="20% - Colore 2 7 6" xfId="614" xr:uid="{00000000-0005-0000-0000-000065020000}"/>
    <cellStyle name="20% - Colore 2 8" xfId="615" xr:uid="{00000000-0005-0000-0000-000066020000}"/>
    <cellStyle name="20% - Colore 2 8 2" xfId="616" xr:uid="{00000000-0005-0000-0000-000067020000}"/>
    <cellStyle name="20% - Colore 2 8 3" xfId="617" xr:uid="{00000000-0005-0000-0000-000068020000}"/>
    <cellStyle name="20% - Colore 2 8 4" xfId="618" xr:uid="{00000000-0005-0000-0000-000069020000}"/>
    <cellStyle name="20% - Colore 2 8 5" xfId="619" xr:uid="{00000000-0005-0000-0000-00006A020000}"/>
    <cellStyle name="20% - Colore 2 8 6" xfId="620" xr:uid="{00000000-0005-0000-0000-00006B020000}"/>
    <cellStyle name="20% - Colore 2 9" xfId="621" xr:uid="{00000000-0005-0000-0000-00006C020000}"/>
    <cellStyle name="20% - Colore 2 9 2" xfId="622" xr:uid="{00000000-0005-0000-0000-00006D020000}"/>
    <cellStyle name="20% - Colore 2 9 3" xfId="623" xr:uid="{00000000-0005-0000-0000-00006E020000}"/>
    <cellStyle name="20% - Colore 2 9 4" xfId="624" xr:uid="{00000000-0005-0000-0000-00006F020000}"/>
    <cellStyle name="20% - Colore 2 9 5" xfId="625" xr:uid="{00000000-0005-0000-0000-000070020000}"/>
    <cellStyle name="20% - Colore 2 9 6" xfId="626" xr:uid="{00000000-0005-0000-0000-000071020000}"/>
    <cellStyle name="20% - Colore 3" xfId="627" xr:uid="{00000000-0005-0000-0000-000072020000}"/>
    <cellStyle name="20% - Colore 3 10" xfId="628" xr:uid="{00000000-0005-0000-0000-000073020000}"/>
    <cellStyle name="20% - Colore 3 10 2" xfId="629" xr:uid="{00000000-0005-0000-0000-000074020000}"/>
    <cellStyle name="20% - Colore 3 10 3" xfId="630" xr:uid="{00000000-0005-0000-0000-000075020000}"/>
    <cellStyle name="20% - Colore 3 10 4" xfId="631" xr:uid="{00000000-0005-0000-0000-000076020000}"/>
    <cellStyle name="20% - Colore 3 10 5" xfId="632" xr:uid="{00000000-0005-0000-0000-000077020000}"/>
    <cellStyle name="20% - Colore 3 10 6" xfId="633" xr:uid="{00000000-0005-0000-0000-000078020000}"/>
    <cellStyle name="20% - Colore 3 11" xfId="634" xr:uid="{00000000-0005-0000-0000-000079020000}"/>
    <cellStyle name="20% - Colore 3 11 2" xfId="635" xr:uid="{00000000-0005-0000-0000-00007A020000}"/>
    <cellStyle name="20% - Colore 3 11 3" xfId="636" xr:uid="{00000000-0005-0000-0000-00007B020000}"/>
    <cellStyle name="20% - Colore 3 11 4" xfId="637" xr:uid="{00000000-0005-0000-0000-00007C020000}"/>
    <cellStyle name="20% - Colore 3 11 5" xfId="638" xr:uid="{00000000-0005-0000-0000-00007D020000}"/>
    <cellStyle name="20% - Colore 3 11 6" xfId="639" xr:uid="{00000000-0005-0000-0000-00007E020000}"/>
    <cellStyle name="20% - Colore 3 12" xfId="640" xr:uid="{00000000-0005-0000-0000-00007F020000}"/>
    <cellStyle name="20% - Colore 3 12 2" xfId="641" xr:uid="{00000000-0005-0000-0000-000080020000}"/>
    <cellStyle name="20% - Colore 3 12 3" xfId="642" xr:uid="{00000000-0005-0000-0000-000081020000}"/>
    <cellStyle name="20% - Colore 3 12 4" xfId="643" xr:uid="{00000000-0005-0000-0000-000082020000}"/>
    <cellStyle name="20% - Colore 3 12 5" xfId="644" xr:uid="{00000000-0005-0000-0000-000083020000}"/>
    <cellStyle name="20% - Colore 3 12 6" xfId="645" xr:uid="{00000000-0005-0000-0000-000084020000}"/>
    <cellStyle name="20% - Colore 3 13" xfId="646" xr:uid="{00000000-0005-0000-0000-000085020000}"/>
    <cellStyle name="20% - Colore 3 13 2" xfId="647" xr:uid="{00000000-0005-0000-0000-000086020000}"/>
    <cellStyle name="20% - Colore 3 13 3" xfId="648" xr:uid="{00000000-0005-0000-0000-000087020000}"/>
    <cellStyle name="20% - Colore 3 13 4" xfId="649" xr:uid="{00000000-0005-0000-0000-000088020000}"/>
    <cellStyle name="20% - Colore 3 13 5" xfId="650" xr:uid="{00000000-0005-0000-0000-000089020000}"/>
    <cellStyle name="20% - Colore 3 13 6" xfId="651" xr:uid="{00000000-0005-0000-0000-00008A020000}"/>
    <cellStyle name="20% - Colore 3 14" xfId="652" xr:uid="{00000000-0005-0000-0000-00008B020000}"/>
    <cellStyle name="20% - Colore 3 14 2" xfId="653" xr:uid="{00000000-0005-0000-0000-00008C020000}"/>
    <cellStyle name="20% - Colore 3 14 3" xfId="654" xr:uid="{00000000-0005-0000-0000-00008D020000}"/>
    <cellStyle name="20% - Colore 3 14 4" xfId="655" xr:uid="{00000000-0005-0000-0000-00008E020000}"/>
    <cellStyle name="20% - Colore 3 14 5" xfId="656" xr:uid="{00000000-0005-0000-0000-00008F020000}"/>
    <cellStyle name="20% - Colore 3 14 6" xfId="657" xr:uid="{00000000-0005-0000-0000-000090020000}"/>
    <cellStyle name="20% - Colore 3 15" xfId="658" xr:uid="{00000000-0005-0000-0000-000091020000}"/>
    <cellStyle name="20% - Colore 3 15 2" xfId="659" xr:uid="{00000000-0005-0000-0000-000092020000}"/>
    <cellStyle name="20% - Colore 3 15 2 2" xfId="660" xr:uid="{00000000-0005-0000-0000-000093020000}"/>
    <cellStyle name="20% - Colore 3 15 3" xfId="661" xr:uid="{00000000-0005-0000-0000-000094020000}"/>
    <cellStyle name="20% - Colore 3 15 4" xfId="662" xr:uid="{00000000-0005-0000-0000-000095020000}"/>
    <cellStyle name="20% - Colore 3 15 5" xfId="663" xr:uid="{00000000-0005-0000-0000-000096020000}"/>
    <cellStyle name="20% - Colore 3 15 6" xfId="664" xr:uid="{00000000-0005-0000-0000-000097020000}"/>
    <cellStyle name="20% - Colore 3 16" xfId="665" xr:uid="{00000000-0005-0000-0000-000098020000}"/>
    <cellStyle name="20% - Colore 3 16 2" xfId="666" xr:uid="{00000000-0005-0000-0000-000099020000}"/>
    <cellStyle name="20% - Colore 3 17" xfId="667" xr:uid="{00000000-0005-0000-0000-00009A020000}"/>
    <cellStyle name="20% - Colore 3 18" xfId="668" xr:uid="{00000000-0005-0000-0000-00009B020000}"/>
    <cellStyle name="20% - Colore 3 19" xfId="669" xr:uid="{00000000-0005-0000-0000-00009C020000}"/>
    <cellStyle name="20% - Colore 3 2" xfId="670" xr:uid="{00000000-0005-0000-0000-00009D020000}"/>
    <cellStyle name="20% - Colore 3 2 2" xfId="671" xr:uid="{00000000-0005-0000-0000-00009E020000}"/>
    <cellStyle name="20% - Colore 3 2 3" xfId="672" xr:uid="{00000000-0005-0000-0000-00009F020000}"/>
    <cellStyle name="20% - Colore 3 2 4" xfId="673" xr:uid="{00000000-0005-0000-0000-0000A0020000}"/>
    <cellStyle name="20% - Colore 3 2 5" xfId="674" xr:uid="{00000000-0005-0000-0000-0000A1020000}"/>
    <cellStyle name="20% - Colore 3 2 6" xfId="675" xr:uid="{00000000-0005-0000-0000-0000A2020000}"/>
    <cellStyle name="20% - Colore 3 20" xfId="676" xr:uid="{00000000-0005-0000-0000-0000A3020000}"/>
    <cellStyle name="20% - Colore 3 21" xfId="677" xr:uid="{00000000-0005-0000-0000-0000A4020000}"/>
    <cellStyle name="20% - Colore 3 22" xfId="678" xr:uid="{00000000-0005-0000-0000-0000A5020000}"/>
    <cellStyle name="20% - Colore 3 3" xfId="679" xr:uid="{00000000-0005-0000-0000-0000A6020000}"/>
    <cellStyle name="20% - Colore 3 3 2" xfId="680" xr:uid="{00000000-0005-0000-0000-0000A7020000}"/>
    <cellStyle name="20% - Colore 3 3 3" xfId="681" xr:uid="{00000000-0005-0000-0000-0000A8020000}"/>
    <cellStyle name="20% - Colore 3 3 4" xfId="682" xr:uid="{00000000-0005-0000-0000-0000A9020000}"/>
    <cellStyle name="20% - Colore 3 3 5" xfId="683" xr:uid="{00000000-0005-0000-0000-0000AA020000}"/>
    <cellStyle name="20% - Colore 3 3 6" xfId="684" xr:uid="{00000000-0005-0000-0000-0000AB020000}"/>
    <cellStyle name="20% - Colore 3 4" xfId="685" xr:uid="{00000000-0005-0000-0000-0000AC020000}"/>
    <cellStyle name="20% - Colore 3 4 2" xfId="686" xr:uid="{00000000-0005-0000-0000-0000AD020000}"/>
    <cellStyle name="20% - Colore 3 4 3" xfId="687" xr:uid="{00000000-0005-0000-0000-0000AE020000}"/>
    <cellStyle name="20% - Colore 3 4 4" xfId="688" xr:uid="{00000000-0005-0000-0000-0000AF020000}"/>
    <cellStyle name="20% - Colore 3 4 5" xfId="689" xr:uid="{00000000-0005-0000-0000-0000B0020000}"/>
    <cellStyle name="20% - Colore 3 4 6" xfId="690" xr:uid="{00000000-0005-0000-0000-0000B1020000}"/>
    <cellStyle name="20% - Colore 3 5" xfId="691" xr:uid="{00000000-0005-0000-0000-0000B2020000}"/>
    <cellStyle name="20% - Colore 3 5 2" xfId="692" xr:uid="{00000000-0005-0000-0000-0000B3020000}"/>
    <cellStyle name="20% - Colore 3 5 3" xfId="693" xr:uid="{00000000-0005-0000-0000-0000B4020000}"/>
    <cellStyle name="20% - Colore 3 5 4" xfId="694" xr:uid="{00000000-0005-0000-0000-0000B5020000}"/>
    <cellStyle name="20% - Colore 3 5 5" xfId="695" xr:uid="{00000000-0005-0000-0000-0000B6020000}"/>
    <cellStyle name="20% - Colore 3 5 6" xfId="696" xr:uid="{00000000-0005-0000-0000-0000B7020000}"/>
    <cellStyle name="20% - Colore 3 6" xfId="697" xr:uid="{00000000-0005-0000-0000-0000B8020000}"/>
    <cellStyle name="20% - Colore 3 6 2" xfId="698" xr:uid="{00000000-0005-0000-0000-0000B9020000}"/>
    <cellStyle name="20% - Colore 3 6 3" xfId="699" xr:uid="{00000000-0005-0000-0000-0000BA020000}"/>
    <cellStyle name="20% - Colore 3 6 4" xfId="700" xr:uid="{00000000-0005-0000-0000-0000BB020000}"/>
    <cellStyle name="20% - Colore 3 6 5" xfId="701" xr:uid="{00000000-0005-0000-0000-0000BC020000}"/>
    <cellStyle name="20% - Colore 3 6 6" xfId="702" xr:uid="{00000000-0005-0000-0000-0000BD020000}"/>
    <cellStyle name="20% - Colore 3 7" xfId="703" xr:uid="{00000000-0005-0000-0000-0000BE020000}"/>
    <cellStyle name="20% - Colore 3 7 2" xfId="704" xr:uid="{00000000-0005-0000-0000-0000BF020000}"/>
    <cellStyle name="20% - Colore 3 7 3" xfId="705" xr:uid="{00000000-0005-0000-0000-0000C0020000}"/>
    <cellStyle name="20% - Colore 3 7 4" xfId="706" xr:uid="{00000000-0005-0000-0000-0000C1020000}"/>
    <cellStyle name="20% - Colore 3 7 5" xfId="707" xr:uid="{00000000-0005-0000-0000-0000C2020000}"/>
    <cellStyle name="20% - Colore 3 7 6" xfId="708" xr:uid="{00000000-0005-0000-0000-0000C3020000}"/>
    <cellStyle name="20% - Colore 3 8" xfId="709" xr:uid="{00000000-0005-0000-0000-0000C4020000}"/>
    <cellStyle name="20% - Colore 3 8 2" xfId="710" xr:uid="{00000000-0005-0000-0000-0000C5020000}"/>
    <cellStyle name="20% - Colore 3 8 3" xfId="711" xr:uid="{00000000-0005-0000-0000-0000C6020000}"/>
    <cellStyle name="20% - Colore 3 8 4" xfId="712" xr:uid="{00000000-0005-0000-0000-0000C7020000}"/>
    <cellStyle name="20% - Colore 3 8 5" xfId="713" xr:uid="{00000000-0005-0000-0000-0000C8020000}"/>
    <cellStyle name="20% - Colore 3 8 6" xfId="714" xr:uid="{00000000-0005-0000-0000-0000C9020000}"/>
    <cellStyle name="20% - Colore 3 9" xfId="715" xr:uid="{00000000-0005-0000-0000-0000CA020000}"/>
    <cellStyle name="20% - Colore 3 9 2" xfId="716" xr:uid="{00000000-0005-0000-0000-0000CB020000}"/>
    <cellStyle name="20% - Colore 3 9 3" xfId="717" xr:uid="{00000000-0005-0000-0000-0000CC020000}"/>
    <cellStyle name="20% - Colore 3 9 4" xfId="718" xr:uid="{00000000-0005-0000-0000-0000CD020000}"/>
    <cellStyle name="20% - Colore 3 9 5" xfId="719" xr:uid="{00000000-0005-0000-0000-0000CE020000}"/>
    <cellStyle name="20% - Colore 3 9 6" xfId="720" xr:uid="{00000000-0005-0000-0000-0000CF020000}"/>
    <cellStyle name="20% - Colore 4" xfId="721" xr:uid="{00000000-0005-0000-0000-0000D0020000}"/>
    <cellStyle name="20% - Colore 4 10" xfId="722" xr:uid="{00000000-0005-0000-0000-0000D1020000}"/>
    <cellStyle name="20% - Colore 4 10 2" xfId="723" xr:uid="{00000000-0005-0000-0000-0000D2020000}"/>
    <cellStyle name="20% - Colore 4 10 3" xfId="724" xr:uid="{00000000-0005-0000-0000-0000D3020000}"/>
    <cellStyle name="20% - Colore 4 10 4" xfId="725" xr:uid="{00000000-0005-0000-0000-0000D4020000}"/>
    <cellStyle name="20% - Colore 4 10 5" xfId="726" xr:uid="{00000000-0005-0000-0000-0000D5020000}"/>
    <cellStyle name="20% - Colore 4 10 6" xfId="727" xr:uid="{00000000-0005-0000-0000-0000D6020000}"/>
    <cellStyle name="20% - Colore 4 11" xfId="728" xr:uid="{00000000-0005-0000-0000-0000D7020000}"/>
    <cellStyle name="20% - Colore 4 11 2" xfId="729" xr:uid="{00000000-0005-0000-0000-0000D8020000}"/>
    <cellStyle name="20% - Colore 4 11 3" xfId="730" xr:uid="{00000000-0005-0000-0000-0000D9020000}"/>
    <cellStyle name="20% - Colore 4 11 4" xfId="731" xr:uid="{00000000-0005-0000-0000-0000DA020000}"/>
    <cellStyle name="20% - Colore 4 11 5" xfId="732" xr:uid="{00000000-0005-0000-0000-0000DB020000}"/>
    <cellStyle name="20% - Colore 4 11 6" xfId="733" xr:uid="{00000000-0005-0000-0000-0000DC020000}"/>
    <cellStyle name="20% - Colore 4 12" xfId="734" xr:uid="{00000000-0005-0000-0000-0000DD020000}"/>
    <cellStyle name="20% - Colore 4 12 2" xfId="735" xr:uid="{00000000-0005-0000-0000-0000DE020000}"/>
    <cellStyle name="20% - Colore 4 12 3" xfId="736" xr:uid="{00000000-0005-0000-0000-0000DF020000}"/>
    <cellStyle name="20% - Colore 4 12 4" xfId="737" xr:uid="{00000000-0005-0000-0000-0000E0020000}"/>
    <cellStyle name="20% - Colore 4 12 5" xfId="738" xr:uid="{00000000-0005-0000-0000-0000E1020000}"/>
    <cellStyle name="20% - Colore 4 12 6" xfId="739" xr:uid="{00000000-0005-0000-0000-0000E2020000}"/>
    <cellStyle name="20% - Colore 4 13" xfId="740" xr:uid="{00000000-0005-0000-0000-0000E3020000}"/>
    <cellStyle name="20% - Colore 4 13 2" xfId="741" xr:uid="{00000000-0005-0000-0000-0000E4020000}"/>
    <cellStyle name="20% - Colore 4 13 3" xfId="742" xr:uid="{00000000-0005-0000-0000-0000E5020000}"/>
    <cellStyle name="20% - Colore 4 13 4" xfId="743" xr:uid="{00000000-0005-0000-0000-0000E6020000}"/>
    <cellStyle name="20% - Colore 4 13 5" xfId="744" xr:uid="{00000000-0005-0000-0000-0000E7020000}"/>
    <cellStyle name="20% - Colore 4 13 6" xfId="745" xr:uid="{00000000-0005-0000-0000-0000E8020000}"/>
    <cellStyle name="20% - Colore 4 14" xfId="746" xr:uid="{00000000-0005-0000-0000-0000E9020000}"/>
    <cellStyle name="20% - Colore 4 14 2" xfId="747" xr:uid="{00000000-0005-0000-0000-0000EA020000}"/>
    <cellStyle name="20% - Colore 4 14 3" xfId="748" xr:uid="{00000000-0005-0000-0000-0000EB020000}"/>
    <cellStyle name="20% - Colore 4 14 4" xfId="749" xr:uid="{00000000-0005-0000-0000-0000EC020000}"/>
    <cellStyle name="20% - Colore 4 14 5" xfId="750" xr:uid="{00000000-0005-0000-0000-0000ED020000}"/>
    <cellStyle name="20% - Colore 4 14 6" xfId="751" xr:uid="{00000000-0005-0000-0000-0000EE020000}"/>
    <cellStyle name="20% - Colore 4 15" xfId="752" xr:uid="{00000000-0005-0000-0000-0000EF020000}"/>
    <cellStyle name="20% - Colore 4 15 2" xfId="753" xr:uid="{00000000-0005-0000-0000-0000F0020000}"/>
    <cellStyle name="20% - Colore 4 15 2 2" xfId="754" xr:uid="{00000000-0005-0000-0000-0000F1020000}"/>
    <cellStyle name="20% - Colore 4 15 3" xfId="755" xr:uid="{00000000-0005-0000-0000-0000F2020000}"/>
    <cellStyle name="20% - Colore 4 15 4" xfId="756" xr:uid="{00000000-0005-0000-0000-0000F3020000}"/>
    <cellStyle name="20% - Colore 4 15 5" xfId="757" xr:uid="{00000000-0005-0000-0000-0000F4020000}"/>
    <cellStyle name="20% - Colore 4 15 6" xfId="758" xr:uid="{00000000-0005-0000-0000-0000F5020000}"/>
    <cellStyle name="20% - Colore 4 16" xfId="759" xr:uid="{00000000-0005-0000-0000-0000F6020000}"/>
    <cellStyle name="20% - Colore 4 16 2" xfId="760" xr:uid="{00000000-0005-0000-0000-0000F7020000}"/>
    <cellStyle name="20% - Colore 4 17" xfId="761" xr:uid="{00000000-0005-0000-0000-0000F8020000}"/>
    <cellStyle name="20% - Colore 4 18" xfId="762" xr:uid="{00000000-0005-0000-0000-0000F9020000}"/>
    <cellStyle name="20% - Colore 4 19" xfId="763" xr:uid="{00000000-0005-0000-0000-0000FA020000}"/>
    <cellStyle name="20% - Colore 4 2" xfId="764" xr:uid="{00000000-0005-0000-0000-0000FB020000}"/>
    <cellStyle name="20% - Colore 4 2 2" xfId="765" xr:uid="{00000000-0005-0000-0000-0000FC020000}"/>
    <cellStyle name="20% - Colore 4 2 3" xfId="766" xr:uid="{00000000-0005-0000-0000-0000FD020000}"/>
    <cellStyle name="20% - Colore 4 2 4" xfId="767" xr:uid="{00000000-0005-0000-0000-0000FE020000}"/>
    <cellStyle name="20% - Colore 4 2 5" xfId="768" xr:uid="{00000000-0005-0000-0000-0000FF020000}"/>
    <cellStyle name="20% - Colore 4 2 6" xfId="769" xr:uid="{00000000-0005-0000-0000-000000030000}"/>
    <cellStyle name="20% - Colore 4 20" xfId="770" xr:uid="{00000000-0005-0000-0000-000001030000}"/>
    <cellStyle name="20% - Colore 4 21" xfId="771" xr:uid="{00000000-0005-0000-0000-000002030000}"/>
    <cellStyle name="20% - Colore 4 22" xfId="772" xr:uid="{00000000-0005-0000-0000-000003030000}"/>
    <cellStyle name="20% - Colore 4 3" xfId="773" xr:uid="{00000000-0005-0000-0000-000004030000}"/>
    <cellStyle name="20% - Colore 4 3 2" xfId="774" xr:uid="{00000000-0005-0000-0000-000005030000}"/>
    <cellStyle name="20% - Colore 4 3 3" xfId="775" xr:uid="{00000000-0005-0000-0000-000006030000}"/>
    <cellStyle name="20% - Colore 4 3 4" xfId="776" xr:uid="{00000000-0005-0000-0000-000007030000}"/>
    <cellStyle name="20% - Colore 4 3 5" xfId="777" xr:uid="{00000000-0005-0000-0000-000008030000}"/>
    <cellStyle name="20% - Colore 4 3 6" xfId="778" xr:uid="{00000000-0005-0000-0000-000009030000}"/>
    <cellStyle name="20% - Colore 4 4" xfId="779" xr:uid="{00000000-0005-0000-0000-00000A030000}"/>
    <cellStyle name="20% - Colore 4 4 2" xfId="780" xr:uid="{00000000-0005-0000-0000-00000B030000}"/>
    <cellStyle name="20% - Colore 4 4 3" xfId="781" xr:uid="{00000000-0005-0000-0000-00000C030000}"/>
    <cellStyle name="20% - Colore 4 4 4" xfId="782" xr:uid="{00000000-0005-0000-0000-00000D030000}"/>
    <cellStyle name="20% - Colore 4 4 5" xfId="783" xr:uid="{00000000-0005-0000-0000-00000E030000}"/>
    <cellStyle name="20% - Colore 4 4 6" xfId="784" xr:uid="{00000000-0005-0000-0000-00000F030000}"/>
    <cellStyle name="20% - Colore 4 5" xfId="785" xr:uid="{00000000-0005-0000-0000-000010030000}"/>
    <cellStyle name="20% - Colore 4 5 2" xfId="786" xr:uid="{00000000-0005-0000-0000-000011030000}"/>
    <cellStyle name="20% - Colore 4 5 3" xfId="787" xr:uid="{00000000-0005-0000-0000-000012030000}"/>
    <cellStyle name="20% - Colore 4 5 4" xfId="788" xr:uid="{00000000-0005-0000-0000-000013030000}"/>
    <cellStyle name="20% - Colore 4 5 5" xfId="789" xr:uid="{00000000-0005-0000-0000-000014030000}"/>
    <cellStyle name="20% - Colore 4 5 6" xfId="790" xr:uid="{00000000-0005-0000-0000-000015030000}"/>
    <cellStyle name="20% - Colore 4 6" xfId="791" xr:uid="{00000000-0005-0000-0000-000016030000}"/>
    <cellStyle name="20% - Colore 4 6 2" xfId="792" xr:uid="{00000000-0005-0000-0000-000017030000}"/>
    <cellStyle name="20% - Colore 4 6 3" xfId="793" xr:uid="{00000000-0005-0000-0000-000018030000}"/>
    <cellStyle name="20% - Colore 4 6 4" xfId="794" xr:uid="{00000000-0005-0000-0000-000019030000}"/>
    <cellStyle name="20% - Colore 4 6 5" xfId="795" xr:uid="{00000000-0005-0000-0000-00001A030000}"/>
    <cellStyle name="20% - Colore 4 6 6" xfId="796" xr:uid="{00000000-0005-0000-0000-00001B030000}"/>
    <cellStyle name="20% - Colore 4 7" xfId="797" xr:uid="{00000000-0005-0000-0000-00001C030000}"/>
    <cellStyle name="20% - Colore 4 7 2" xfId="798" xr:uid="{00000000-0005-0000-0000-00001D030000}"/>
    <cellStyle name="20% - Colore 4 7 3" xfId="799" xr:uid="{00000000-0005-0000-0000-00001E030000}"/>
    <cellStyle name="20% - Colore 4 7 4" xfId="800" xr:uid="{00000000-0005-0000-0000-00001F030000}"/>
    <cellStyle name="20% - Colore 4 7 5" xfId="801" xr:uid="{00000000-0005-0000-0000-000020030000}"/>
    <cellStyle name="20% - Colore 4 7 6" xfId="802" xr:uid="{00000000-0005-0000-0000-000021030000}"/>
    <cellStyle name="20% - Colore 4 8" xfId="803" xr:uid="{00000000-0005-0000-0000-000022030000}"/>
    <cellStyle name="20% - Colore 4 8 2" xfId="804" xr:uid="{00000000-0005-0000-0000-000023030000}"/>
    <cellStyle name="20% - Colore 4 8 3" xfId="805" xr:uid="{00000000-0005-0000-0000-000024030000}"/>
    <cellStyle name="20% - Colore 4 8 4" xfId="806" xr:uid="{00000000-0005-0000-0000-000025030000}"/>
    <cellStyle name="20% - Colore 4 8 5" xfId="807" xr:uid="{00000000-0005-0000-0000-000026030000}"/>
    <cellStyle name="20% - Colore 4 8 6" xfId="808" xr:uid="{00000000-0005-0000-0000-000027030000}"/>
    <cellStyle name="20% - Colore 4 9" xfId="809" xr:uid="{00000000-0005-0000-0000-000028030000}"/>
    <cellStyle name="20% - Colore 4 9 2" xfId="810" xr:uid="{00000000-0005-0000-0000-000029030000}"/>
    <cellStyle name="20% - Colore 4 9 3" xfId="811" xr:uid="{00000000-0005-0000-0000-00002A030000}"/>
    <cellStyle name="20% - Colore 4 9 4" xfId="812" xr:uid="{00000000-0005-0000-0000-00002B030000}"/>
    <cellStyle name="20% - Colore 4 9 5" xfId="813" xr:uid="{00000000-0005-0000-0000-00002C030000}"/>
    <cellStyle name="20% - Colore 4 9 6" xfId="814" xr:uid="{00000000-0005-0000-0000-00002D030000}"/>
    <cellStyle name="20% - Colore 5" xfId="815" xr:uid="{00000000-0005-0000-0000-00002E030000}"/>
    <cellStyle name="20% - Colore 5 10" xfId="816" xr:uid="{00000000-0005-0000-0000-00002F030000}"/>
    <cellStyle name="20% - Colore 5 2" xfId="817" xr:uid="{00000000-0005-0000-0000-000030030000}"/>
    <cellStyle name="20% - Colore 5 2 2" xfId="818" xr:uid="{00000000-0005-0000-0000-000031030000}"/>
    <cellStyle name="20% - Colore 5 2 3" xfId="819" xr:uid="{00000000-0005-0000-0000-000032030000}"/>
    <cellStyle name="20% - Colore 5 2 4" xfId="820" xr:uid="{00000000-0005-0000-0000-000033030000}"/>
    <cellStyle name="20% - Colore 5 2 5" xfId="821" xr:uid="{00000000-0005-0000-0000-000034030000}"/>
    <cellStyle name="20% - Colore 5 2 6" xfId="822" xr:uid="{00000000-0005-0000-0000-000035030000}"/>
    <cellStyle name="20% - Colore 5 3" xfId="823" xr:uid="{00000000-0005-0000-0000-000036030000}"/>
    <cellStyle name="20% - Colore 5 3 2" xfId="824" xr:uid="{00000000-0005-0000-0000-000037030000}"/>
    <cellStyle name="20% - Colore 5 3 2 2" xfId="825" xr:uid="{00000000-0005-0000-0000-000038030000}"/>
    <cellStyle name="20% - Colore 5 3 3" xfId="826" xr:uid="{00000000-0005-0000-0000-000039030000}"/>
    <cellStyle name="20% - Colore 5 3 4" xfId="827" xr:uid="{00000000-0005-0000-0000-00003A030000}"/>
    <cellStyle name="20% - Colore 5 3 5" xfId="828" xr:uid="{00000000-0005-0000-0000-00003B030000}"/>
    <cellStyle name="20% - Colore 5 3 6" xfId="829" xr:uid="{00000000-0005-0000-0000-00003C030000}"/>
    <cellStyle name="20% - Colore 5 4" xfId="830" xr:uid="{00000000-0005-0000-0000-00003D030000}"/>
    <cellStyle name="20% - Colore 5 4 2" xfId="831" xr:uid="{00000000-0005-0000-0000-00003E030000}"/>
    <cellStyle name="20% - Colore 5 5" xfId="832" xr:uid="{00000000-0005-0000-0000-00003F030000}"/>
    <cellStyle name="20% - Colore 5 6" xfId="833" xr:uid="{00000000-0005-0000-0000-000040030000}"/>
    <cellStyle name="20% - Colore 5 7" xfId="834" xr:uid="{00000000-0005-0000-0000-000041030000}"/>
    <cellStyle name="20% - Colore 5 8" xfId="835" xr:uid="{00000000-0005-0000-0000-000042030000}"/>
    <cellStyle name="20% - Colore 5 9" xfId="836" xr:uid="{00000000-0005-0000-0000-000043030000}"/>
    <cellStyle name="20% - Colore 6" xfId="837" xr:uid="{00000000-0005-0000-0000-000044030000}"/>
    <cellStyle name="20% - Colore 6 10" xfId="838" xr:uid="{00000000-0005-0000-0000-000045030000}"/>
    <cellStyle name="20% - Colore 6 2" xfId="839" xr:uid="{00000000-0005-0000-0000-000046030000}"/>
    <cellStyle name="20% - Colore 6 2 2" xfId="840" xr:uid="{00000000-0005-0000-0000-000047030000}"/>
    <cellStyle name="20% - Colore 6 2 3" xfId="841" xr:uid="{00000000-0005-0000-0000-000048030000}"/>
    <cellStyle name="20% - Colore 6 2 4" xfId="842" xr:uid="{00000000-0005-0000-0000-000049030000}"/>
    <cellStyle name="20% - Colore 6 2 5" xfId="843" xr:uid="{00000000-0005-0000-0000-00004A030000}"/>
    <cellStyle name="20% - Colore 6 2 6" xfId="844" xr:uid="{00000000-0005-0000-0000-00004B030000}"/>
    <cellStyle name="20% - Colore 6 3" xfId="845" xr:uid="{00000000-0005-0000-0000-00004C030000}"/>
    <cellStyle name="20% - Colore 6 3 2" xfId="846" xr:uid="{00000000-0005-0000-0000-00004D030000}"/>
    <cellStyle name="20% - Colore 6 3 2 2" xfId="847" xr:uid="{00000000-0005-0000-0000-00004E030000}"/>
    <cellStyle name="20% - Colore 6 3 3" xfId="848" xr:uid="{00000000-0005-0000-0000-00004F030000}"/>
    <cellStyle name="20% - Colore 6 3 4" xfId="849" xr:uid="{00000000-0005-0000-0000-000050030000}"/>
    <cellStyle name="20% - Colore 6 3 5" xfId="850" xr:uid="{00000000-0005-0000-0000-000051030000}"/>
    <cellStyle name="20% - Colore 6 3 6" xfId="851" xr:uid="{00000000-0005-0000-0000-000052030000}"/>
    <cellStyle name="20% - Colore 6 4" xfId="852" xr:uid="{00000000-0005-0000-0000-000053030000}"/>
    <cellStyle name="20% - Colore 6 4 2" xfId="853" xr:uid="{00000000-0005-0000-0000-000054030000}"/>
    <cellStyle name="20% - Colore 6 5" xfId="854" xr:uid="{00000000-0005-0000-0000-000055030000}"/>
    <cellStyle name="20% - Colore 6 6" xfId="855" xr:uid="{00000000-0005-0000-0000-000056030000}"/>
    <cellStyle name="20% - Colore 6 7" xfId="856" xr:uid="{00000000-0005-0000-0000-000057030000}"/>
    <cellStyle name="20% - Colore 6 8" xfId="857" xr:uid="{00000000-0005-0000-0000-000058030000}"/>
    <cellStyle name="20% - Colore 6 9" xfId="858" xr:uid="{00000000-0005-0000-0000-000059030000}"/>
    <cellStyle name="40% - Accent1 2" xfId="859" xr:uid="{00000000-0005-0000-0000-00005A030000}"/>
    <cellStyle name="40% - Accent1 2 10" xfId="860" xr:uid="{00000000-0005-0000-0000-00005B030000}"/>
    <cellStyle name="40% - Accent1 2 10 2" xfId="861" xr:uid="{00000000-0005-0000-0000-00005C030000}"/>
    <cellStyle name="40% - Accent1 2 11" xfId="862" xr:uid="{00000000-0005-0000-0000-00005D030000}"/>
    <cellStyle name="40% - Accent1 2 11 2" xfId="863" xr:uid="{00000000-0005-0000-0000-00005E030000}"/>
    <cellStyle name="40% - Accent1 2 12" xfId="864" xr:uid="{00000000-0005-0000-0000-00005F030000}"/>
    <cellStyle name="40% - Accent1 2 12 2" xfId="865" xr:uid="{00000000-0005-0000-0000-000060030000}"/>
    <cellStyle name="40% - Accent1 2 13" xfId="866" xr:uid="{00000000-0005-0000-0000-000061030000}"/>
    <cellStyle name="40% - Accent1 2 13 2" xfId="867" xr:uid="{00000000-0005-0000-0000-000062030000}"/>
    <cellStyle name="40% - Accent1 2 14" xfId="868" xr:uid="{00000000-0005-0000-0000-000063030000}"/>
    <cellStyle name="40% - Accent1 2 14 2" xfId="869" xr:uid="{00000000-0005-0000-0000-000064030000}"/>
    <cellStyle name="40% - Accent1 2 15" xfId="870" xr:uid="{00000000-0005-0000-0000-000065030000}"/>
    <cellStyle name="40% - Accent1 2 15 2" xfId="871" xr:uid="{00000000-0005-0000-0000-000066030000}"/>
    <cellStyle name="40% - Accent1 2 16" xfId="872" xr:uid="{00000000-0005-0000-0000-000067030000}"/>
    <cellStyle name="40% - Accent1 2 16 2" xfId="873" xr:uid="{00000000-0005-0000-0000-000068030000}"/>
    <cellStyle name="40% - Accent1 2 17" xfId="874" xr:uid="{00000000-0005-0000-0000-000069030000}"/>
    <cellStyle name="40% - Accent1 2 17 2" xfId="875" xr:uid="{00000000-0005-0000-0000-00006A030000}"/>
    <cellStyle name="40% - Accent1 2 18" xfId="876" xr:uid="{00000000-0005-0000-0000-00006B030000}"/>
    <cellStyle name="40% - Accent1 2 18 2" xfId="877" xr:uid="{00000000-0005-0000-0000-00006C030000}"/>
    <cellStyle name="40% - Accent1 2 19" xfId="878" xr:uid="{00000000-0005-0000-0000-00006D030000}"/>
    <cellStyle name="40% - Accent1 2 2" xfId="879" xr:uid="{00000000-0005-0000-0000-00006E030000}"/>
    <cellStyle name="40% - Accent1 2 2 2" xfId="880" xr:uid="{00000000-0005-0000-0000-00006F030000}"/>
    <cellStyle name="40% - Accent1 2 2 3" xfId="881" xr:uid="{00000000-0005-0000-0000-000070030000}"/>
    <cellStyle name="40% - Accent1 2 2 4" xfId="882" xr:uid="{00000000-0005-0000-0000-000071030000}"/>
    <cellStyle name="40% - Accent1 2 2 5" xfId="883" xr:uid="{00000000-0005-0000-0000-000072030000}"/>
    <cellStyle name="40% - Accent1 2 20" xfId="884" xr:uid="{00000000-0005-0000-0000-000073030000}"/>
    <cellStyle name="40% - Accent1 2 21" xfId="885" xr:uid="{00000000-0005-0000-0000-000074030000}"/>
    <cellStyle name="40% - Accent1 2 3" xfId="886" xr:uid="{00000000-0005-0000-0000-000075030000}"/>
    <cellStyle name="40% - Accent1 2 3 2" xfId="887" xr:uid="{00000000-0005-0000-0000-000076030000}"/>
    <cellStyle name="40% - Accent1 2 4" xfId="888" xr:uid="{00000000-0005-0000-0000-000077030000}"/>
    <cellStyle name="40% - Accent1 2 4 2" xfId="889" xr:uid="{00000000-0005-0000-0000-000078030000}"/>
    <cellStyle name="40% - Accent1 2 5" xfId="890" xr:uid="{00000000-0005-0000-0000-000079030000}"/>
    <cellStyle name="40% - Accent1 2 5 2" xfId="891" xr:uid="{00000000-0005-0000-0000-00007A030000}"/>
    <cellStyle name="40% - Accent1 2 6" xfId="892" xr:uid="{00000000-0005-0000-0000-00007B030000}"/>
    <cellStyle name="40% - Accent1 2 6 2" xfId="893" xr:uid="{00000000-0005-0000-0000-00007C030000}"/>
    <cellStyle name="40% - Accent1 2 7" xfId="894" xr:uid="{00000000-0005-0000-0000-00007D030000}"/>
    <cellStyle name="40% - Accent1 2 7 2" xfId="895" xr:uid="{00000000-0005-0000-0000-00007E030000}"/>
    <cellStyle name="40% - Accent1 2 8" xfId="896" xr:uid="{00000000-0005-0000-0000-00007F030000}"/>
    <cellStyle name="40% - Accent1 2 8 2" xfId="897" xr:uid="{00000000-0005-0000-0000-000080030000}"/>
    <cellStyle name="40% - Accent1 2 9" xfId="898" xr:uid="{00000000-0005-0000-0000-000081030000}"/>
    <cellStyle name="40% - Accent1 2 9 2" xfId="899" xr:uid="{00000000-0005-0000-0000-000082030000}"/>
    <cellStyle name="40% - Accent1 3 10" xfId="900" xr:uid="{00000000-0005-0000-0000-000083030000}"/>
    <cellStyle name="40% - Accent1 3 10 2" xfId="901" xr:uid="{00000000-0005-0000-0000-000084030000}"/>
    <cellStyle name="40% - Accent1 3 11" xfId="902" xr:uid="{00000000-0005-0000-0000-000085030000}"/>
    <cellStyle name="40% - Accent1 3 11 2" xfId="903" xr:uid="{00000000-0005-0000-0000-000086030000}"/>
    <cellStyle name="40% - Accent1 3 12" xfId="904" xr:uid="{00000000-0005-0000-0000-000087030000}"/>
    <cellStyle name="40% - Accent1 3 12 2" xfId="905" xr:uid="{00000000-0005-0000-0000-000088030000}"/>
    <cellStyle name="40% - Accent1 3 13" xfId="906" xr:uid="{00000000-0005-0000-0000-000089030000}"/>
    <cellStyle name="40% - Accent1 3 13 2" xfId="907" xr:uid="{00000000-0005-0000-0000-00008A030000}"/>
    <cellStyle name="40% - Accent1 3 14" xfId="908" xr:uid="{00000000-0005-0000-0000-00008B030000}"/>
    <cellStyle name="40% - Accent1 3 14 2" xfId="909" xr:uid="{00000000-0005-0000-0000-00008C030000}"/>
    <cellStyle name="40% - Accent1 3 15" xfId="910" xr:uid="{00000000-0005-0000-0000-00008D030000}"/>
    <cellStyle name="40% - Accent1 3 15 2" xfId="911" xr:uid="{00000000-0005-0000-0000-00008E030000}"/>
    <cellStyle name="40% - Accent1 3 16" xfId="912" xr:uid="{00000000-0005-0000-0000-00008F030000}"/>
    <cellStyle name="40% - Accent1 3 16 2" xfId="913" xr:uid="{00000000-0005-0000-0000-000090030000}"/>
    <cellStyle name="40% - Accent1 3 17" xfId="914" xr:uid="{00000000-0005-0000-0000-000091030000}"/>
    <cellStyle name="40% - Accent1 3 17 2" xfId="915" xr:uid="{00000000-0005-0000-0000-000092030000}"/>
    <cellStyle name="40% - Accent1 3 2" xfId="916" xr:uid="{00000000-0005-0000-0000-000093030000}"/>
    <cellStyle name="40% - Accent1 3 2 2" xfId="917" xr:uid="{00000000-0005-0000-0000-000094030000}"/>
    <cellStyle name="40% - Accent1 3 3" xfId="918" xr:uid="{00000000-0005-0000-0000-000095030000}"/>
    <cellStyle name="40% - Accent1 3 3 2" xfId="919" xr:uid="{00000000-0005-0000-0000-000096030000}"/>
    <cellStyle name="40% - Accent1 3 4" xfId="920" xr:uid="{00000000-0005-0000-0000-000097030000}"/>
    <cellStyle name="40% - Accent1 3 4 2" xfId="921" xr:uid="{00000000-0005-0000-0000-000098030000}"/>
    <cellStyle name="40% - Accent1 3 5" xfId="922" xr:uid="{00000000-0005-0000-0000-000099030000}"/>
    <cellStyle name="40% - Accent1 3 5 2" xfId="923" xr:uid="{00000000-0005-0000-0000-00009A030000}"/>
    <cellStyle name="40% - Accent1 3 6" xfId="924" xr:uid="{00000000-0005-0000-0000-00009B030000}"/>
    <cellStyle name="40% - Accent1 3 6 2" xfId="925" xr:uid="{00000000-0005-0000-0000-00009C030000}"/>
    <cellStyle name="40% - Accent1 3 7" xfId="926" xr:uid="{00000000-0005-0000-0000-00009D030000}"/>
    <cellStyle name="40% - Accent1 3 7 2" xfId="927" xr:uid="{00000000-0005-0000-0000-00009E030000}"/>
    <cellStyle name="40% - Accent1 3 8" xfId="928" xr:uid="{00000000-0005-0000-0000-00009F030000}"/>
    <cellStyle name="40% - Accent1 3 8 2" xfId="929" xr:uid="{00000000-0005-0000-0000-0000A0030000}"/>
    <cellStyle name="40% - Accent1 3 9" xfId="930" xr:uid="{00000000-0005-0000-0000-0000A1030000}"/>
    <cellStyle name="40% - Accent1 3 9 2" xfId="931" xr:uid="{00000000-0005-0000-0000-0000A2030000}"/>
    <cellStyle name="40% - Accent2 2" xfId="932" xr:uid="{00000000-0005-0000-0000-0000A3030000}"/>
    <cellStyle name="40% - Accent2 2 10" xfId="933" xr:uid="{00000000-0005-0000-0000-0000A4030000}"/>
    <cellStyle name="40% - Accent2 2 10 2" xfId="934" xr:uid="{00000000-0005-0000-0000-0000A5030000}"/>
    <cellStyle name="40% - Accent2 2 11" xfId="935" xr:uid="{00000000-0005-0000-0000-0000A6030000}"/>
    <cellStyle name="40% - Accent2 2 11 2" xfId="936" xr:uid="{00000000-0005-0000-0000-0000A7030000}"/>
    <cellStyle name="40% - Accent2 2 12" xfId="937" xr:uid="{00000000-0005-0000-0000-0000A8030000}"/>
    <cellStyle name="40% - Accent2 2 12 2" xfId="938" xr:uid="{00000000-0005-0000-0000-0000A9030000}"/>
    <cellStyle name="40% - Accent2 2 13" xfId="939" xr:uid="{00000000-0005-0000-0000-0000AA030000}"/>
    <cellStyle name="40% - Accent2 2 13 2" xfId="940" xr:uid="{00000000-0005-0000-0000-0000AB030000}"/>
    <cellStyle name="40% - Accent2 2 14" xfId="941" xr:uid="{00000000-0005-0000-0000-0000AC030000}"/>
    <cellStyle name="40% - Accent2 2 14 2" xfId="942" xr:uid="{00000000-0005-0000-0000-0000AD030000}"/>
    <cellStyle name="40% - Accent2 2 15" xfId="943" xr:uid="{00000000-0005-0000-0000-0000AE030000}"/>
    <cellStyle name="40% - Accent2 2 15 2" xfId="944" xr:uid="{00000000-0005-0000-0000-0000AF030000}"/>
    <cellStyle name="40% - Accent2 2 16" xfId="945" xr:uid="{00000000-0005-0000-0000-0000B0030000}"/>
    <cellStyle name="40% - Accent2 2 16 2" xfId="946" xr:uid="{00000000-0005-0000-0000-0000B1030000}"/>
    <cellStyle name="40% - Accent2 2 17" xfId="947" xr:uid="{00000000-0005-0000-0000-0000B2030000}"/>
    <cellStyle name="40% - Accent2 2 17 2" xfId="948" xr:uid="{00000000-0005-0000-0000-0000B3030000}"/>
    <cellStyle name="40% - Accent2 2 18" xfId="949" xr:uid="{00000000-0005-0000-0000-0000B4030000}"/>
    <cellStyle name="40% - Accent2 2 18 2" xfId="950" xr:uid="{00000000-0005-0000-0000-0000B5030000}"/>
    <cellStyle name="40% - Accent2 2 19" xfId="951" xr:uid="{00000000-0005-0000-0000-0000B6030000}"/>
    <cellStyle name="40% - Accent2 2 2" xfId="952" xr:uid="{00000000-0005-0000-0000-0000B7030000}"/>
    <cellStyle name="40% - Accent2 2 2 2" xfId="953" xr:uid="{00000000-0005-0000-0000-0000B8030000}"/>
    <cellStyle name="40% - Accent2 2 2 3" xfId="954" xr:uid="{00000000-0005-0000-0000-0000B9030000}"/>
    <cellStyle name="40% - Accent2 2 2 4" xfId="955" xr:uid="{00000000-0005-0000-0000-0000BA030000}"/>
    <cellStyle name="40% - Accent2 2 2 5" xfId="956" xr:uid="{00000000-0005-0000-0000-0000BB030000}"/>
    <cellStyle name="40% - Accent2 2 20" xfId="957" xr:uid="{00000000-0005-0000-0000-0000BC030000}"/>
    <cellStyle name="40% - Accent2 2 21" xfId="958" xr:uid="{00000000-0005-0000-0000-0000BD030000}"/>
    <cellStyle name="40% - Accent2 2 3" xfId="959" xr:uid="{00000000-0005-0000-0000-0000BE030000}"/>
    <cellStyle name="40% - Accent2 2 3 2" xfId="960" xr:uid="{00000000-0005-0000-0000-0000BF030000}"/>
    <cellStyle name="40% - Accent2 2 4" xfId="961" xr:uid="{00000000-0005-0000-0000-0000C0030000}"/>
    <cellStyle name="40% - Accent2 2 4 2" xfId="962" xr:uid="{00000000-0005-0000-0000-0000C1030000}"/>
    <cellStyle name="40% - Accent2 2 5" xfId="963" xr:uid="{00000000-0005-0000-0000-0000C2030000}"/>
    <cellStyle name="40% - Accent2 2 5 2" xfId="964" xr:uid="{00000000-0005-0000-0000-0000C3030000}"/>
    <cellStyle name="40% - Accent2 2 6" xfId="965" xr:uid="{00000000-0005-0000-0000-0000C4030000}"/>
    <cellStyle name="40% - Accent2 2 6 2" xfId="966" xr:uid="{00000000-0005-0000-0000-0000C5030000}"/>
    <cellStyle name="40% - Accent2 2 7" xfId="967" xr:uid="{00000000-0005-0000-0000-0000C6030000}"/>
    <cellStyle name="40% - Accent2 2 7 2" xfId="968" xr:uid="{00000000-0005-0000-0000-0000C7030000}"/>
    <cellStyle name="40% - Accent2 2 8" xfId="969" xr:uid="{00000000-0005-0000-0000-0000C8030000}"/>
    <cellStyle name="40% - Accent2 2 8 2" xfId="970" xr:uid="{00000000-0005-0000-0000-0000C9030000}"/>
    <cellStyle name="40% - Accent2 2 9" xfId="971" xr:uid="{00000000-0005-0000-0000-0000CA030000}"/>
    <cellStyle name="40% - Accent2 2 9 2" xfId="972" xr:uid="{00000000-0005-0000-0000-0000CB030000}"/>
    <cellStyle name="40% - Accent2 3 10" xfId="973" xr:uid="{00000000-0005-0000-0000-0000CC030000}"/>
    <cellStyle name="40% - Accent2 3 10 2" xfId="974" xr:uid="{00000000-0005-0000-0000-0000CD030000}"/>
    <cellStyle name="40% - Accent2 3 11" xfId="975" xr:uid="{00000000-0005-0000-0000-0000CE030000}"/>
    <cellStyle name="40% - Accent2 3 11 2" xfId="976" xr:uid="{00000000-0005-0000-0000-0000CF030000}"/>
    <cellStyle name="40% - Accent2 3 12" xfId="977" xr:uid="{00000000-0005-0000-0000-0000D0030000}"/>
    <cellStyle name="40% - Accent2 3 12 2" xfId="978" xr:uid="{00000000-0005-0000-0000-0000D1030000}"/>
    <cellStyle name="40% - Accent2 3 13" xfId="979" xr:uid="{00000000-0005-0000-0000-0000D2030000}"/>
    <cellStyle name="40% - Accent2 3 13 2" xfId="980" xr:uid="{00000000-0005-0000-0000-0000D3030000}"/>
    <cellStyle name="40% - Accent2 3 14" xfId="981" xr:uid="{00000000-0005-0000-0000-0000D4030000}"/>
    <cellStyle name="40% - Accent2 3 14 2" xfId="982" xr:uid="{00000000-0005-0000-0000-0000D5030000}"/>
    <cellStyle name="40% - Accent2 3 15" xfId="983" xr:uid="{00000000-0005-0000-0000-0000D6030000}"/>
    <cellStyle name="40% - Accent2 3 15 2" xfId="984" xr:uid="{00000000-0005-0000-0000-0000D7030000}"/>
    <cellStyle name="40% - Accent2 3 16" xfId="985" xr:uid="{00000000-0005-0000-0000-0000D8030000}"/>
    <cellStyle name="40% - Accent2 3 16 2" xfId="986" xr:uid="{00000000-0005-0000-0000-0000D9030000}"/>
    <cellStyle name="40% - Accent2 3 17" xfId="987" xr:uid="{00000000-0005-0000-0000-0000DA030000}"/>
    <cellStyle name="40% - Accent2 3 17 2" xfId="988" xr:uid="{00000000-0005-0000-0000-0000DB030000}"/>
    <cellStyle name="40% - Accent2 3 2" xfId="989" xr:uid="{00000000-0005-0000-0000-0000DC030000}"/>
    <cellStyle name="40% - Accent2 3 2 2" xfId="990" xr:uid="{00000000-0005-0000-0000-0000DD030000}"/>
    <cellStyle name="40% - Accent2 3 3" xfId="991" xr:uid="{00000000-0005-0000-0000-0000DE030000}"/>
    <cellStyle name="40% - Accent2 3 3 2" xfId="992" xr:uid="{00000000-0005-0000-0000-0000DF030000}"/>
    <cellStyle name="40% - Accent2 3 4" xfId="993" xr:uid="{00000000-0005-0000-0000-0000E0030000}"/>
    <cellStyle name="40% - Accent2 3 4 2" xfId="994" xr:uid="{00000000-0005-0000-0000-0000E1030000}"/>
    <cellStyle name="40% - Accent2 3 5" xfId="995" xr:uid="{00000000-0005-0000-0000-0000E2030000}"/>
    <cellStyle name="40% - Accent2 3 5 2" xfId="996" xr:uid="{00000000-0005-0000-0000-0000E3030000}"/>
    <cellStyle name="40% - Accent2 3 6" xfId="997" xr:uid="{00000000-0005-0000-0000-0000E4030000}"/>
    <cellStyle name="40% - Accent2 3 6 2" xfId="998" xr:uid="{00000000-0005-0000-0000-0000E5030000}"/>
    <cellStyle name="40% - Accent2 3 7" xfId="999" xr:uid="{00000000-0005-0000-0000-0000E6030000}"/>
    <cellStyle name="40% - Accent2 3 7 2" xfId="1000" xr:uid="{00000000-0005-0000-0000-0000E7030000}"/>
    <cellStyle name="40% - Accent2 3 8" xfId="1001" xr:uid="{00000000-0005-0000-0000-0000E8030000}"/>
    <cellStyle name="40% - Accent2 3 8 2" xfId="1002" xr:uid="{00000000-0005-0000-0000-0000E9030000}"/>
    <cellStyle name="40% - Accent2 3 9" xfId="1003" xr:uid="{00000000-0005-0000-0000-0000EA030000}"/>
    <cellStyle name="40% - Accent2 3 9 2" xfId="1004" xr:uid="{00000000-0005-0000-0000-0000EB030000}"/>
    <cellStyle name="40% - Accent3 2" xfId="1005" xr:uid="{00000000-0005-0000-0000-0000EC030000}"/>
    <cellStyle name="40% - Accent3 2 10" xfId="1006" xr:uid="{00000000-0005-0000-0000-0000ED030000}"/>
    <cellStyle name="40% - Accent3 2 10 2" xfId="1007" xr:uid="{00000000-0005-0000-0000-0000EE030000}"/>
    <cellStyle name="40% - Accent3 2 11" xfId="1008" xr:uid="{00000000-0005-0000-0000-0000EF030000}"/>
    <cellStyle name="40% - Accent3 2 11 2" xfId="1009" xr:uid="{00000000-0005-0000-0000-0000F0030000}"/>
    <cellStyle name="40% - Accent3 2 12" xfId="1010" xr:uid="{00000000-0005-0000-0000-0000F1030000}"/>
    <cellStyle name="40% - Accent3 2 12 2" xfId="1011" xr:uid="{00000000-0005-0000-0000-0000F2030000}"/>
    <cellStyle name="40% - Accent3 2 13" xfId="1012" xr:uid="{00000000-0005-0000-0000-0000F3030000}"/>
    <cellStyle name="40% - Accent3 2 13 2" xfId="1013" xr:uid="{00000000-0005-0000-0000-0000F4030000}"/>
    <cellStyle name="40% - Accent3 2 14" xfId="1014" xr:uid="{00000000-0005-0000-0000-0000F5030000}"/>
    <cellStyle name="40% - Accent3 2 14 2" xfId="1015" xr:uid="{00000000-0005-0000-0000-0000F6030000}"/>
    <cellStyle name="40% - Accent3 2 15" xfId="1016" xr:uid="{00000000-0005-0000-0000-0000F7030000}"/>
    <cellStyle name="40% - Accent3 2 15 2" xfId="1017" xr:uid="{00000000-0005-0000-0000-0000F8030000}"/>
    <cellStyle name="40% - Accent3 2 16" xfId="1018" xr:uid="{00000000-0005-0000-0000-0000F9030000}"/>
    <cellStyle name="40% - Accent3 2 16 2" xfId="1019" xr:uid="{00000000-0005-0000-0000-0000FA030000}"/>
    <cellStyle name="40% - Accent3 2 17" xfId="1020" xr:uid="{00000000-0005-0000-0000-0000FB030000}"/>
    <cellStyle name="40% - Accent3 2 17 2" xfId="1021" xr:uid="{00000000-0005-0000-0000-0000FC030000}"/>
    <cellStyle name="40% - Accent3 2 18" xfId="1022" xr:uid="{00000000-0005-0000-0000-0000FD030000}"/>
    <cellStyle name="40% - Accent3 2 18 2" xfId="1023" xr:uid="{00000000-0005-0000-0000-0000FE030000}"/>
    <cellStyle name="40% - Accent3 2 19" xfId="1024" xr:uid="{00000000-0005-0000-0000-0000FF030000}"/>
    <cellStyle name="40% - Accent3 2 2" xfId="1025" xr:uid="{00000000-0005-0000-0000-000000040000}"/>
    <cellStyle name="40% - Accent3 2 2 2" xfId="1026" xr:uid="{00000000-0005-0000-0000-000001040000}"/>
    <cellStyle name="40% - Accent3 2 2 3" xfId="1027" xr:uid="{00000000-0005-0000-0000-000002040000}"/>
    <cellStyle name="40% - Accent3 2 2 4" xfId="1028" xr:uid="{00000000-0005-0000-0000-000003040000}"/>
    <cellStyle name="40% - Accent3 2 2 5" xfId="1029" xr:uid="{00000000-0005-0000-0000-000004040000}"/>
    <cellStyle name="40% - Accent3 2 20" xfId="1030" xr:uid="{00000000-0005-0000-0000-000005040000}"/>
    <cellStyle name="40% - Accent3 2 21" xfId="1031" xr:uid="{00000000-0005-0000-0000-000006040000}"/>
    <cellStyle name="40% - Accent3 2 3" xfId="1032" xr:uid="{00000000-0005-0000-0000-000007040000}"/>
    <cellStyle name="40% - Accent3 2 3 2" xfId="1033" xr:uid="{00000000-0005-0000-0000-000008040000}"/>
    <cellStyle name="40% - Accent3 2 4" xfId="1034" xr:uid="{00000000-0005-0000-0000-000009040000}"/>
    <cellStyle name="40% - Accent3 2 4 2" xfId="1035" xr:uid="{00000000-0005-0000-0000-00000A040000}"/>
    <cellStyle name="40% - Accent3 2 5" xfId="1036" xr:uid="{00000000-0005-0000-0000-00000B040000}"/>
    <cellStyle name="40% - Accent3 2 5 2" xfId="1037" xr:uid="{00000000-0005-0000-0000-00000C040000}"/>
    <cellStyle name="40% - Accent3 2 6" xfId="1038" xr:uid="{00000000-0005-0000-0000-00000D040000}"/>
    <cellStyle name="40% - Accent3 2 6 2" xfId="1039" xr:uid="{00000000-0005-0000-0000-00000E040000}"/>
    <cellStyle name="40% - Accent3 2 7" xfId="1040" xr:uid="{00000000-0005-0000-0000-00000F040000}"/>
    <cellStyle name="40% - Accent3 2 7 2" xfId="1041" xr:uid="{00000000-0005-0000-0000-000010040000}"/>
    <cellStyle name="40% - Accent3 2 8" xfId="1042" xr:uid="{00000000-0005-0000-0000-000011040000}"/>
    <cellStyle name="40% - Accent3 2 8 2" xfId="1043" xr:uid="{00000000-0005-0000-0000-000012040000}"/>
    <cellStyle name="40% - Accent3 2 9" xfId="1044" xr:uid="{00000000-0005-0000-0000-000013040000}"/>
    <cellStyle name="40% - Accent3 2 9 2" xfId="1045" xr:uid="{00000000-0005-0000-0000-000014040000}"/>
    <cellStyle name="40% - Accent3 3 10" xfId="1046" xr:uid="{00000000-0005-0000-0000-000015040000}"/>
    <cellStyle name="40% - Accent3 3 10 2" xfId="1047" xr:uid="{00000000-0005-0000-0000-000016040000}"/>
    <cellStyle name="40% - Accent3 3 11" xfId="1048" xr:uid="{00000000-0005-0000-0000-000017040000}"/>
    <cellStyle name="40% - Accent3 3 11 2" xfId="1049" xr:uid="{00000000-0005-0000-0000-000018040000}"/>
    <cellStyle name="40% - Accent3 3 12" xfId="1050" xr:uid="{00000000-0005-0000-0000-000019040000}"/>
    <cellStyle name="40% - Accent3 3 12 2" xfId="1051" xr:uid="{00000000-0005-0000-0000-00001A040000}"/>
    <cellStyle name="40% - Accent3 3 13" xfId="1052" xr:uid="{00000000-0005-0000-0000-00001B040000}"/>
    <cellStyle name="40% - Accent3 3 13 2" xfId="1053" xr:uid="{00000000-0005-0000-0000-00001C040000}"/>
    <cellStyle name="40% - Accent3 3 14" xfId="1054" xr:uid="{00000000-0005-0000-0000-00001D040000}"/>
    <cellStyle name="40% - Accent3 3 14 2" xfId="1055" xr:uid="{00000000-0005-0000-0000-00001E040000}"/>
    <cellStyle name="40% - Accent3 3 15" xfId="1056" xr:uid="{00000000-0005-0000-0000-00001F040000}"/>
    <cellStyle name="40% - Accent3 3 15 2" xfId="1057" xr:uid="{00000000-0005-0000-0000-000020040000}"/>
    <cellStyle name="40% - Accent3 3 16" xfId="1058" xr:uid="{00000000-0005-0000-0000-000021040000}"/>
    <cellStyle name="40% - Accent3 3 16 2" xfId="1059" xr:uid="{00000000-0005-0000-0000-000022040000}"/>
    <cellStyle name="40% - Accent3 3 17" xfId="1060" xr:uid="{00000000-0005-0000-0000-000023040000}"/>
    <cellStyle name="40% - Accent3 3 17 2" xfId="1061" xr:uid="{00000000-0005-0000-0000-000024040000}"/>
    <cellStyle name="40% - Accent3 3 2" xfId="1062" xr:uid="{00000000-0005-0000-0000-000025040000}"/>
    <cellStyle name="40% - Accent3 3 2 2" xfId="1063" xr:uid="{00000000-0005-0000-0000-000026040000}"/>
    <cellStyle name="40% - Accent3 3 3" xfId="1064" xr:uid="{00000000-0005-0000-0000-000027040000}"/>
    <cellStyle name="40% - Accent3 3 3 2" xfId="1065" xr:uid="{00000000-0005-0000-0000-000028040000}"/>
    <cellStyle name="40% - Accent3 3 4" xfId="1066" xr:uid="{00000000-0005-0000-0000-000029040000}"/>
    <cellStyle name="40% - Accent3 3 4 2" xfId="1067" xr:uid="{00000000-0005-0000-0000-00002A040000}"/>
    <cellStyle name="40% - Accent3 3 5" xfId="1068" xr:uid="{00000000-0005-0000-0000-00002B040000}"/>
    <cellStyle name="40% - Accent3 3 5 2" xfId="1069" xr:uid="{00000000-0005-0000-0000-00002C040000}"/>
    <cellStyle name="40% - Accent3 3 6" xfId="1070" xr:uid="{00000000-0005-0000-0000-00002D040000}"/>
    <cellStyle name="40% - Accent3 3 6 2" xfId="1071" xr:uid="{00000000-0005-0000-0000-00002E040000}"/>
    <cellStyle name="40% - Accent3 3 7" xfId="1072" xr:uid="{00000000-0005-0000-0000-00002F040000}"/>
    <cellStyle name="40% - Accent3 3 7 2" xfId="1073" xr:uid="{00000000-0005-0000-0000-000030040000}"/>
    <cellStyle name="40% - Accent3 3 8" xfId="1074" xr:uid="{00000000-0005-0000-0000-000031040000}"/>
    <cellStyle name="40% - Accent3 3 8 2" xfId="1075" xr:uid="{00000000-0005-0000-0000-000032040000}"/>
    <cellStyle name="40% - Accent3 3 9" xfId="1076" xr:uid="{00000000-0005-0000-0000-000033040000}"/>
    <cellStyle name="40% - Accent3 3 9 2" xfId="1077" xr:uid="{00000000-0005-0000-0000-000034040000}"/>
    <cellStyle name="40% - Accent4 2" xfId="1078" xr:uid="{00000000-0005-0000-0000-000035040000}"/>
    <cellStyle name="40% - Accent4 2 10" xfId="1079" xr:uid="{00000000-0005-0000-0000-000036040000}"/>
    <cellStyle name="40% - Accent4 2 10 2" xfId="1080" xr:uid="{00000000-0005-0000-0000-000037040000}"/>
    <cellStyle name="40% - Accent4 2 11" xfId="1081" xr:uid="{00000000-0005-0000-0000-000038040000}"/>
    <cellStyle name="40% - Accent4 2 11 2" xfId="1082" xr:uid="{00000000-0005-0000-0000-000039040000}"/>
    <cellStyle name="40% - Accent4 2 12" xfId="1083" xr:uid="{00000000-0005-0000-0000-00003A040000}"/>
    <cellStyle name="40% - Accent4 2 12 2" xfId="1084" xr:uid="{00000000-0005-0000-0000-00003B040000}"/>
    <cellStyle name="40% - Accent4 2 13" xfId="1085" xr:uid="{00000000-0005-0000-0000-00003C040000}"/>
    <cellStyle name="40% - Accent4 2 13 2" xfId="1086" xr:uid="{00000000-0005-0000-0000-00003D040000}"/>
    <cellStyle name="40% - Accent4 2 14" xfId="1087" xr:uid="{00000000-0005-0000-0000-00003E040000}"/>
    <cellStyle name="40% - Accent4 2 14 2" xfId="1088" xr:uid="{00000000-0005-0000-0000-00003F040000}"/>
    <cellStyle name="40% - Accent4 2 15" xfId="1089" xr:uid="{00000000-0005-0000-0000-000040040000}"/>
    <cellStyle name="40% - Accent4 2 15 2" xfId="1090" xr:uid="{00000000-0005-0000-0000-000041040000}"/>
    <cellStyle name="40% - Accent4 2 16" xfId="1091" xr:uid="{00000000-0005-0000-0000-000042040000}"/>
    <cellStyle name="40% - Accent4 2 16 2" xfId="1092" xr:uid="{00000000-0005-0000-0000-000043040000}"/>
    <cellStyle name="40% - Accent4 2 17" xfId="1093" xr:uid="{00000000-0005-0000-0000-000044040000}"/>
    <cellStyle name="40% - Accent4 2 17 2" xfId="1094" xr:uid="{00000000-0005-0000-0000-000045040000}"/>
    <cellStyle name="40% - Accent4 2 18" xfId="1095" xr:uid="{00000000-0005-0000-0000-000046040000}"/>
    <cellStyle name="40% - Accent4 2 18 2" xfId="1096" xr:uid="{00000000-0005-0000-0000-000047040000}"/>
    <cellStyle name="40% - Accent4 2 19" xfId="1097" xr:uid="{00000000-0005-0000-0000-000048040000}"/>
    <cellStyle name="40% - Accent4 2 2" xfId="1098" xr:uid="{00000000-0005-0000-0000-000049040000}"/>
    <cellStyle name="40% - Accent4 2 2 2" xfId="1099" xr:uid="{00000000-0005-0000-0000-00004A040000}"/>
    <cellStyle name="40% - Accent4 2 2 3" xfId="1100" xr:uid="{00000000-0005-0000-0000-00004B040000}"/>
    <cellStyle name="40% - Accent4 2 2 4" xfId="1101" xr:uid="{00000000-0005-0000-0000-00004C040000}"/>
    <cellStyle name="40% - Accent4 2 2 5" xfId="1102" xr:uid="{00000000-0005-0000-0000-00004D040000}"/>
    <cellStyle name="40% - Accent4 2 20" xfId="1103" xr:uid="{00000000-0005-0000-0000-00004E040000}"/>
    <cellStyle name="40% - Accent4 2 21" xfId="1104" xr:uid="{00000000-0005-0000-0000-00004F040000}"/>
    <cellStyle name="40% - Accent4 2 3" xfId="1105" xr:uid="{00000000-0005-0000-0000-000050040000}"/>
    <cellStyle name="40% - Accent4 2 3 2" xfId="1106" xr:uid="{00000000-0005-0000-0000-000051040000}"/>
    <cellStyle name="40% - Accent4 2 4" xfId="1107" xr:uid="{00000000-0005-0000-0000-000052040000}"/>
    <cellStyle name="40% - Accent4 2 4 2" xfId="1108" xr:uid="{00000000-0005-0000-0000-000053040000}"/>
    <cellStyle name="40% - Accent4 2 5" xfId="1109" xr:uid="{00000000-0005-0000-0000-000054040000}"/>
    <cellStyle name="40% - Accent4 2 5 2" xfId="1110" xr:uid="{00000000-0005-0000-0000-000055040000}"/>
    <cellStyle name="40% - Accent4 2 6" xfId="1111" xr:uid="{00000000-0005-0000-0000-000056040000}"/>
    <cellStyle name="40% - Accent4 2 6 2" xfId="1112" xr:uid="{00000000-0005-0000-0000-000057040000}"/>
    <cellStyle name="40% - Accent4 2 7" xfId="1113" xr:uid="{00000000-0005-0000-0000-000058040000}"/>
    <cellStyle name="40% - Accent4 2 7 2" xfId="1114" xr:uid="{00000000-0005-0000-0000-000059040000}"/>
    <cellStyle name="40% - Accent4 2 8" xfId="1115" xr:uid="{00000000-0005-0000-0000-00005A040000}"/>
    <cellStyle name="40% - Accent4 2 8 2" xfId="1116" xr:uid="{00000000-0005-0000-0000-00005B040000}"/>
    <cellStyle name="40% - Accent4 2 9" xfId="1117" xr:uid="{00000000-0005-0000-0000-00005C040000}"/>
    <cellStyle name="40% - Accent4 2 9 2" xfId="1118" xr:uid="{00000000-0005-0000-0000-00005D040000}"/>
    <cellStyle name="40% - Accent4 3 10" xfId="1119" xr:uid="{00000000-0005-0000-0000-00005E040000}"/>
    <cellStyle name="40% - Accent4 3 10 2" xfId="1120" xr:uid="{00000000-0005-0000-0000-00005F040000}"/>
    <cellStyle name="40% - Accent4 3 11" xfId="1121" xr:uid="{00000000-0005-0000-0000-000060040000}"/>
    <cellStyle name="40% - Accent4 3 11 2" xfId="1122" xr:uid="{00000000-0005-0000-0000-000061040000}"/>
    <cellStyle name="40% - Accent4 3 12" xfId="1123" xr:uid="{00000000-0005-0000-0000-000062040000}"/>
    <cellStyle name="40% - Accent4 3 12 2" xfId="1124" xr:uid="{00000000-0005-0000-0000-000063040000}"/>
    <cellStyle name="40% - Accent4 3 13" xfId="1125" xr:uid="{00000000-0005-0000-0000-000064040000}"/>
    <cellStyle name="40% - Accent4 3 13 2" xfId="1126" xr:uid="{00000000-0005-0000-0000-000065040000}"/>
    <cellStyle name="40% - Accent4 3 14" xfId="1127" xr:uid="{00000000-0005-0000-0000-000066040000}"/>
    <cellStyle name="40% - Accent4 3 14 2" xfId="1128" xr:uid="{00000000-0005-0000-0000-000067040000}"/>
    <cellStyle name="40% - Accent4 3 15" xfId="1129" xr:uid="{00000000-0005-0000-0000-000068040000}"/>
    <cellStyle name="40% - Accent4 3 15 2" xfId="1130" xr:uid="{00000000-0005-0000-0000-000069040000}"/>
    <cellStyle name="40% - Accent4 3 16" xfId="1131" xr:uid="{00000000-0005-0000-0000-00006A040000}"/>
    <cellStyle name="40% - Accent4 3 16 2" xfId="1132" xr:uid="{00000000-0005-0000-0000-00006B040000}"/>
    <cellStyle name="40% - Accent4 3 17" xfId="1133" xr:uid="{00000000-0005-0000-0000-00006C040000}"/>
    <cellStyle name="40% - Accent4 3 17 2" xfId="1134" xr:uid="{00000000-0005-0000-0000-00006D040000}"/>
    <cellStyle name="40% - Accent4 3 2" xfId="1135" xr:uid="{00000000-0005-0000-0000-00006E040000}"/>
    <cellStyle name="40% - Accent4 3 2 2" xfId="1136" xr:uid="{00000000-0005-0000-0000-00006F040000}"/>
    <cellStyle name="40% - Accent4 3 3" xfId="1137" xr:uid="{00000000-0005-0000-0000-000070040000}"/>
    <cellStyle name="40% - Accent4 3 3 2" xfId="1138" xr:uid="{00000000-0005-0000-0000-000071040000}"/>
    <cellStyle name="40% - Accent4 3 4" xfId="1139" xr:uid="{00000000-0005-0000-0000-000072040000}"/>
    <cellStyle name="40% - Accent4 3 4 2" xfId="1140" xr:uid="{00000000-0005-0000-0000-000073040000}"/>
    <cellStyle name="40% - Accent4 3 5" xfId="1141" xr:uid="{00000000-0005-0000-0000-000074040000}"/>
    <cellStyle name="40% - Accent4 3 5 2" xfId="1142" xr:uid="{00000000-0005-0000-0000-000075040000}"/>
    <cellStyle name="40% - Accent4 3 6" xfId="1143" xr:uid="{00000000-0005-0000-0000-000076040000}"/>
    <cellStyle name="40% - Accent4 3 6 2" xfId="1144" xr:uid="{00000000-0005-0000-0000-000077040000}"/>
    <cellStyle name="40% - Accent4 3 7" xfId="1145" xr:uid="{00000000-0005-0000-0000-000078040000}"/>
    <cellStyle name="40% - Accent4 3 7 2" xfId="1146" xr:uid="{00000000-0005-0000-0000-000079040000}"/>
    <cellStyle name="40% - Accent4 3 8" xfId="1147" xr:uid="{00000000-0005-0000-0000-00007A040000}"/>
    <cellStyle name="40% - Accent4 3 8 2" xfId="1148" xr:uid="{00000000-0005-0000-0000-00007B040000}"/>
    <cellStyle name="40% - Accent4 3 9" xfId="1149" xr:uid="{00000000-0005-0000-0000-00007C040000}"/>
    <cellStyle name="40% - Accent4 3 9 2" xfId="1150" xr:uid="{00000000-0005-0000-0000-00007D040000}"/>
    <cellStyle name="40% - Accent5 2" xfId="1151" xr:uid="{00000000-0005-0000-0000-00007E040000}"/>
    <cellStyle name="40% - Accent5 2 10" xfId="1152" xr:uid="{00000000-0005-0000-0000-00007F040000}"/>
    <cellStyle name="40% - Accent5 2 10 2" xfId="1153" xr:uid="{00000000-0005-0000-0000-000080040000}"/>
    <cellStyle name="40% - Accent5 2 11" xfId="1154" xr:uid="{00000000-0005-0000-0000-000081040000}"/>
    <cellStyle name="40% - Accent5 2 11 2" xfId="1155" xr:uid="{00000000-0005-0000-0000-000082040000}"/>
    <cellStyle name="40% - Accent5 2 12" xfId="1156" xr:uid="{00000000-0005-0000-0000-000083040000}"/>
    <cellStyle name="40% - Accent5 2 12 2" xfId="1157" xr:uid="{00000000-0005-0000-0000-000084040000}"/>
    <cellStyle name="40% - Accent5 2 13" xfId="1158" xr:uid="{00000000-0005-0000-0000-000085040000}"/>
    <cellStyle name="40% - Accent5 2 13 2" xfId="1159" xr:uid="{00000000-0005-0000-0000-000086040000}"/>
    <cellStyle name="40% - Accent5 2 14" xfId="1160" xr:uid="{00000000-0005-0000-0000-000087040000}"/>
    <cellStyle name="40% - Accent5 2 14 2" xfId="1161" xr:uid="{00000000-0005-0000-0000-000088040000}"/>
    <cellStyle name="40% - Accent5 2 15" xfId="1162" xr:uid="{00000000-0005-0000-0000-000089040000}"/>
    <cellStyle name="40% - Accent5 2 15 2" xfId="1163" xr:uid="{00000000-0005-0000-0000-00008A040000}"/>
    <cellStyle name="40% - Accent5 2 16" xfId="1164" xr:uid="{00000000-0005-0000-0000-00008B040000}"/>
    <cellStyle name="40% - Accent5 2 16 2" xfId="1165" xr:uid="{00000000-0005-0000-0000-00008C040000}"/>
    <cellStyle name="40% - Accent5 2 17" xfId="1166" xr:uid="{00000000-0005-0000-0000-00008D040000}"/>
    <cellStyle name="40% - Accent5 2 17 2" xfId="1167" xr:uid="{00000000-0005-0000-0000-00008E040000}"/>
    <cellStyle name="40% - Accent5 2 18" xfId="1168" xr:uid="{00000000-0005-0000-0000-00008F040000}"/>
    <cellStyle name="40% - Accent5 2 18 2" xfId="1169" xr:uid="{00000000-0005-0000-0000-000090040000}"/>
    <cellStyle name="40% - Accent5 2 19" xfId="1170" xr:uid="{00000000-0005-0000-0000-000091040000}"/>
    <cellStyle name="40% - Accent5 2 2" xfId="1171" xr:uid="{00000000-0005-0000-0000-000092040000}"/>
    <cellStyle name="40% - Accent5 2 2 2" xfId="1172" xr:uid="{00000000-0005-0000-0000-000093040000}"/>
    <cellStyle name="40% - Accent5 2 2 3" xfId="1173" xr:uid="{00000000-0005-0000-0000-000094040000}"/>
    <cellStyle name="40% - Accent5 2 2 4" xfId="1174" xr:uid="{00000000-0005-0000-0000-000095040000}"/>
    <cellStyle name="40% - Accent5 2 2 5" xfId="1175" xr:uid="{00000000-0005-0000-0000-000096040000}"/>
    <cellStyle name="40% - Accent5 2 20" xfId="1176" xr:uid="{00000000-0005-0000-0000-000097040000}"/>
    <cellStyle name="40% - Accent5 2 21" xfId="1177" xr:uid="{00000000-0005-0000-0000-000098040000}"/>
    <cellStyle name="40% - Accent5 2 3" xfId="1178" xr:uid="{00000000-0005-0000-0000-000099040000}"/>
    <cellStyle name="40% - Accent5 2 3 2" xfId="1179" xr:uid="{00000000-0005-0000-0000-00009A040000}"/>
    <cellStyle name="40% - Accent5 2 4" xfId="1180" xr:uid="{00000000-0005-0000-0000-00009B040000}"/>
    <cellStyle name="40% - Accent5 2 4 2" xfId="1181" xr:uid="{00000000-0005-0000-0000-00009C040000}"/>
    <cellStyle name="40% - Accent5 2 5" xfId="1182" xr:uid="{00000000-0005-0000-0000-00009D040000}"/>
    <cellStyle name="40% - Accent5 2 5 2" xfId="1183" xr:uid="{00000000-0005-0000-0000-00009E040000}"/>
    <cellStyle name="40% - Accent5 2 6" xfId="1184" xr:uid="{00000000-0005-0000-0000-00009F040000}"/>
    <cellStyle name="40% - Accent5 2 6 2" xfId="1185" xr:uid="{00000000-0005-0000-0000-0000A0040000}"/>
    <cellStyle name="40% - Accent5 2 7" xfId="1186" xr:uid="{00000000-0005-0000-0000-0000A1040000}"/>
    <cellStyle name="40% - Accent5 2 7 2" xfId="1187" xr:uid="{00000000-0005-0000-0000-0000A2040000}"/>
    <cellStyle name="40% - Accent5 2 8" xfId="1188" xr:uid="{00000000-0005-0000-0000-0000A3040000}"/>
    <cellStyle name="40% - Accent5 2 8 2" xfId="1189" xr:uid="{00000000-0005-0000-0000-0000A4040000}"/>
    <cellStyle name="40% - Accent5 2 9" xfId="1190" xr:uid="{00000000-0005-0000-0000-0000A5040000}"/>
    <cellStyle name="40% - Accent5 2 9 2" xfId="1191" xr:uid="{00000000-0005-0000-0000-0000A6040000}"/>
    <cellStyle name="40% - Accent5 3 10" xfId="1192" xr:uid="{00000000-0005-0000-0000-0000A7040000}"/>
    <cellStyle name="40% - Accent5 3 10 2" xfId="1193" xr:uid="{00000000-0005-0000-0000-0000A8040000}"/>
    <cellStyle name="40% - Accent5 3 11" xfId="1194" xr:uid="{00000000-0005-0000-0000-0000A9040000}"/>
    <cellStyle name="40% - Accent5 3 11 2" xfId="1195" xr:uid="{00000000-0005-0000-0000-0000AA040000}"/>
    <cellStyle name="40% - Accent5 3 12" xfId="1196" xr:uid="{00000000-0005-0000-0000-0000AB040000}"/>
    <cellStyle name="40% - Accent5 3 12 2" xfId="1197" xr:uid="{00000000-0005-0000-0000-0000AC040000}"/>
    <cellStyle name="40% - Accent5 3 13" xfId="1198" xr:uid="{00000000-0005-0000-0000-0000AD040000}"/>
    <cellStyle name="40% - Accent5 3 13 2" xfId="1199" xr:uid="{00000000-0005-0000-0000-0000AE040000}"/>
    <cellStyle name="40% - Accent5 3 14" xfId="1200" xr:uid="{00000000-0005-0000-0000-0000AF040000}"/>
    <cellStyle name="40% - Accent5 3 14 2" xfId="1201" xr:uid="{00000000-0005-0000-0000-0000B0040000}"/>
    <cellStyle name="40% - Accent5 3 15" xfId="1202" xr:uid="{00000000-0005-0000-0000-0000B1040000}"/>
    <cellStyle name="40% - Accent5 3 15 2" xfId="1203" xr:uid="{00000000-0005-0000-0000-0000B2040000}"/>
    <cellStyle name="40% - Accent5 3 16" xfId="1204" xr:uid="{00000000-0005-0000-0000-0000B3040000}"/>
    <cellStyle name="40% - Accent5 3 16 2" xfId="1205" xr:uid="{00000000-0005-0000-0000-0000B4040000}"/>
    <cellStyle name="40% - Accent5 3 17" xfId="1206" xr:uid="{00000000-0005-0000-0000-0000B5040000}"/>
    <cellStyle name="40% - Accent5 3 17 2" xfId="1207" xr:uid="{00000000-0005-0000-0000-0000B6040000}"/>
    <cellStyle name="40% - Accent5 3 2" xfId="1208" xr:uid="{00000000-0005-0000-0000-0000B7040000}"/>
    <cellStyle name="40% - Accent5 3 2 2" xfId="1209" xr:uid="{00000000-0005-0000-0000-0000B8040000}"/>
    <cellStyle name="40% - Accent5 3 3" xfId="1210" xr:uid="{00000000-0005-0000-0000-0000B9040000}"/>
    <cellStyle name="40% - Accent5 3 3 2" xfId="1211" xr:uid="{00000000-0005-0000-0000-0000BA040000}"/>
    <cellStyle name="40% - Accent5 3 4" xfId="1212" xr:uid="{00000000-0005-0000-0000-0000BB040000}"/>
    <cellStyle name="40% - Accent5 3 4 2" xfId="1213" xr:uid="{00000000-0005-0000-0000-0000BC040000}"/>
    <cellStyle name="40% - Accent5 3 5" xfId="1214" xr:uid="{00000000-0005-0000-0000-0000BD040000}"/>
    <cellStyle name="40% - Accent5 3 5 2" xfId="1215" xr:uid="{00000000-0005-0000-0000-0000BE040000}"/>
    <cellStyle name="40% - Accent5 3 6" xfId="1216" xr:uid="{00000000-0005-0000-0000-0000BF040000}"/>
    <cellStyle name="40% - Accent5 3 6 2" xfId="1217" xr:uid="{00000000-0005-0000-0000-0000C0040000}"/>
    <cellStyle name="40% - Accent5 3 7" xfId="1218" xr:uid="{00000000-0005-0000-0000-0000C1040000}"/>
    <cellStyle name="40% - Accent5 3 7 2" xfId="1219" xr:uid="{00000000-0005-0000-0000-0000C2040000}"/>
    <cellStyle name="40% - Accent5 3 8" xfId="1220" xr:uid="{00000000-0005-0000-0000-0000C3040000}"/>
    <cellStyle name="40% - Accent5 3 8 2" xfId="1221" xr:uid="{00000000-0005-0000-0000-0000C4040000}"/>
    <cellStyle name="40% - Accent5 3 9" xfId="1222" xr:uid="{00000000-0005-0000-0000-0000C5040000}"/>
    <cellStyle name="40% - Accent5 3 9 2" xfId="1223" xr:uid="{00000000-0005-0000-0000-0000C6040000}"/>
    <cellStyle name="40% - Accent6 2" xfId="1224" xr:uid="{00000000-0005-0000-0000-0000C7040000}"/>
    <cellStyle name="40% - Accent6 2 10" xfId="1225" xr:uid="{00000000-0005-0000-0000-0000C8040000}"/>
    <cellStyle name="40% - Accent6 2 10 2" xfId="1226" xr:uid="{00000000-0005-0000-0000-0000C9040000}"/>
    <cellStyle name="40% - Accent6 2 11" xfId="1227" xr:uid="{00000000-0005-0000-0000-0000CA040000}"/>
    <cellStyle name="40% - Accent6 2 11 2" xfId="1228" xr:uid="{00000000-0005-0000-0000-0000CB040000}"/>
    <cellStyle name="40% - Accent6 2 12" xfId="1229" xr:uid="{00000000-0005-0000-0000-0000CC040000}"/>
    <cellStyle name="40% - Accent6 2 12 2" xfId="1230" xr:uid="{00000000-0005-0000-0000-0000CD040000}"/>
    <cellStyle name="40% - Accent6 2 13" xfId="1231" xr:uid="{00000000-0005-0000-0000-0000CE040000}"/>
    <cellStyle name="40% - Accent6 2 13 2" xfId="1232" xr:uid="{00000000-0005-0000-0000-0000CF040000}"/>
    <cellStyle name="40% - Accent6 2 14" xfId="1233" xr:uid="{00000000-0005-0000-0000-0000D0040000}"/>
    <cellStyle name="40% - Accent6 2 14 2" xfId="1234" xr:uid="{00000000-0005-0000-0000-0000D1040000}"/>
    <cellStyle name="40% - Accent6 2 15" xfId="1235" xr:uid="{00000000-0005-0000-0000-0000D2040000}"/>
    <cellStyle name="40% - Accent6 2 15 2" xfId="1236" xr:uid="{00000000-0005-0000-0000-0000D3040000}"/>
    <cellStyle name="40% - Accent6 2 16" xfId="1237" xr:uid="{00000000-0005-0000-0000-0000D4040000}"/>
    <cellStyle name="40% - Accent6 2 16 2" xfId="1238" xr:uid="{00000000-0005-0000-0000-0000D5040000}"/>
    <cellStyle name="40% - Accent6 2 17" xfId="1239" xr:uid="{00000000-0005-0000-0000-0000D6040000}"/>
    <cellStyle name="40% - Accent6 2 17 2" xfId="1240" xr:uid="{00000000-0005-0000-0000-0000D7040000}"/>
    <cellStyle name="40% - Accent6 2 18" xfId="1241" xr:uid="{00000000-0005-0000-0000-0000D8040000}"/>
    <cellStyle name="40% - Accent6 2 18 2" xfId="1242" xr:uid="{00000000-0005-0000-0000-0000D9040000}"/>
    <cellStyle name="40% - Accent6 2 19" xfId="1243" xr:uid="{00000000-0005-0000-0000-0000DA040000}"/>
    <cellStyle name="40% - Accent6 2 2" xfId="1244" xr:uid="{00000000-0005-0000-0000-0000DB040000}"/>
    <cellStyle name="40% - Accent6 2 2 2" xfId="1245" xr:uid="{00000000-0005-0000-0000-0000DC040000}"/>
    <cellStyle name="40% - Accent6 2 2 3" xfId="1246" xr:uid="{00000000-0005-0000-0000-0000DD040000}"/>
    <cellStyle name="40% - Accent6 2 2 4" xfId="1247" xr:uid="{00000000-0005-0000-0000-0000DE040000}"/>
    <cellStyle name="40% - Accent6 2 2 5" xfId="1248" xr:uid="{00000000-0005-0000-0000-0000DF040000}"/>
    <cellStyle name="40% - Accent6 2 20" xfId="1249" xr:uid="{00000000-0005-0000-0000-0000E0040000}"/>
    <cellStyle name="40% - Accent6 2 21" xfId="1250" xr:uid="{00000000-0005-0000-0000-0000E1040000}"/>
    <cellStyle name="40% - Accent6 2 3" xfId="1251" xr:uid="{00000000-0005-0000-0000-0000E2040000}"/>
    <cellStyle name="40% - Accent6 2 3 2" xfId="1252" xr:uid="{00000000-0005-0000-0000-0000E3040000}"/>
    <cellStyle name="40% - Accent6 2 4" xfId="1253" xr:uid="{00000000-0005-0000-0000-0000E4040000}"/>
    <cellStyle name="40% - Accent6 2 4 2" xfId="1254" xr:uid="{00000000-0005-0000-0000-0000E5040000}"/>
    <cellStyle name="40% - Accent6 2 5" xfId="1255" xr:uid="{00000000-0005-0000-0000-0000E6040000}"/>
    <cellStyle name="40% - Accent6 2 5 2" xfId="1256" xr:uid="{00000000-0005-0000-0000-0000E7040000}"/>
    <cellStyle name="40% - Accent6 2 6" xfId="1257" xr:uid="{00000000-0005-0000-0000-0000E8040000}"/>
    <cellStyle name="40% - Accent6 2 6 2" xfId="1258" xr:uid="{00000000-0005-0000-0000-0000E9040000}"/>
    <cellStyle name="40% - Accent6 2 7" xfId="1259" xr:uid="{00000000-0005-0000-0000-0000EA040000}"/>
    <cellStyle name="40% - Accent6 2 7 2" xfId="1260" xr:uid="{00000000-0005-0000-0000-0000EB040000}"/>
    <cellStyle name="40% - Accent6 2 8" xfId="1261" xr:uid="{00000000-0005-0000-0000-0000EC040000}"/>
    <cellStyle name="40% - Accent6 2 8 2" xfId="1262" xr:uid="{00000000-0005-0000-0000-0000ED040000}"/>
    <cellStyle name="40% - Accent6 2 9" xfId="1263" xr:uid="{00000000-0005-0000-0000-0000EE040000}"/>
    <cellStyle name="40% - Accent6 2 9 2" xfId="1264" xr:uid="{00000000-0005-0000-0000-0000EF040000}"/>
    <cellStyle name="40% - Accent6 3 10" xfId="1265" xr:uid="{00000000-0005-0000-0000-0000F0040000}"/>
    <cellStyle name="40% - Accent6 3 10 2" xfId="1266" xr:uid="{00000000-0005-0000-0000-0000F1040000}"/>
    <cellStyle name="40% - Accent6 3 11" xfId="1267" xr:uid="{00000000-0005-0000-0000-0000F2040000}"/>
    <cellStyle name="40% - Accent6 3 11 2" xfId="1268" xr:uid="{00000000-0005-0000-0000-0000F3040000}"/>
    <cellStyle name="40% - Accent6 3 12" xfId="1269" xr:uid="{00000000-0005-0000-0000-0000F4040000}"/>
    <cellStyle name="40% - Accent6 3 12 2" xfId="1270" xr:uid="{00000000-0005-0000-0000-0000F5040000}"/>
    <cellStyle name="40% - Accent6 3 13" xfId="1271" xr:uid="{00000000-0005-0000-0000-0000F6040000}"/>
    <cellStyle name="40% - Accent6 3 13 2" xfId="1272" xr:uid="{00000000-0005-0000-0000-0000F7040000}"/>
    <cellStyle name="40% - Accent6 3 14" xfId="1273" xr:uid="{00000000-0005-0000-0000-0000F8040000}"/>
    <cellStyle name="40% - Accent6 3 14 2" xfId="1274" xr:uid="{00000000-0005-0000-0000-0000F9040000}"/>
    <cellStyle name="40% - Accent6 3 15" xfId="1275" xr:uid="{00000000-0005-0000-0000-0000FA040000}"/>
    <cellStyle name="40% - Accent6 3 15 2" xfId="1276" xr:uid="{00000000-0005-0000-0000-0000FB040000}"/>
    <cellStyle name="40% - Accent6 3 16" xfId="1277" xr:uid="{00000000-0005-0000-0000-0000FC040000}"/>
    <cellStyle name="40% - Accent6 3 16 2" xfId="1278" xr:uid="{00000000-0005-0000-0000-0000FD040000}"/>
    <cellStyle name="40% - Accent6 3 17" xfId="1279" xr:uid="{00000000-0005-0000-0000-0000FE040000}"/>
    <cellStyle name="40% - Accent6 3 17 2" xfId="1280" xr:uid="{00000000-0005-0000-0000-0000FF040000}"/>
    <cellStyle name="40% - Accent6 3 2" xfId="1281" xr:uid="{00000000-0005-0000-0000-000000050000}"/>
    <cellStyle name="40% - Accent6 3 2 2" xfId="1282" xr:uid="{00000000-0005-0000-0000-000001050000}"/>
    <cellStyle name="40% - Accent6 3 3" xfId="1283" xr:uid="{00000000-0005-0000-0000-000002050000}"/>
    <cellStyle name="40% - Accent6 3 3 2" xfId="1284" xr:uid="{00000000-0005-0000-0000-000003050000}"/>
    <cellStyle name="40% - Accent6 3 4" xfId="1285" xr:uid="{00000000-0005-0000-0000-000004050000}"/>
    <cellStyle name="40% - Accent6 3 4 2" xfId="1286" xr:uid="{00000000-0005-0000-0000-000005050000}"/>
    <cellStyle name="40% - Accent6 3 5" xfId="1287" xr:uid="{00000000-0005-0000-0000-000006050000}"/>
    <cellStyle name="40% - Accent6 3 5 2" xfId="1288" xr:uid="{00000000-0005-0000-0000-000007050000}"/>
    <cellStyle name="40% - Accent6 3 6" xfId="1289" xr:uid="{00000000-0005-0000-0000-000008050000}"/>
    <cellStyle name="40% - Accent6 3 6 2" xfId="1290" xr:uid="{00000000-0005-0000-0000-000009050000}"/>
    <cellStyle name="40% - Accent6 3 7" xfId="1291" xr:uid="{00000000-0005-0000-0000-00000A050000}"/>
    <cellStyle name="40% - Accent6 3 7 2" xfId="1292" xr:uid="{00000000-0005-0000-0000-00000B050000}"/>
    <cellStyle name="40% - Accent6 3 8" xfId="1293" xr:uid="{00000000-0005-0000-0000-00000C050000}"/>
    <cellStyle name="40% - Accent6 3 8 2" xfId="1294" xr:uid="{00000000-0005-0000-0000-00000D050000}"/>
    <cellStyle name="40% - Accent6 3 9" xfId="1295" xr:uid="{00000000-0005-0000-0000-00000E050000}"/>
    <cellStyle name="40% - Accent6 3 9 2" xfId="1296" xr:uid="{00000000-0005-0000-0000-00000F050000}"/>
    <cellStyle name="40% - Colore 1" xfId="1297" xr:uid="{00000000-0005-0000-0000-000010050000}"/>
    <cellStyle name="40% - Colore 1 10" xfId="1298" xr:uid="{00000000-0005-0000-0000-000011050000}"/>
    <cellStyle name="40% - Colore 1 2" xfId="1299" xr:uid="{00000000-0005-0000-0000-000012050000}"/>
    <cellStyle name="40% - Colore 1 2 2" xfId="1300" xr:uid="{00000000-0005-0000-0000-000013050000}"/>
    <cellStyle name="40% - Colore 1 2 3" xfId="1301" xr:uid="{00000000-0005-0000-0000-000014050000}"/>
    <cellStyle name="40% - Colore 1 2 4" xfId="1302" xr:uid="{00000000-0005-0000-0000-000015050000}"/>
    <cellStyle name="40% - Colore 1 2 5" xfId="1303" xr:uid="{00000000-0005-0000-0000-000016050000}"/>
    <cellStyle name="40% - Colore 1 2 6" xfId="1304" xr:uid="{00000000-0005-0000-0000-000017050000}"/>
    <cellStyle name="40% - Colore 1 3" xfId="1305" xr:uid="{00000000-0005-0000-0000-000018050000}"/>
    <cellStyle name="40% - Colore 1 3 2" xfId="1306" xr:uid="{00000000-0005-0000-0000-000019050000}"/>
    <cellStyle name="40% - Colore 1 3 2 2" xfId="1307" xr:uid="{00000000-0005-0000-0000-00001A050000}"/>
    <cellStyle name="40% - Colore 1 3 3" xfId="1308" xr:uid="{00000000-0005-0000-0000-00001B050000}"/>
    <cellStyle name="40% - Colore 1 3 4" xfId="1309" xr:uid="{00000000-0005-0000-0000-00001C050000}"/>
    <cellStyle name="40% - Colore 1 3 5" xfId="1310" xr:uid="{00000000-0005-0000-0000-00001D050000}"/>
    <cellStyle name="40% - Colore 1 3 6" xfId="1311" xr:uid="{00000000-0005-0000-0000-00001E050000}"/>
    <cellStyle name="40% - Colore 1 4" xfId="1312" xr:uid="{00000000-0005-0000-0000-00001F050000}"/>
    <cellStyle name="40% - Colore 1 4 2" xfId="1313" xr:uid="{00000000-0005-0000-0000-000020050000}"/>
    <cellStyle name="40% - Colore 1 5" xfId="1314" xr:uid="{00000000-0005-0000-0000-000021050000}"/>
    <cellStyle name="40% - Colore 1 6" xfId="1315" xr:uid="{00000000-0005-0000-0000-000022050000}"/>
    <cellStyle name="40% - Colore 1 7" xfId="1316" xr:uid="{00000000-0005-0000-0000-000023050000}"/>
    <cellStyle name="40% - Colore 1 8" xfId="1317" xr:uid="{00000000-0005-0000-0000-000024050000}"/>
    <cellStyle name="40% - Colore 1 9" xfId="1318" xr:uid="{00000000-0005-0000-0000-000025050000}"/>
    <cellStyle name="40% - Colore 2" xfId="1319" xr:uid="{00000000-0005-0000-0000-000026050000}"/>
    <cellStyle name="40% - Colore 2 10" xfId="1320" xr:uid="{00000000-0005-0000-0000-000027050000}"/>
    <cellStyle name="40% - Colore 2 2" xfId="1321" xr:uid="{00000000-0005-0000-0000-000028050000}"/>
    <cellStyle name="40% - Colore 2 2 2" xfId="1322" xr:uid="{00000000-0005-0000-0000-000029050000}"/>
    <cellStyle name="40% - Colore 2 2 3" xfId="1323" xr:uid="{00000000-0005-0000-0000-00002A050000}"/>
    <cellStyle name="40% - Colore 2 2 4" xfId="1324" xr:uid="{00000000-0005-0000-0000-00002B050000}"/>
    <cellStyle name="40% - Colore 2 2 5" xfId="1325" xr:uid="{00000000-0005-0000-0000-00002C050000}"/>
    <cellStyle name="40% - Colore 2 2 6" xfId="1326" xr:uid="{00000000-0005-0000-0000-00002D050000}"/>
    <cellStyle name="40% - Colore 2 3" xfId="1327" xr:uid="{00000000-0005-0000-0000-00002E050000}"/>
    <cellStyle name="40% - Colore 2 3 2" xfId="1328" xr:uid="{00000000-0005-0000-0000-00002F050000}"/>
    <cellStyle name="40% - Colore 2 3 2 2" xfId="1329" xr:uid="{00000000-0005-0000-0000-000030050000}"/>
    <cellStyle name="40% - Colore 2 3 3" xfId="1330" xr:uid="{00000000-0005-0000-0000-000031050000}"/>
    <cellStyle name="40% - Colore 2 3 4" xfId="1331" xr:uid="{00000000-0005-0000-0000-000032050000}"/>
    <cellStyle name="40% - Colore 2 3 5" xfId="1332" xr:uid="{00000000-0005-0000-0000-000033050000}"/>
    <cellStyle name="40% - Colore 2 3 6" xfId="1333" xr:uid="{00000000-0005-0000-0000-000034050000}"/>
    <cellStyle name="40% - Colore 2 4" xfId="1334" xr:uid="{00000000-0005-0000-0000-000035050000}"/>
    <cellStyle name="40% - Colore 2 4 2" xfId="1335" xr:uid="{00000000-0005-0000-0000-000036050000}"/>
    <cellStyle name="40% - Colore 2 5" xfId="1336" xr:uid="{00000000-0005-0000-0000-000037050000}"/>
    <cellStyle name="40% - Colore 2 6" xfId="1337" xr:uid="{00000000-0005-0000-0000-000038050000}"/>
    <cellStyle name="40% - Colore 2 7" xfId="1338" xr:uid="{00000000-0005-0000-0000-000039050000}"/>
    <cellStyle name="40% - Colore 2 8" xfId="1339" xr:uid="{00000000-0005-0000-0000-00003A050000}"/>
    <cellStyle name="40% - Colore 2 9" xfId="1340" xr:uid="{00000000-0005-0000-0000-00003B050000}"/>
    <cellStyle name="40% - Colore 3" xfId="1341" xr:uid="{00000000-0005-0000-0000-00003C050000}"/>
    <cellStyle name="40% - Colore 3 10" xfId="1342" xr:uid="{00000000-0005-0000-0000-00003D050000}"/>
    <cellStyle name="40% - Colore 3 10 2" xfId="1343" xr:uid="{00000000-0005-0000-0000-00003E050000}"/>
    <cellStyle name="40% - Colore 3 10 3" xfId="1344" xr:uid="{00000000-0005-0000-0000-00003F050000}"/>
    <cellStyle name="40% - Colore 3 10 4" xfId="1345" xr:uid="{00000000-0005-0000-0000-000040050000}"/>
    <cellStyle name="40% - Colore 3 10 5" xfId="1346" xr:uid="{00000000-0005-0000-0000-000041050000}"/>
    <cellStyle name="40% - Colore 3 10 6" xfId="1347" xr:uid="{00000000-0005-0000-0000-000042050000}"/>
    <cellStyle name="40% - Colore 3 11" xfId="1348" xr:uid="{00000000-0005-0000-0000-000043050000}"/>
    <cellStyle name="40% - Colore 3 11 2" xfId="1349" xr:uid="{00000000-0005-0000-0000-000044050000}"/>
    <cellStyle name="40% - Colore 3 11 3" xfId="1350" xr:uid="{00000000-0005-0000-0000-000045050000}"/>
    <cellStyle name="40% - Colore 3 11 4" xfId="1351" xr:uid="{00000000-0005-0000-0000-000046050000}"/>
    <cellStyle name="40% - Colore 3 11 5" xfId="1352" xr:uid="{00000000-0005-0000-0000-000047050000}"/>
    <cellStyle name="40% - Colore 3 11 6" xfId="1353" xr:uid="{00000000-0005-0000-0000-000048050000}"/>
    <cellStyle name="40% - Colore 3 12" xfId="1354" xr:uid="{00000000-0005-0000-0000-000049050000}"/>
    <cellStyle name="40% - Colore 3 12 2" xfId="1355" xr:uid="{00000000-0005-0000-0000-00004A050000}"/>
    <cellStyle name="40% - Colore 3 12 3" xfId="1356" xr:uid="{00000000-0005-0000-0000-00004B050000}"/>
    <cellStyle name="40% - Colore 3 12 4" xfId="1357" xr:uid="{00000000-0005-0000-0000-00004C050000}"/>
    <cellStyle name="40% - Colore 3 12 5" xfId="1358" xr:uid="{00000000-0005-0000-0000-00004D050000}"/>
    <cellStyle name="40% - Colore 3 12 6" xfId="1359" xr:uid="{00000000-0005-0000-0000-00004E050000}"/>
    <cellStyle name="40% - Colore 3 13" xfId="1360" xr:uid="{00000000-0005-0000-0000-00004F050000}"/>
    <cellStyle name="40% - Colore 3 13 2" xfId="1361" xr:uid="{00000000-0005-0000-0000-000050050000}"/>
    <cellStyle name="40% - Colore 3 13 3" xfId="1362" xr:uid="{00000000-0005-0000-0000-000051050000}"/>
    <cellStyle name="40% - Colore 3 13 4" xfId="1363" xr:uid="{00000000-0005-0000-0000-000052050000}"/>
    <cellStyle name="40% - Colore 3 13 5" xfId="1364" xr:uid="{00000000-0005-0000-0000-000053050000}"/>
    <cellStyle name="40% - Colore 3 13 6" xfId="1365" xr:uid="{00000000-0005-0000-0000-000054050000}"/>
    <cellStyle name="40% - Colore 3 14" xfId="1366" xr:uid="{00000000-0005-0000-0000-000055050000}"/>
    <cellStyle name="40% - Colore 3 14 2" xfId="1367" xr:uid="{00000000-0005-0000-0000-000056050000}"/>
    <cellStyle name="40% - Colore 3 14 3" xfId="1368" xr:uid="{00000000-0005-0000-0000-000057050000}"/>
    <cellStyle name="40% - Colore 3 14 4" xfId="1369" xr:uid="{00000000-0005-0000-0000-000058050000}"/>
    <cellStyle name="40% - Colore 3 14 5" xfId="1370" xr:uid="{00000000-0005-0000-0000-000059050000}"/>
    <cellStyle name="40% - Colore 3 14 6" xfId="1371" xr:uid="{00000000-0005-0000-0000-00005A050000}"/>
    <cellStyle name="40% - Colore 3 15" xfId="1372" xr:uid="{00000000-0005-0000-0000-00005B050000}"/>
    <cellStyle name="40% - Colore 3 15 2" xfId="1373" xr:uid="{00000000-0005-0000-0000-00005C050000}"/>
    <cellStyle name="40% - Colore 3 15 2 2" xfId="1374" xr:uid="{00000000-0005-0000-0000-00005D050000}"/>
    <cellStyle name="40% - Colore 3 15 3" xfId="1375" xr:uid="{00000000-0005-0000-0000-00005E050000}"/>
    <cellStyle name="40% - Colore 3 15 4" xfId="1376" xr:uid="{00000000-0005-0000-0000-00005F050000}"/>
    <cellStyle name="40% - Colore 3 15 5" xfId="1377" xr:uid="{00000000-0005-0000-0000-000060050000}"/>
    <cellStyle name="40% - Colore 3 15 6" xfId="1378" xr:uid="{00000000-0005-0000-0000-000061050000}"/>
    <cellStyle name="40% - Colore 3 16" xfId="1379" xr:uid="{00000000-0005-0000-0000-000062050000}"/>
    <cellStyle name="40% - Colore 3 16 2" xfId="1380" xr:uid="{00000000-0005-0000-0000-000063050000}"/>
    <cellStyle name="40% - Colore 3 17" xfId="1381" xr:uid="{00000000-0005-0000-0000-000064050000}"/>
    <cellStyle name="40% - Colore 3 18" xfId="1382" xr:uid="{00000000-0005-0000-0000-000065050000}"/>
    <cellStyle name="40% - Colore 3 19" xfId="1383" xr:uid="{00000000-0005-0000-0000-000066050000}"/>
    <cellStyle name="40% - Colore 3 2" xfId="1384" xr:uid="{00000000-0005-0000-0000-000067050000}"/>
    <cellStyle name="40% - Colore 3 2 2" xfId="1385" xr:uid="{00000000-0005-0000-0000-000068050000}"/>
    <cellStyle name="40% - Colore 3 2 3" xfId="1386" xr:uid="{00000000-0005-0000-0000-000069050000}"/>
    <cellStyle name="40% - Colore 3 2 4" xfId="1387" xr:uid="{00000000-0005-0000-0000-00006A050000}"/>
    <cellStyle name="40% - Colore 3 2 5" xfId="1388" xr:uid="{00000000-0005-0000-0000-00006B050000}"/>
    <cellStyle name="40% - Colore 3 2 6" xfId="1389" xr:uid="{00000000-0005-0000-0000-00006C050000}"/>
    <cellStyle name="40% - Colore 3 20" xfId="1390" xr:uid="{00000000-0005-0000-0000-00006D050000}"/>
    <cellStyle name="40% - Colore 3 21" xfId="1391" xr:uid="{00000000-0005-0000-0000-00006E050000}"/>
    <cellStyle name="40% - Colore 3 22" xfId="1392" xr:uid="{00000000-0005-0000-0000-00006F050000}"/>
    <cellStyle name="40% - Colore 3 3" xfId="1393" xr:uid="{00000000-0005-0000-0000-000070050000}"/>
    <cellStyle name="40% - Colore 3 3 2" xfId="1394" xr:uid="{00000000-0005-0000-0000-000071050000}"/>
    <cellStyle name="40% - Colore 3 3 3" xfId="1395" xr:uid="{00000000-0005-0000-0000-000072050000}"/>
    <cellStyle name="40% - Colore 3 3 4" xfId="1396" xr:uid="{00000000-0005-0000-0000-000073050000}"/>
    <cellStyle name="40% - Colore 3 3 5" xfId="1397" xr:uid="{00000000-0005-0000-0000-000074050000}"/>
    <cellStyle name="40% - Colore 3 3 6" xfId="1398" xr:uid="{00000000-0005-0000-0000-000075050000}"/>
    <cellStyle name="40% - Colore 3 4" xfId="1399" xr:uid="{00000000-0005-0000-0000-000076050000}"/>
    <cellStyle name="40% - Colore 3 4 2" xfId="1400" xr:uid="{00000000-0005-0000-0000-000077050000}"/>
    <cellStyle name="40% - Colore 3 4 3" xfId="1401" xr:uid="{00000000-0005-0000-0000-000078050000}"/>
    <cellStyle name="40% - Colore 3 4 4" xfId="1402" xr:uid="{00000000-0005-0000-0000-000079050000}"/>
    <cellStyle name="40% - Colore 3 4 5" xfId="1403" xr:uid="{00000000-0005-0000-0000-00007A050000}"/>
    <cellStyle name="40% - Colore 3 4 6" xfId="1404" xr:uid="{00000000-0005-0000-0000-00007B050000}"/>
    <cellStyle name="40% - Colore 3 5" xfId="1405" xr:uid="{00000000-0005-0000-0000-00007C050000}"/>
    <cellStyle name="40% - Colore 3 5 2" xfId="1406" xr:uid="{00000000-0005-0000-0000-00007D050000}"/>
    <cellStyle name="40% - Colore 3 5 3" xfId="1407" xr:uid="{00000000-0005-0000-0000-00007E050000}"/>
    <cellStyle name="40% - Colore 3 5 4" xfId="1408" xr:uid="{00000000-0005-0000-0000-00007F050000}"/>
    <cellStyle name="40% - Colore 3 5 5" xfId="1409" xr:uid="{00000000-0005-0000-0000-000080050000}"/>
    <cellStyle name="40% - Colore 3 5 6" xfId="1410" xr:uid="{00000000-0005-0000-0000-000081050000}"/>
    <cellStyle name="40% - Colore 3 6" xfId="1411" xr:uid="{00000000-0005-0000-0000-000082050000}"/>
    <cellStyle name="40% - Colore 3 6 2" xfId="1412" xr:uid="{00000000-0005-0000-0000-000083050000}"/>
    <cellStyle name="40% - Colore 3 6 3" xfId="1413" xr:uid="{00000000-0005-0000-0000-000084050000}"/>
    <cellStyle name="40% - Colore 3 6 4" xfId="1414" xr:uid="{00000000-0005-0000-0000-000085050000}"/>
    <cellStyle name="40% - Colore 3 6 5" xfId="1415" xr:uid="{00000000-0005-0000-0000-000086050000}"/>
    <cellStyle name="40% - Colore 3 6 6" xfId="1416" xr:uid="{00000000-0005-0000-0000-000087050000}"/>
    <cellStyle name="40% - Colore 3 7" xfId="1417" xr:uid="{00000000-0005-0000-0000-000088050000}"/>
    <cellStyle name="40% - Colore 3 7 2" xfId="1418" xr:uid="{00000000-0005-0000-0000-000089050000}"/>
    <cellStyle name="40% - Colore 3 7 3" xfId="1419" xr:uid="{00000000-0005-0000-0000-00008A050000}"/>
    <cellStyle name="40% - Colore 3 7 4" xfId="1420" xr:uid="{00000000-0005-0000-0000-00008B050000}"/>
    <cellStyle name="40% - Colore 3 7 5" xfId="1421" xr:uid="{00000000-0005-0000-0000-00008C050000}"/>
    <cellStyle name="40% - Colore 3 7 6" xfId="1422" xr:uid="{00000000-0005-0000-0000-00008D050000}"/>
    <cellStyle name="40% - Colore 3 8" xfId="1423" xr:uid="{00000000-0005-0000-0000-00008E050000}"/>
    <cellStyle name="40% - Colore 3 8 2" xfId="1424" xr:uid="{00000000-0005-0000-0000-00008F050000}"/>
    <cellStyle name="40% - Colore 3 8 3" xfId="1425" xr:uid="{00000000-0005-0000-0000-000090050000}"/>
    <cellStyle name="40% - Colore 3 8 4" xfId="1426" xr:uid="{00000000-0005-0000-0000-000091050000}"/>
    <cellStyle name="40% - Colore 3 8 5" xfId="1427" xr:uid="{00000000-0005-0000-0000-000092050000}"/>
    <cellStyle name="40% - Colore 3 8 6" xfId="1428" xr:uid="{00000000-0005-0000-0000-000093050000}"/>
    <cellStyle name="40% - Colore 3 9" xfId="1429" xr:uid="{00000000-0005-0000-0000-000094050000}"/>
    <cellStyle name="40% - Colore 3 9 2" xfId="1430" xr:uid="{00000000-0005-0000-0000-000095050000}"/>
    <cellStyle name="40% - Colore 3 9 3" xfId="1431" xr:uid="{00000000-0005-0000-0000-000096050000}"/>
    <cellStyle name="40% - Colore 3 9 4" xfId="1432" xr:uid="{00000000-0005-0000-0000-000097050000}"/>
    <cellStyle name="40% - Colore 3 9 5" xfId="1433" xr:uid="{00000000-0005-0000-0000-000098050000}"/>
    <cellStyle name="40% - Colore 3 9 6" xfId="1434" xr:uid="{00000000-0005-0000-0000-000099050000}"/>
    <cellStyle name="40% - Colore 4" xfId="1435" xr:uid="{00000000-0005-0000-0000-00009A050000}"/>
    <cellStyle name="40% - Colore 4 10" xfId="1436" xr:uid="{00000000-0005-0000-0000-00009B050000}"/>
    <cellStyle name="40% - Colore 4 2" xfId="1437" xr:uid="{00000000-0005-0000-0000-00009C050000}"/>
    <cellStyle name="40% - Colore 4 2 2" xfId="1438" xr:uid="{00000000-0005-0000-0000-00009D050000}"/>
    <cellStyle name="40% - Colore 4 2 3" xfId="1439" xr:uid="{00000000-0005-0000-0000-00009E050000}"/>
    <cellStyle name="40% - Colore 4 2 4" xfId="1440" xr:uid="{00000000-0005-0000-0000-00009F050000}"/>
    <cellStyle name="40% - Colore 4 2 5" xfId="1441" xr:uid="{00000000-0005-0000-0000-0000A0050000}"/>
    <cellStyle name="40% - Colore 4 2 6" xfId="1442" xr:uid="{00000000-0005-0000-0000-0000A1050000}"/>
    <cellStyle name="40% - Colore 4 3" xfId="1443" xr:uid="{00000000-0005-0000-0000-0000A2050000}"/>
    <cellStyle name="40% - Colore 4 3 2" xfId="1444" xr:uid="{00000000-0005-0000-0000-0000A3050000}"/>
    <cellStyle name="40% - Colore 4 3 2 2" xfId="1445" xr:uid="{00000000-0005-0000-0000-0000A4050000}"/>
    <cellStyle name="40% - Colore 4 3 3" xfId="1446" xr:uid="{00000000-0005-0000-0000-0000A5050000}"/>
    <cellStyle name="40% - Colore 4 3 4" xfId="1447" xr:uid="{00000000-0005-0000-0000-0000A6050000}"/>
    <cellStyle name="40% - Colore 4 3 5" xfId="1448" xr:uid="{00000000-0005-0000-0000-0000A7050000}"/>
    <cellStyle name="40% - Colore 4 3 6" xfId="1449" xr:uid="{00000000-0005-0000-0000-0000A8050000}"/>
    <cellStyle name="40% - Colore 4 4" xfId="1450" xr:uid="{00000000-0005-0000-0000-0000A9050000}"/>
    <cellStyle name="40% - Colore 4 4 2" xfId="1451" xr:uid="{00000000-0005-0000-0000-0000AA050000}"/>
    <cellStyle name="40% - Colore 4 5" xfId="1452" xr:uid="{00000000-0005-0000-0000-0000AB050000}"/>
    <cellStyle name="40% - Colore 4 6" xfId="1453" xr:uid="{00000000-0005-0000-0000-0000AC050000}"/>
    <cellStyle name="40% - Colore 4 7" xfId="1454" xr:uid="{00000000-0005-0000-0000-0000AD050000}"/>
    <cellStyle name="40% - Colore 4 8" xfId="1455" xr:uid="{00000000-0005-0000-0000-0000AE050000}"/>
    <cellStyle name="40% - Colore 4 9" xfId="1456" xr:uid="{00000000-0005-0000-0000-0000AF050000}"/>
    <cellStyle name="40% - Colore 5" xfId="1457" xr:uid="{00000000-0005-0000-0000-0000B0050000}"/>
    <cellStyle name="40% - Colore 5 10" xfId="1458" xr:uid="{00000000-0005-0000-0000-0000B1050000}"/>
    <cellStyle name="40% - Colore 5 2" xfId="1459" xr:uid="{00000000-0005-0000-0000-0000B2050000}"/>
    <cellStyle name="40% - Colore 5 2 2" xfId="1460" xr:uid="{00000000-0005-0000-0000-0000B3050000}"/>
    <cellStyle name="40% - Colore 5 2 3" xfId="1461" xr:uid="{00000000-0005-0000-0000-0000B4050000}"/>
    <cellStyle name="40% - Colore 5 2 4" xfId="1462" xr:uid="{00000000-0005-0000-0000-0000B5050000}"/>
    <cellStyle name="40% - Colore 5 2 5" xfId="1463" xr:uid="{00000000-0005-0000-0000-0000B6050000}"/>
    <cellStyle name="40% - Colore 5 2 6" xfId="1464" xr:uid="{00000000-0005-0000-0000-0000B7050000}"/>
    <cellStyle name="40% - Colore 5 3" xfId="1465" xr:uid="{00000000-0005-0000-0000-0000B8050000}"/>
    <cellStyle name="40% - Colore 5 3 2" xfId="1466" xr:uid="{00000000-0005-0000-0000-0000B9050000}"/>
    <cellStyle name="40% - Colore 5 3 2 2" xfId="1467" xr:uid="{00000000-0005-0000-0000-0000BA050000}"/>
    <cellStyle name="40% - Colore 5 3 3" xfId="1468" xr:uid="{00000000-0005-0000-0000-0000BB050000}"/>
    <cellStyle name="40% - Colore 5 3 4" xfId="1469" xr:uid="{00000000-0005-0000-0000-0000BC050000}"/>
    <cellStyle name="40% - Colore 5 3 5" xfId="1470" xr:uid="{00000000-0005-0000-0000-0000BD050000}"/>
    <cellStyle name="40% - Colore 5 3 6" xfId="1471" xr:uid="{00000000-0005-0000-0000-0000BE050000}"/>
    <cellStyle name="40% - Colore 5 4" xfId="1472" xr:uid="{00000000-0005-0000-0000-0000BF050000}"/>
    <cellStyle name="40% - Colore 5 4 2" xfId="1473" xr:uid="{00000000-0005-0000-0000-0000C0050000}"/>
    <cellStyle name="40% - Colore 5 5" xfId="1474" xr:uid="{00000000-0005-0000-0000-0000C1050000}"/>
    <cellStyle name="40% - Colore 5 6" xfId="1475" xr:uid="{00000000-0005-0000-0000-0000C2050000}"/>
    <cellStyle name="40% - Colore 5 7" xfId="1476" xr:uid="{00000000-0005-0000-0000-0000C3050000}"/>
    <cellStyle name="40% - Colore 5 8" xfId="1477" xr:uid="{00000000-0005-0000-0000-0000C4050000}"/>
    <cellStyle name="40% - Colore 5 9" xfId="1478" xr:uid="{00000000-0005-0000-0000-0000C5050000}"/>
    <cellStyle name="40% - Colore 6" xfId="1479" xr:uid="{00000000-0005-0000-0000-0000C6050000}"/>
    <cellStyle name="40% - Colore 6 10" xfId="1480" xr:uid="{00000000-0005-0000-0000-0000C7050000}"/>
    <cellStyle name="40% - Colore 6 2" xfId="1481" xr:uid="{00000000-0005-0000-0000-0000C8050000}"/>
    <cellStyle name="40% - Colore 6 2 2" xfId="1482" xr:uid="{00000000-0005-0000-0000-0000C9050000}"/>
    <cellStyle name="40% - Colore 6 2 3" xfId="1483" xr:uid="{00000000-0005-0000-0000-0000CA050000}"/>
    <cellStyle name="40% - Colore 6 2 4" xfId="1484" xr:uid="{00000000-0005-0000-0000-0000CB050000}"/>
    <cellStyle name="40% - Colore 6 2 5" xfId="1485" xr:uid="{00000000-0005-0000-0000-0000CC050000}"/>
    <cellStyle name="40% - Colore 6 2 6" xfId="1486" xr:uid="{00000000-0005-0000-0000-0000CD050000}"/>
    <cellStyle name="40% - Colore 6 3" xfId="1487" xr:uid="{00000000-0005-0000-0000-0000CE050000}"/>
    <cellStyle name="40% - Colore 6 3 2" xfId="1488" xr:uid="{00000000-0005-0000-0000-0000CF050000}"/>
    <cellStyle name="40% - Colore 6 3 2 2" xfId="1489" xr:uid="{00000000-0005-0000-0000-0000D0050000}"/>
    <cellStyle name="40% - Colore 6 3 3" xfId="1490" xr:uid="{00000000-0005-0000-0000-0000D1050000}"/>
    <cellStyle name="40% - Colore 6 3 4" xfId="1491" xr:uid="{00000000-0005-0000-0000-0000D2050000}"/>
    <cellStyle name="40% - Colore 6 3 5" xfId="1492" xr:uid="{00000000-0005-0000-0000-0000D3050000}"/>
    <cellStyle name="40% - Colore 6 3 6" xfId="1493" xr:uid="{00000000-0005-0000-0000-0000D4050000}"/>
    <cellStyle name="40% - Colore 6 4" xfId="1494" xr:uid="{00000000-0005-0000-0000-0000D5050000}"/>
    <cellStyle name="40% - Colore 6 4 2" xfId="1495" xr:uid="{00000000-0005-0000-0000-0000D6050000}"/>
    <cellStyle name="40% - Colore 6 5" xfId="1496" xr:uid="{00000000-0005-0000-0000-0000D7050000}"/>
    <cellStyle name="40% - Colore 6 6" xfId="1497" xr:uid="{00000000-0005-0000-0000-0000D8050000}"/>
    <cellStyle name="40% - Colore 6 7" xfId="1498" xr:uid="{00000000-0005-0000-0000-0000D9050000}"/>
    <cellStyle name="40% - Colore 6 8" xfId="1499" xr:uid="{00000000-0005-0000-0000-0000DA050000}"/>
    <cellStyle name="40% - Colore 6 9" xfId="1500" xr:uid="{00000000-0005-0000-0000-0000DB050000}"/>
    <cellStyle name="60% - Accent1 2" xfId="1501" xr:uid="{00000000-0005-0000-0000-0000DC050000}"/>
    <cellStyle name="60% - Accent1 2 10" xfId="1502" xr:uid="{00000000-0005-0000-0000-0000DD050000}"/>
    <cellStyle name="60% - Accent1 2 11" xfId="1503" xr:uid="{00000000-0005-0000-0000-0000DE050000}"/>
    <cellStyle name="60% - Accent1 2 12" xfId="1504" xr:uid="{00000000-0005-0000-0000-0000DF050000}"/>
    <cellStyle name="60% - Accent1 2 13" xfId="1505" xr:uid="{00000000-0005-0000-0000-0000E0050000}"/>
    <cellStyle name="60% - Accent1 2 14" xfId="1506" xr:uid="{00000000-0005-0000-0000-0000E1050000}"/>
    <cellStyle name="60% - Accent1 2 15" xfId="1507" xr:uid="{00000000-0005-0000-0000-0000E2050000}"/>
    <cellStyle name="60% - Accent1 2 16" xfId="1508" xr:uid="{00000000-0005-0000-0000-0000E3050000}"/>
    <cellStyle name="60% - Accent1 2 17" xfId="1509" xr:uid="{00000000-0005-0000-0000-0000E4050000}"/>
    <cellStyle name="60% - Accent1 2 2" xfId="1510" xr:uid="{00000000-0005-0000-0000-0000E5050000}"/>
    <cellStyle name="60% - Accent1 2 3" xfId="1511" xr:uid="{00000000-0005-0000-0000-0000E6050000}"/>
    <cellStyle name="60% - Accent1 2 4" xfId="1512" xr:uid="{00000000-0005-0000-0000-0000E7050000}"/>
    <cellStyle name="60% - Accent1 2 5" xfId="1513" xr:uid="{00000000-0005-0000-0000-0000E8050000}"/>
    <cellStyle name="60% - Accent1 2 6" xfId="1514" xr:uid="{00000000-0005-0000-0000-0000E9050000}"/>
    <cellStyle name="60% - Accent1 2 7" xfId="1515" xr:uid="{00000000-0005-0000-0000-0000EA050000}"/>
    <cellStyle name="60% - Accent1 2 8" xfId="1516" xr:uid="{00000000-0005-0000-0000-0000EB050000}"/>
    <cellStyle name="60% - Accent1 2 9" xfId="1517" xr:uid="{00000000-0005-0000-0000-0000EC050000}"/>
    <cellStyle name="60% - Accent1 3 10" xfId="1518" xr:uid="{00000000-0005-0000-0000-0000ED050000}"/>
    <cellStyle name="60% - Accent1 3 11" xfId="1519" xr:uid="{00000000-0005-0000-0000-0000EE050000}"/>
    <cellStyle name="60% - Accent1 3 12" xfId="1520" xr:uid="{00000000-0005-0000-0000-0000EF050000}"/>
    <cellStyle name="60% - Accent1 3 13" xfId="1521" xr:uid="{00000000-0005-0000-0000-0000F0050000}"/>
    <cellStyle name="60% - Accent1 3 14" xfId="1522" xr:uid="{00000000-0005-0000-0000-0000F1050000}"/>
    <cellStyle name="60% - Accent1 3 15" xfId="1523" xr:uid="{00000000-0005-0000-0000-0000F2050000}"/>
    <cellStyle name="60% - Accent1 3 16" xfId="1524" xr:uid="{00000000-0005-0000-0000-0000F3050000}"/>
    <cellStyle name="60% - Accent1 3 17" xfId="1525" xr:uid="{00000000-0005-0000-0000-0000F4050000}"/>
    <cellStyle name="60% - Accent1 3 2" xfId="1526" xr:uid="{00000000-0005-0000-0000-0000F5050000}"/>
    <cellStyle name="60% - Accent1 3 3" xfId="1527" xr:uid="{00000000-0005-0000-0000-0000F6050000}"/>
    <cellStyle name="60% - Accent1 3 4" xfId="1528" xr:uid="{00000000-0005-0000-0000-0000F7050000}"/>
    <cellStyle name="60% - Accent1 3 5" xfId="1529" xr:uid="{00000000-0005-0000-0000-0000F8050000}"/>
    <cellStyle name="60% - Accent1 3 6" xfId="1530" xr:uid="{00000000-0005-0000-0000-0000F9050000}"/>
    <cellStyle name="60% - Accent1 3 7" xfId="1531" xr:uid="{00000000-0005-0000-0000-0000FA050000}"/>
    <cellStyle name="60% - Accent1 3 8" xfId="1532" xr:uid="{00000000-0005-0000-0000-0000FB050000}"/>
    <cellStyle name="60% - Accent1 3 9" xfId="1533" xr:uid="{00000000-0005-0000-0000-0000FC050000}"/>
    <cellStyle name="60% - Accent2 2" xfId="1534" xr:uid="{00000000-0005-0000-0000-0000FD050000}"/>
    <cellStyle name="60% - Accent2 2 10" xfId="1535" xr:uid="{00000000-0005-0000-0000-0000FE050000}"/>
    <cellStyle name="60% - Accent2 2 11" xfId="1536" xr:uid="{00000000-0005-0000-0000-0000FF050000}"/>
    <cellStyle name="60% - Accent2 2 12" xfId="1537" xr:uid="{00000000-0005-0000-0000-000000060000}"/>
    <cellStyle name="60% - Accent2 2 13" xfId="1538" xr:uid="{00000000-0005-0000-0000-000001060000}"/>
    <cellStyle name="60% - Accent2 2 14" xfId="1539" xr:uid="{00000000-0005-0000-0000-000002060000}"/>
    <cellStyle name="60% - Accent2 2 15" xfId="1540" xr:uid="{00000000-0005-0000-0000-000003060000}"/>
    <cellStyle name="60% - Accent2 2 16" xfId="1541" xr:uid="{00000000-0005-0000-0000-000004060000}"/>
    <cellStyle name="60% - Accent2 2 17" xfId="1542" xr:uid="{00000000-0005-0000-0000-000005060000}"/>
    <cellStyle name="60% - Accent2 2 2" xfId="1543" xr:uid="{00000000-0005-0000-0000-000006060000}"/>
    <cellStyle name="60% - Accent2 2 3" xfId="1544" xr:uid="{00000000-0005-0000-0000-000007060000}"/>
    <cellStyle name="60% - Accent2 2 4" xfId="1545" xr:uid="{00000000-0005-0000-0000-000008060000}"/>
    <cellStyle name="60% - Accent2 2 5" xfId="1546" xr:uid="{00000000-0005-0000-0000-000009060000}"/>
    <cellStyle name="60% - Accent2 2 6" xfId="1547" xr:uid="{00000000-0005-0000-0000-00000A060000}"/>
    <cellStyle name="60% - Accent2 2 7" xfId="1548" xr:uid="{00000000-0005-0000-0000-00000B060000}"/>
    <cellStyle name="60% - Accent2 2 8" xfId="1549" xr:uid="{00000000-0005-0000-0000-00000C060000}"/>
    <cellStyle name="60% - Accent2 2 9" xfId="1550" xr:uid="{00000000-0005-0000-0000-00000D060000}"/>
    <cellStyle name="60% - Accent2 3 10" xfId="1551" xr:uid="{00000000-0005-0000-0000-00000E060000}"/>
    <cellStyle name="60% - Accent2 3 11" xfId="1552" xr:uid="{00000000-0005-0000-0000-00000F060000}"/>
    <cellStyle name="60% - Accent2 3 12" xfId="1553" xr:uid="{00000000-0005-0000-0000-000010060000}"/>
    <cellStyle name="60% - Accent2 3 13" xfId="1554" xr:uid="{00000000-0005-0000-0000-000011060000}"/>
    <cellStyle name="60% - Accent2 3 14" xfId="1555" xr:uid="{00000000-0005-0000-0000-000012060000}"/>
    <cellStyle name="60% - Accent2 3 15" xfId="1556" xr:uid="{00000000-0005-0000-0000-000013060000}"/>
    <cellStyle name="60% - Accent2 3 16" xfId="1557" xr:uid="{00000000-0005-0000-0000-000014060000}"/>
    <cellStyle name="60% - Accent2 3 17" xfId="1558" xr:uid="{00000000-0005-0000-0000-000015060000}"/>
    <cellStyle name="60% - Accent2 3 2" xfId="1559" xr:uid="{00000000-0005-0000-0000-000016060000}"/>
    <cellStyle name="60% - Accent2 3 3" xfId="1560" xr:uid="{00000000-0005-0000-0000-000017060000}"/>
    <cellStyle name="60% - Accent2 3 4" xfId="1561" xr:uid="{00000000-0005-0000-0000-000018060000}"/>
    <cellStyle name="60% - Accent2 3 5" xfId="1562" xr:uid="{00000000-0005-0000-0000-000019060000}"/>
    <cellStyle name="60% - Accent2 3 6" xfId="1563" xr:uid="{00000000-0005-0000-0000-00001A060000}"/>
    <cellStyle name="60% - Accent2 3 7" xfId="1564" xr:uid="{00000000-0005-0000-0000-00001B060000}"/>
    <cellStyle name="60% - Accent2 3 8" xfId="1565" xr:uid="{00000000-0005-0000-0000-00001C060000}"/>
    <cellStyle name="60% - Accent2 3 9" xfId="1566" xr:uid="{00000000-0005-0000-0000-00001D060000}"/>
    <cellStyle name="60% - Accent3 2" xfId="1567" xr:uid="{00000000-0005-0000-0000-00001E060000}"/>
    <cellStyle name="60% - Accent3 2 10" xfId="1568" xr:uid="{00000000-0005-0000-0000-00001F060000}"/>
    <cellStyle name="60% - Accent3 2 11" xfId="1569" xr:uid="{00000000-0005-0000-0000-000020060000}"/>
    <cellStyle name="60% - Accent3 2 12" xfId="1570" xr:uid="{00000000-0005-0000-0000-000021060000}"/>
    <cellStyle name="60% - Accent3 2 13" xfId="1571" xr:uid="{00000000-0005-0000-0000-000022060000}"/>
    <cellStyle name="60% - Accent3 2 14" xfId="1572" xr:uid="{00000000-0005-0000-0000-000023060000}"/>
    <cellStyle name="60% - Accent3 2 15" xfId="1573" xr:uid="{00000000-0005-0000-0000-000024060000}"/>
    <cellStyle name="60% - Accent3 2 16" xfId="1574" xr:uid="{00000000-0005-0000-0000-000025060000}"/>
    <cellStyle name="60% - Accent3 2 17" xfId="1575" xr:uid="{00000000-0005-0000-0000-000026060000}"/>
    <cellStyle name="60% - Accent3 2 2" xfId="1576" xr:uid="{00000000-0005-0000-0000-000027060000}"/>
    <cellStyle name="60% - Accent3 2 3" xfId="1577" xr:uid="{00000000-0005-0000-0000-000028060000}"/>
    <cellStyle name="60% - Accent3 2 4" xfId="1578" xr:uid="{00000000-0005-0000-0000-000029060000}"/>
    <cellStyle name="60% - Accent3 2 5" xfId="1579" xr:uid="{00000000-0005-0000-0000-00002A060000}"/>
    <cellStyle name="60% - Accent3 2 6" xfId="1580" xr:uid="{00000000-0005-0000-0000-00002B060000}"/>
    <cellStyle name="60% - Accent3 2 7" xfId="1581" xr:uid="{00000000-0005-0000-0000-00002C060000}"/>
    <cellStyle name="60% - Accent3 2 8" xfId="1582" xr:uid="{00000000-0005-0000-0000-00002D060000}"/>
    <cellStyle name="60% - Accent3 2 9" xfId="1583" xr:uid="{00000000-0005-0000-0000-00002E060000}"/>
    <cellStyle name="60% - Accent3 3 10" xfId="1584" xr:uid="{00000000-0005-0000-0000-00002F060000}"/>
    <cellStyle name="60% - Accent3 3 11" xfId="1585" xr:uid="{00000000-0005-0000-0000-000030060000}"/>
    <cellStyle name="60% - Accent3 3 12" xfId="1586" xr:uid="{00000000-0005-0000-0000-000031060000}"/>
    <cellStyle name="60% - Accent3 3 13" xfId="1587" xr:uid="{00000000-0005-0000-0000-000032060000}"/>
    <cellStyle name="60% - Accent3 3 14" xfId="1588" xr:uid="{00000000-0005-0000-0000-000033060000}"/>
    <cellStyle name="60% - Accent3 3 15" xfId="1589" xr:uid="{00000000-0005-0000-0000-000034060000}"/>
    <cellStyle name="60% - Accent3 3 16" xfId="1590" xr:uid="{00000000-0005-0000-0000-000035060000}"/>
    <cellStyle name="60% - Accent3 3 17" xfId="1591" xr:uid="{00000000-0005-0000-0000-000036060000}"/>
    <cellStyle name="60% - Accent3 3 2" xfId="1592" xr:uid="{00000000-0005-0000-0000-000037060000}"/>
    <cellStyle name="60% - Accent3 3 3" xfId="1593" xr:uid="{00000000-0005-0000-0000-000038060000}"/>
    <cellStyle name="60% - Accent3 3 4" xfId="1594" xr:uid="{00000000-0005-0000-0000-000039060000}"/>
    <cellStyle name="60% - Accent3 3 5" xfId="1595" xr:uid="{00000000-0005-0000-0000-00003A060000}"/>
    <cellStyle name="60% - Accent3 3 6" xfId="1596" xr:uid="{00000000-0005-0000-0000-00003B060000}"/>
    <cellStyle name="60% - Accent3 3 7" xfId="1597" xr:uid="{00000000-0005-0000-0000-00003C060000}"/>
    <cellStyle name="60% - Accent3 3 8" xfId="1598" xr:uid="{00000000-0005-0000-0000-00003D060000}"/>
    <cellStyle name="60% - Accent3 3 9" xfId="1599" xr:uid="{00000000-0005-0000-0000-00003E060000}"/>
    <cellStyle name="60% - Accent4 2" xfId="1600" xr:uid="{00000000-0005-0000-0000-00003F060000}"/>
    <cellStyle name="60% - Accent4 2 10" xfId="1601" xr:uid="{00000000-0005-0000-0000-000040060000}"/>
    <cellStyle name="60% - Accent4 2 11" xfId="1602" xr:uid="{00000000-0005-0000-0000-000041060000}"/>
    <cellStyle name="60% - Accent4 2 12" xfId="1603" xr:uid="{00000000-0005-0000-0000-000042060000}"/>
    <cellStyle name="60% - Accent4 2 13" xfId="1604" xr:uid="{00000000-0005-0000-0000-000043060000}"/>
    <cellStyle name="60% - Accent4 2 14" xfId="1605" xr:uid="{00000000-0005-0000-0000-000044060000}"/>
    <cellStyle name="60% - Accent4 2 15" xfId="1606" xr:uid="{00000000-0005-0000-0000-000045060000}"/>
    <cellStyle name="60% - Accent4 2 16" xfId="1607" xr:uid="{00000000-0005-0000-0000-000046060000}"/>
    <cellStyle name="60% - Accent4 2 17" xfId="1608" xr:uid="{00000000-0005-0000-0000-000047060000}"/>
    <cellStyle name="60% - Accent4 2 2" xfId="1609" xr:uid="{00000000-0005-0000-0000-000048060000}"/>
    <cellStyle name="60% - Accent4 2 3" xfId="1610" xr:uid="{00000000-0005-0000-0000-000049060000}"/>
    <cellStyle name="60% - Accent4 2 4" xfId="1611" xr:uid="{00000000-0005-0000-0000-00004A060000}"/>
    <cellStyle name="60% - Accent4 2 5" xfId="1612" xr:uid="{00000000-0005-0000-0000-00004B060000}"/>
    <cellStyle name="60% - Accent4 2 6" xfId="1613" xr:uid="{00000000-0005-0000-0000-00004C060000}"/>
    <cellStyle name="60% - Accent4 2 7" xfId="1614" xr:uid="{00000000-0005-0000-0000-00004D060000}"/>
    <cellStyle name="60% - Accent4 2 8" xfId="1615" xr:uid="{00000000-0005-0000-0000-00004E060000}"/>
    <cellStyle name="60% - Accent4 2 9" xfId="1616" xr:uid="{00000000-0005-0000-0000-00004F060000}"/>
    <cellStyle name="60% - Accent4 3 10" xfId="1617" xr:uid="{00000000-0005-0000-0000-000050060000}"/>
    <cellStyle name="60% - Accent4 3 11" xfId="1618" xr:uid="{00000000-0005-0000-0000-000051060000}"/>
    <cellStyle name="60% - Accent4 3 12" xfId="1619" xr:uid="{00000000-0005-0000-0000-000052060000}"/>
    <cellStyle name="60% - Accent4 3 13" xfId="1620" xr:uid="{00000000-0005-0000-0000-000053060000}"/>
    <cellStyle name="60% - Accent4 3 14" xfId="1621" xr:uid="{00000000-0005-0000-0000-000054060000}"/>
    <cellStyle name="60% - Accent4 3 15" xfId="1622" xr:uid="{00000000-0005-0000-0000-000055060000}"/>
    <cellStyle name="60% - Accent4 3 16" xfId="1623" xr:uid="{00000000-0005-0000-0000-000056060000}"/>
    <cellStyle name="60% - Accent4 3 17" xfId="1624" xr:uid="{00000000-0005-0000-0000-000057060000}"/>
    <cellStyle name="60% - Accent4 3 2" xfId="1625" xr:uid="{00000000-0005-0000-0000-000058060000}"/>
    <cellStyle name="60% - Accent4 3 3" xfId="1626" xr:uid="{00000000-0005-0000-0000-000059060000}"/>
    <cellStyle name="60% - Accent4 3 4" xfId="1627" xr:uid="{00000000-0005-0000-0000-00005A060000}"/>
    <cellStyle name="60% - Accent4 3 5" xfId="1628" xr:uid="{00000000-0005-0000-0000-00005B060000}"/>
    <cellStyle name="60% - Accent4 3 6" xfId="1629" xr:uid="{00000000-0005-0000-0000-00005C060000}"/>
    <cellStyle name="60% - Accent4 3 7" xfId="1630" xr:uid="{00000000-0005-0000-0000-00005D060000}"/>
    <cellStyle name="60% - Accent4 3 8" xfId="1631" xr:uid="{00000000-0005-0000-0000-00005E060000}"/>
    <cellStyle name="60% - Accent4 3 9" xfId="1632" xr:uid="{00000000-0005-0000-0000-00005F060000}"/>
    <cellStyle name="60% - Accent5 2" xfId="1633" xr:uid="{00000000-0005-0000-0000-000060060000}"/>
    <cellStyle name="60% - Accent5 2 10" xfId="1634" xr:uid="{00000000-0005-0000-0000-000061060000}"/>
    <cellStyle name="60% - Accent5 2 11" xfId="1635" xr:uid="{00000000-0005-0000-0000-000062060000}"/>
    <cellStyle name="60% - Accent5 2 12" xfId="1636" xr:uid="{00000000-0005-0000-0000-000063060000}"/>
    <cellStyle name="60% - Accent5 2 13" xfId="1637" xr:uid="{00000000-0005-0000-0000-000064060000}"/>
    <cellStyle name="60% - Accent5 2 14" xfId="1638" xr:uid="{00000000-0005-0000-0000-000065060000}"/>
    <cellStyle name="60% - Accent5 2 15" xfId="1639" xr:uid="{00000000-0005-0000-0000-000066060000}"/>
    <cellStyle name="60% - Accent5 2 16" xfId="1640" xr:uid="{00000000-0005-0000-0000-000067060000}"/>
    <cellStyle name="60% - Accent5 2 17" xfId="1641" xr:uid="{00000000-0005-0000-0000-000068060000}"/>
    <cellStyle name="60% - Accent5 2 2" xfId="1642" xr:uid="{00000000-0005-0000-0000-000069060000}"/>
    <cellStyle name="60% - Accent5 2 3" xfId="1643" xr:uid="{00000000-0005-0000-0000-00006A060000}"/>
    <cellStyle name="60% - Accent5 2 4" xfId="1644" xr:uid="{00000000-0005-0000-0000-00006B060000}"/>
    <cellStyle name="60% - Accent5 2 5" xfId="1645" xr:uid="{00000000-0005-0000-0000-00006C060000}"/>
    <cellStyle name="60% - Accent5 2 6" xfId="1646" xr:uid="{00000000-0005-0000-0000-00006D060000}"/>
    <cellStyle name="60% - Accent5 2 7" xfId="1647" xr:uid="{00000000-0005-0000-0000-00006E060000}"/>
    <cellStyle name="60% - Accent5 2 8" xfId="1648" xr:uid="{00000000-0005-0000-0000-00006F060000}"/>
    <cellStyle name="60% - Accent5 2 9" xfId="1649" xr:uid="{00000000-0005-0000-0000-000070060000}"/>
    <cellStyle name="60% - Accent5 3 10" xfId="1650" xr:uid="{00000000-0005-0000-0000-000071060000}"/>
    <cellStyle name="60% - Accent5 3 11" xfId="1651" xr:uid="{00000000-0005-0000-0000-000072060000}"/>
    <cellStyle name="60% - Accent5 3 12" xfId="1652" xr:uid="{00000000-0005-0000-0000-000073060000}"/>
    <cellStyle name="60% - Accent5 3 13" xfId="1653" xr:uid="{00000000-0005-0000-0000-000074060000}"/>
    <cellStyle name="60% - Accent5 3 14" xfId="1654" xr:uid="{00000000-0005-0000-0000-000075060000}"/>
    <cellStyle name="60% - Accent5 3 15" xfId="1655" xr:uid="{00000000-0005-0000-0000-000076060000}"/>
    <cellStyle name="60% - Accent5 3 16" xfId="1656" xr:uid="{00000000-0005-0000-0000-000077060000}"/>
    <cellStyle name="60% - Accent5 3 17" xfId="1657" xr:uid="{00000000-0005-0000-0000-000078060000}"/>
    <cellStyle name="60% - Accent5 3 2" xfId="1658" xr:uid="{00000000-0005-0000-0000-000079060000}"/>
    <cellStyle name="60% - Accent5 3 3" xfId="1659" xr:uid="{00000000-0005-0000-0000-00007A060000}"/>
    <cellStyle name="60% - Accent5 3 4" xfId="1660" xr:uid="{00000000-0005-0000-0000-00007B060000}"/>
    <cellStyle name="60% - Accent5 3 5" xfId="1661" xr:uid="{00000000-0005-0000-0000-00007C060000}"/>
    <cellStyle name="60% - Accent5 3 6" xfId="1662" xr:uid="{00000000-0005-0000-0000-00007D060000}"/>
    <cellStyle name="60% - Accent5 3 7" xfId="1663" xr:uid="{00000000-0005-0000-0000-00007E060000}"/>
    <cellStyle name="60% - Accent5 3 8" xfId="1664" xr:uid="{00000000-0005-0000-0000-00007F060000}"/>
    <cellStyle name="60% - Accent5 3 9" xfId="1665" xr:uid="{00000000-0005-0000-0000-000080060000}"/>
    <cellStyle name="60% - Accent6 2" xfId="1666" xr:uid="{00000000-0005-0000-0000-000081060000}"/>
    <cellStyle name="60% - Accent6 2 10" xfId="1667" xr:uid="{00000000-0005-0000-0000-000082060000}"/>
    <cellStyle name="60% - Accent6 2 11" xfId="1668" xr:uid="{00000000-0005-0000-0000-000083060000}"/>
    <cellStyle name="60% - Accent6 2 12" xfId="1669" xr:uid="{00000000-0005-0000-0000-000084060000}"/>
    <cellStyle name="60% - Accent6 2 13" xfId="1670" xr:uid="{00000000-0005-0000-0000-000085060000}"/>
    <cellStyle name="60% - Accent6 2 14" xfId="1671" xr:uid="{00000000-0005-0000-0000-000086060000}"/>
    <cellStyle name="60% - Accent6 2 15" xfId="1672" xr:uid="{00000000-0005-0000-0000-000087060000}"/>
    <cellStyle name="60% - Accent6 2 16" xfId="1673" xr:uid="{00000000-0005-0000-0000-000088060000}"/>
    <cellStyle name="60% - Accent6 2 17" xfId="1674" xr:uid="{00000000-0005-0000-0000-000089060000}"/>
    <cellStyle name="60% - Accent6 2 2" xfId="1675" xr:uid="{00000000-0005-0000-0000-00008A060000}"/>
    <cellStyle name="60% - Accent6 2 3" xfId="1676" xr:uid="{00000000-0005-0000-0000-00008B060000}"/>
    <cellStyle name="60% - Accent6 2 4" xfId="1677" xr:uid="{00000000-0005-0000-0000-00008C060000}"/>
    <cellStyle name="60% - Accent6 2 5" xfId="1678" xr:uid="{00000000-0005-0000-0000-00008D060000}"/>
    <cellStyle name="60% - Accent6 2 6" xfId="1679" xr:uid="{00000000-0005-0000-0000-00008E060000}"/>
    <cellStyle name="60% - Accent6 2 7" xfId="1680" xr:uid="{00000000-0005-0000-0000-00008F060000}"/>
    <cellStyle name="60% - Accent6 2 8" xfId="1681" xr:uid="{00000000-0005-0000-0000-000090060000}"/>
    <cellStyle name="60% - Accent6 2 9" xfId="1682" xr:uid="{00000000-0005-0000-0000-000091060000}"/>
    <cellStyle name="60% - Accent6 3 10" xfId="1683" xr:uid="{00000000-0005-0000-0000-000092060000}"/>
    <cellStyle name="60% - Accent6 3 11" xfId="1684" xr:uid="{00000000-0005-0000-0000-000093060000}"/>
    <cellStyle name="60% - Accent6 3 12" xfId="1685" xr:uid="{00000000-0005-0000-0000-000094060000}"/>
    <cellStyle name="60% - Accent6 3 13" xfId="1686" xr:uid="{00000000-0005-0000-0000-000095060000}"/>
    <cellStyle name="60% - Accent6 3 14" xfId="1687" xr:uid="{00000000-0005-0000-0000-000096060000}"/>
    <cellStyle name="60% - Accent6 3 15" xfId="1688" xr:uid="{00000000-0005-0000-0000-000097060000}"/>
    <cellStyle name="60% - Accent6 3 16" xfId="1689" xr:uid="{00000000-0005-0000-0000-000098060000}"/>
    <cellStyle name="60% - Accent6 3 17" xfId="1690" xr:uid="{00000000-0005-0000-0000-000099060000}"/>
    <cellStyle name="60% - Accent6 3 2" xfId="1691" xr:uid="{00000000-0005-0000-0000-00009A060000}"/>
    <cellStyle name="60% - Accent6 3 3" xfId="1692" xr:uid="{00000000-0005-0000-0000-00009B060000}"/>
    <cellStyle name="60% - Accent6 3 4" xfId="1693" xr:uid="{00000000-0005-0000-0000-00009C060000}"/>
    <cellStyle name="60% - Accent6 3 5" xfId="1694" xr:uid="{00000000-0005-0000-0000-00009D060000}"/>
    <cellStyle name="60% - Accent6 3 6" xfId="1695" xr:uid="{00000000-0005-0000-0000-00009E060000}"/>
    <cellStyle name="60% - Accent6 3 7" xfId="1696" xr:uid="{00000000-0005-0000-0000-00009F060000}"/>
    <cellStyle name="60% - Accent6 3 8" xfId="1697" xr:uid="{00000000-0005-0000-0000-0000A0060000}"/>
    <cellStyle name="60% - Accent6 3 9" xfId="1698" xr:uid="{00000000-0005-0000-0000-0000A1060000}"/>
    <cellStyle name="60% - Colore 1" xfId="1699" xr:uid="{00000000-0005-0000-0000-0000A2060000}"/>
    <cellStyle name="60% - Colore 1 2" xfId="1700" xr:uid="{00000000-0005-0000-0000-0000A3060000}"/>
    <cellStyle name="60% - Colore 1 2 2" xfId="1701" xr:uid="{00000000-0005-0000-0000-0000A4060000}"/>
    <cellStyle name="60% - Colore 1 2 2 2" xfId="1702" xr:uid="{00000000-0005-0000-0000-0000A5060000}"/>
    <cellStyle name="60% - Colore 1 3" xfId="1703" xr:uid="{00000000-0005-0000-0000-0000A6060000}"/>
    <cellStyle name="60% - Colore 1 4" xfId="1704" xr:uid="{00000000-0005-0000-0000-0000A7060000}"/>
    <cellStyle name="60% - Colore 2" xfId="1705" xr:uid="{00000000-0005-0000-0000-0000A8060000}"/>
    <cellStyle name="60% - Colore 2 2" xfId="1706" xr:uid="{00000000-0005-0000-0000-0000A9060000}"/>
    <cellStyle name="60% - Colore 2 2 2" xfId="1707" xr:uid="{00000000-0005-0000-0000-0000AA060000}"/>
    <cellStyle name="60% - Colore 2 2 2 2" xfId="1708" xr:uid="{00000000-0005-0000-0000-0000AB060000}"/>
    <cellStyle name="60% - Colore 2 3" xfId="1709" xr:uid="{00000000-0005-0000-0000-0000AC060000}"/>
    <cellStyle name="60% - Colore 2 4" xfId="1710" xr:uid="{00000000-0005-0000-0000-0000AD060000}"/>
    <cellStyle name="60% - Colore 3" xfId="1711" xr:uid="{00000000-0005-0000-0000-0000AE060000}"/>
    <cellStyle name="60% - Colore 3 10" xfId="1712" xr:uid="{00000000-0005-0000-0000-0000AF060000}"/>
    <cellStyle name="60% - Colore 3 11" xfId="1713" xr:uid="{00000000-0005-0000-0000-0000B0060000}"/>
    <cellStyle name="60% - Colore 3 12" xfId="1714" xr:uid="{00000000-0005-0000-0000-0000B1060000}"/>
    <cellStyle name="60% - Colore 3 13" xfId="1715" xr:uid="{00000000-0005-0000-0000-0000B2060000}"/>
    <cellStyle name="60% - Colore 3 14" xfId="1716" xr:uid="{00000000-0005-0000-0000-0000B3060000}"/>
    <cellStyle name="60% - Colore 3 14 2" xfId="1717" xr:uid="{00000000-0005-0000-0000-0000B4060000}"/>
    <cellStyle name="60% - Colore 3 14 2 2" xfId="1718" xr:uid="{00000000-0005-0000-0000-0000B5060000}"/>
    <cellStyle name="60% - Colore 3 15" xfId="1719" xr:uid="{00000000-0005-0000-0000-0000B6060000}"/>
    <cellStyle name="60% - Colore 3 16" xfId="1720" xr:uid="{00000000-0005-0000-0000-0000B7060000}"/>
    <cellStyle name="60% - Colore 3 2" xfId="1721" xr:uid="{00000000-0005-0000-0000-0000B8060000}"/>
    <cellStyle name="60% - Colore 3 3" xfId="1722" xr:uid="{00000000-0005-0000-0000-0000B9060000}"/>
    <cellStyle name="60% - Colore 3 4" xfId="1723" xr:uid="{00000000-0005-0000-0000-0000BA060000}"/>
    <cellStyle name="60% - Colore 3 5" xfId="1724" xr:uid="{00000000-0005-0000-0000-0000BB060000}"/>
    <cellStyle name="60% - Colore 3 6" xfId="1725" xr:uid="{00000000-0005-0000-0000-0000BC060000}"/>
    <cellStyle name="60% - Colore 3 7" xfId="1726" xr:uid="{00000000-0005-0000-0000-0000BD060000}"/>
    <cellStyle name="60% - Colore 3 8" xfId="1727" xr:uid="{00000000-0005-0000-0000-0000BE060000}"/>
    <cellStyle name="60% - Colore 3 9" xfId="1728" xr:uid="{00000000-0005-0000-0000-0000BF060000}"/>
    <cellStyle name="60% - Colore 4" xfId="1729" xr:uid="{00000000-0005-0000-0000-0000C0060000}"/>
    <cellStyle name="60% - Colore 4 10" xfId="1730" xr:uid="{00000000-0005-0000-0000-0000C1060000}"/>
    <cellStyle name="60% - Colore 4 11" xfId="1731" xr:uid="{00000000-0005-0000-0000-0000C2060000}"/>
    <cellStyle name="60% - Colore 4 12" xfId="1732" xr:uid="{00000000-0005-0000-0000-0000C3060000}"/>
    <cellStyle name="60% - Colore 4 13" xfId="1733" xr:uid="{00000000-0005-0000-0000-0000C4060000}"/>
    <cellStyle name="60% - Colore 4 14" xfId="1734" xr:uid="{00000000-0005-0000-0000-0000C5060000}"/>
    <cellStyle name="60% - Colore 4 14 2" xfId="1735" xr:uid="{00000000-0005-0000-0000-0000C6060000}"/>
    <cellStyle name="60% - Colore 4 14 2 2" xfId="1736" xr:uid="{00000000-0005-0000-0000-0000C7060000}"/>
    <cellStyle name="60% - Colore 4 15" xfId="1737" xr:uid="{00000000-0005-0000-0000-0000C8060000}"/>
    <cellStyle name="60% - Colore 4 16" xfId="1738" xr:uid="{00000000-0005-0000-0000-0000C9060000}"/>
    <cellStyle name="60% - Colore 4 2" xfId="1739" xr:uid="{00000000-0005-0000-0000-0000CA060000}"/>
    <cellStyle name="60% - Colore 4 3" xfId="1740" xr:uid="{00000000-0005-0000-0000-0000CB060000}"/>
    <cellStyle name="60% - Colore 4 4" xfId="1741" xr:uid="{00000000-0005-0000-0000-0000CC060000}"/>
    <cellStyle name="60% - Colore 4 5" xfId="1742" xr:uid="{00000000-0005-0000-0000-0000CD060000}"/>
    <cellStyle name="60% - Colore 4 6" xfId="1743" xr:uid="{00000000-0005-0000-0000-0000CE060000}"/>
    <cellStyle name="60% - Colore 4 7" xfId="1744" xr:uid="{00000000-0005-0000-0000-0000CF060000}"/>
    <cellStyle name="60% - Colore 4 8" xfId="1745" xr:uid="{00000000-0005-0000-0000-0000D0060000}"/>
    <cellStyle name="60% - Colore 4 9" xfId="1746" xr:uid="{00000000-0005-0000-0000-0000D1060000}"/>
    <cellStyle name="60% - Colore 5" xfId="1747" xr:uid="{00000000-0005-0000-0000-0000D2060000}"/>
    <cellStyle name="60% - Colore 5 2" xfId="1748" xr:uid="{00000000-0005-0000-0000-0000D3060000}"/>
    <cellStyle name="60% - Colore 5 2 2" xfId="1749" xr:uid="{00000000-0005-0000-0000-0000D4060000}"/>
    <cellStyle name="60% - Colore 5 2 2 2" xfId="1750" xr:uid="{00000000-0005-0000-0000-0000D5060000}"/>
    <cellStyle name="60% - Colore 5 3" xfId="1751" xr:uid="{00000000-0005-0000-0000-0000D6060000}"/>
    <cellStyle name="60% - Colore 5 4" xfId="1752" xr:uid="{00000000-0005-0000-0000-0000D7060000}"/>
    <cellStyle name="60% - Colore 6" xfId="1753" xr:uid="{00000000-0005-0000-0000-0000D8060000}"/>
    <cellStyle name="60% - Colore 6 10" xfId="1754" xr:uid="{00000000-0005-0000-0000-0000D9060000}"/>
    <cellStyle name="60% - Colore 6 11" xfId="1755" xr:uid="{00000000-0005-0000-0000-0000DA060000}"/>
    <cellStyle name="60% - Colore 6 12" xfId="1756" xr:uid="{00000000-0005-0000-0000-0000DB060000}"/>
    <cellStyle name="60% - Colore 6 13" xfId="1757" xr:uid="{00000000-0005-0000-0000-0000DC060000}"/>
    <cellStyle name="60% - Colore 6 14" xfId="1758" xr:uid="{00000000-0005-0000-0000-0000DD060000}"/>
    <cellStyle name="60% - Colore 6 14 2" xfId="1759" xr:uid="{00000000-0005-0000-0000-0000DE060000}"/>
    <cellStyle name="60% - Colore 6 14 2 2" xfId="1760" xr:uid="{00000000-0005-0000-0000-0000DF060000}"/>
    <cellStyle name="60% - Colore 6 15" xfId="1761" xr:uid="{00000000-0005-0000-0000-0000E0060000}"/>
    <cellStyle name="60% - Colore 6 16" xfId="1762" xr:uid="{00000000-0005-0000-0000-0000E1060000}"/>
    <cellStyle name="60% - Colore 6 2" xfId="1763" xr:uid="{00000000-0005-0000-0000-0000E2060000}"/>
    <cellStyle name="60% - Colore 6 3" xfId="1764" xr:uid="{00000000-0005-0000-0000-0000E3060000}"/>
    <cellStyle name="60% - Colore 6 4" xfId="1765" xr:uid="{00000000-0005-0000-0000-0000E4060000}"/>
    <cellStyle name="60% - Colore 6 5" xfId="1766" xr:uid="{00000000-0005-0000-0000-0000E5060000}"/>
    <cellStyle name="60% - Colore 6 6" xfId="1767" xr:uid="{00000000-0005-0000-0000-0000E6060000}"/>
    <cellStyle name="60% - Colore 6 7" xfId="1768" xr:uid="{00000000-0005-0000-0000-0000E7060000}"/>
    <cellStyle name="60% - Colore 6 8" xfId="1769" xr:uid="{00000000-0005-0000-0000-0000E8060000}"/>
    <cellStyle name="60% - Colore 6 9" xfId="1770" xr:uid="{00000000-0005-0000-0000-0000E9060000}"/>
    <cellStyle name="Accent1 2" xfId="1771" xr:uid="{00000000-0005-0000-0000-0000EA060000}"/>
    <cellStyle name="Accent1 2 10" xfId="1772" xr:uid="{00000000-0005-0000-0000-0000EB060000}"/>
    <cellStyle name="Accent1 2 11" xfId="1773" xr:uid="{00000000-0005-0000-0000-0000EC060000}"/>
    <cellStyle name="Accent1 2 12" xfId="1774" xr:uid="{00000000-0005-0000-0000-0000ED060000}"/>
    <cellStyle name="Accent1 2 13" xfId="1775" xr:uid="{00000000-0005-0000-0000-0000EE060000}"/>
    <cellStyle name="Accent1 2 14" xfId="1776" xr:uid="{00000000-0005-0000-0000-0000EF060000}"/>
    <cellStyle name="Accent1 2 15" xfId="1777" xr:uid="{00000000-0005-0000-0000-0000F0060000}"/>
    <cellStyle name="Accent1 2 16" xfId="1778" xr:uid="{00000000-0005-0000-0000-0000F1060000}"/>
    <cellStyle name="Accent1 2 17" xfId="1779" xr:uid="{00000000-0005-0000-0000-0000F2060000}"/>
    <cellStyle name="Accent1 2 2" xfId="1780" xr:uid="{00000000-0005-0000-0000-0000F3060000}"/>
    <cellStyle name="Accent1 2 3" xfId="1781" xr:uid="{00000000-0005-0000-0000-0000F4060000}"/>
    <cellStyle name="Accent1 2 4" xfId="1782" xr:uid="{00000000-0005-0000-0000-0000F5060000}"/>
    <cellStyle name="Accent1 2 5" xfId="1783" xr:uid="{00000000-0005-0000-0000-0000F6060000}"/>
    <cellStyle name="Accent1 2 6" xfId="1784" xr:uid="{00000000-0005-0000-0000-0000F7060000}"/>
    <cellStyle name="Accent1 2 7" xfId="1785" xr:uid="{00000000-0005-0000-0000-0000F8060000}"/>
    <cellStyle name="Accent1 2 8" xfId="1786" xr:uid="{00000000-0005-0000-0000-0000F9060000}"/>
    <cellStyle name="Accent1 2 9" xfId="1787" xr:uid="{00000000-0005-0000-0000-0000FA060000}"/>
    <cellStyle name="Accent1 3 10" xfId="1788" xr:uid="{00000000-0005-0000-0000-0000FB060000}"/>
    <cellStyle name="Accent1 3 11" xfId="1789" xr:uid="{00000000-0005-0000-0000-0000FC060000}"/>
    <cellStyle name="Accent1 3 12" xfId="1790" xr:uid="{00000000-0005-0000-0000-0000FD060000}"/>
    <cellStyle name="Accent1 3 13" xfId="1791" xr:uid="{00000000-0005-0000-0000-0000FE060000}"/>
    <cellStyle name="Accent1 3 14" xfId="1792" xr:uid="{00000000-0005-0000-0000-0000FF060000}"/>
    <cellStyle name="Accent1 3 15" xfId="1793" xr:uid="{00000000-0005-0000-0000-000000070000}"/>
    <cellStyle name="Accent1 3 16" xfId="1794" xr:uid="{00000000-0005-0000-0000-000001070000}"/>
    <cellStyle name="Accent1 3 17" xfId="1795" xr:uid="{00000000-0005-0000-0000-000002070000}"/>
    <cellStyle name="Accent1 3 2" xfId="1796" xr:uid="{00000000-0005-0000-0000-000003070000}"/>
    <cellStyle name="Accent1 3 3" xfId="1797" xr:uid="{00000000-0005-0000-0000-000004070000}"/>
    <cellStyle name="Accent1 3 4" xfId="1798" xr:uid="{00000000-0005-0000-0000-000005070000}"/>
    <cellStyle name="Accent1 3 5" xfId="1799" xr:uid="{00000000-0005-0000-0000-000006070000}"/>
    <cellStyle name="Accent1 3 6" xfId="1800" xr:uid="{00000000-0005-0000-0000-000007070000}"/>
    <cellStyle name="Accent1 3 7" xfId="1801" xr:uid="{00000000-0005-0000-0000-000008070000}"/>
    <cellStyle name="Accent1 3 8" xfId="1802" xr:uid="{00000000-0005-0000-0000-000009070000}"/>
    <cellStyle name="Accent1 3 9" xfId="1803" xr:uid="{00000000-0005-0000-0000-00000A070000}"/>
    <cellStyle name="Accent2 2" xfId="1804" xr:uid="{00000000-0005-0000-0000-00000B070000}"/>
    <cellStyle name="Accent2 2 10" xfId="1805" xr:uid="{00000000-0005-0000-0000-00000C070000}"/>
    <cellStyle name="Accent2 2 11" xfId="1806" xr:uid="{00000000-0005-0000-0000-00000D070000}"/>
    <cellStyle name="Accent2 2 12" xfId="1807" xr:uid="{00000000-0005-0000-0000-00000E070000}"/>
    <cellStyle name="Accent2 2 13" xfId="1808" xr:uid="{00000000-0005-0000-0000-00000F070000}"/>
    <cellStyle name="Accent2 2 14" xfId="1809" xr:uid="{00000000-0005-0000-0000-000010070000}"/>
    <cellStyle name="Accent2 2 15" xfId="1810" xr:uid="{00000000-0005-0000-0000-000011070000}"/>
    <cellStyle name="Accent2 2 16" xfId="1811" xr:uid="{00000000-0005-0000-0000-000012070000}"/>
    <cellStyle name="Accent2 2 17" xfId="1812" xr:uid="{00000000-0005-0000-0000-000013070000}"/>
    <cellStyle name="Accent2 2 2" xfId="1813" xr:uid="{00000000-0005-0000-0000-000014070000}"/>
    <cellStyle name="Accent2 2 3" xfId="1814" xr:uid="{00000000-0005-0000-0000-000015070000}"/>
    <cellStyle name="Accent2 2 4" xfId="1815" xr:uid="{00000000-0005-0000-0000-000016070000}"/>
    <cellStyle name="Accent2 2 5" xfId="1816" xr:uid="{00000000-0005-0000-0000-000017070000}"/>
    <cellStyle name="Accent2 2 6" xfId="1817" xr:uid="{00000000-0005-0000-0000-000018070000}"/>
    <cellStyle name="Accent2 2 7" xfId="1818" xr:uid="{00000000-0005-0000-0000-000019070000}"/>
    <cellStyle name="Accent2 2 8" xfId="1819" xr:uid="{00000000-0005-0000-0000-00001A070000}"/>
    <cellStyle name="Accent2 2 9" xfId="1820" xr:uid="{00000000-0005-0000-0000-00001B070000}"/>
    <cellStyle name="Accent2 3 10" xfId="1821" xr:uid="{00000000-0005-0000-0000-00001C070000}"/>
    <cellStyle name="Accent2 3 11" xfId="1822" xr:uid="{00000000-0005-0000-0000-00001D070000}"/>
    <cellStyle name="Accent2 3 12" xfId="1823" xr:uid="{00000000-0005-0000-0000-00001E070000}"/>
    <cellStyle name="Accent2 3 13" xfId="1824" xr:uid="{00000000-0005-0000-0000-00001F070000}"/>
    <cellStyle name="Accent2 3 14" xfId="1825" xr:uid="{00000000-0005-0000-0000-000020070000}"/>
    <cellStyle name="Accent2 3 15" xfId="1826" xr:uid="{00000000-0005-0000-0000-000021070000}"/>
    <cellStyle name="Accent2 3 16" xfId="1827" xr:uid="{00000000-0005-0000-0000-000022070000}"/>
    <cellStyle name="Accent2 3 17" xfId="1828" xr:uid="{00000000-0005-0000-0000-000023070000}"/>
    <cellStyle name="Accent2 3 2" xfId="1829" xr:uid="{00000000-0005-0000-0000-000024070000}"/>
    <cellStyle name="Accent2 3 3" xfId="1830" xr:uid="{00000000-0005-0000-0000-000025070000}"/>
    <cellStyle name="Accent2 3 4" xfId="1831" xr:uid="{00000000-0005-0000-0000-000026070000}"/>
    <cellStyle name="Accent2 3 5" xfId="1832" xr:uid="{00000000-0005-0000-0000-000027070000}"/>
    <cellStyle name="Accent2 3 6" xfId="1833" xr:uid="{00000000-0005-0000-0000-000028070000}"/>
    <cellStyle name="Accent2 3 7" xfId="1834" xr:uid="{00000000-0005-0000-0000-000029070000}"/>
    <cellStyle name="Accent2 3 8" xfId="1835" xr:uid="{00000000-0005-0000-0000-00002A070000}"/>
    <cellStyle name="Accent2 3 9" xfId="1836" xr:uid="{00000000-0005-0000-0000-00002B070000}"/>
    <cellStyle name="Accent3 2" xfId="1837" xr:uid="{00000000-0005-0000-0000-00002C070000}"/>
    <cellStyle name="Accent3 2 10" xfId="1838" xr:uid="{00000000-0005-0000-0000-00002D070000}"/>
    <cellStyle name="Accent3 2 11" xfId="1839" xr:uid="{00000000-0005-0000-0000-00002E070000}"/>
    <cellStyle name="Accent3 2 12" xfId="1840" xr:uid="{00000000-0005-0000-0000-00002F070000}"/>
    <cellStyle name="Accent3 2 13" xfId="1841" xr:uid="{00000000-0005-0000-0000-000030070000}"/>
    <cellStyle name="Accent3 2 14" xfId="1842" xr:uid="{00000000-0005-0000-0000-000031070000}"/>
    <cellStyle name="Accent3 2 15" xfId="1843" xr:uid="{00000000-0005-0000-0000-000032070000}"/>
    <cellStyle name="Accent3 2 16" xfId="1844" xr:uid="{00000000-0005-0000-0000-000033070000}"/>
    <cellStyle name="Accent3 2 17" xfId="1845" xr:uid="{00000000-0005-0000-0000-000034070000}"/>
    <cellStyle name="Accent3 2 2" xfId="1846" xr:uid="{00000000-0005-0000-0000-000035070000}"/>
    <cellStyle name="Accent3 2 3" xfId="1847" xr:uid="{00000000-0005-0000-0000-000036070000}"/>
    <cellStyle name="Accent3 2 4" xfId="1848" xr:uid="{00000000-0005-0000-0000-000037070000}"/>
    <cellStyle name="Accent3 2 5" xfId="1849" xr:uid="{00000000-0005-0000-0000-000038070000}"/>
    <cellStyle name="Accent3 2 6" xfId="1850" xr:uid="{00000000-0005-0000-0000-000039070000}"/>
    <cellStyle name="Accent3 2 7" xfId="1851" xr:uid="{00000000-0005-0000-0000-00003A070000}"/>
    <cellStyle name="Accent3 2 8" xfId="1852" xr:uid="{00000000-0005-0000-0000-00003B070000}"/>
    <cellStyle name="Accent3 2 9" xfId="1853" xr:uid="{00000000-0005-0000-0000-00003C070000}"/>
    <cellStyle name="Accent3 3 10" xfId="1854" xr:uid="{00000000-0005-0000-0000-00003D070000}"/>
    <cellStyle name="Accent3 3 11" xfId="1855" xr:uid="{00000000-0005-0000-0000-00003E070000}"/>
    <cellStyle name="Accent3 3 12" xfId="1856" xr:uid="{00000000-0005-0000-0000-00003F070000}"/>
    <cellStyle name="Accent3 3 13" xfId="1857" xr:uid="{00000000-0005-0000-0000-000040070000}"/>
    <cellStyle name="Accent3 3 14" xfId="1858" xr:uid="{00000000-0005-0000-0000-000041070000}"/>
    <cellStyle name="Accent3 3 15" xfId="1859" xr:uid="{00000000-0005-0000-0000-000042070000}"/>
    <cellStyle name="Accent3 3 16" xfId="1860" xr:uid="{00000000-0005-0000-0000-000043070000}"/>
    <cellStyle name="Accent3 3 17" xfId="1861" xr:uid="{00000000-0005-0000-0000-000044070000}"/>
    <cellStyle name="Accent3 3 2" xfId="1862" xr:uid="{00000000-0005-0000-0000-000045070000}"/>
    <cellStyle name="Accent3 3 3" xfId="1863" xr:uid="{00000000-0005-0000-0000-000046070000}"/>
    <cellStyle name="Accent3 3 4" xfId="1864" xr:uid="{00000000-0005-0000-0000-000047070000}"/>
    <cellStyle name="Accent3 3 5" xfId="1865" xr:uid="{00000000-0005-0000-0000-000048070000}"/>
    <cellStyle name="Accent3 3 6" xfId="1866" xr:uid="{00000000-0005-0000-0000-000049070000}"/>
    <cellStyle name="Accent3 3 7" xfId="1867" xr:uid="{00000000-0005-0000-0000-00004A070000}"/>
    <cellStyle name="Accent3 3 8" xfId="1868" xr:uid="{00000000-0005-0000-0000-00004B070000}"/>
    <cellStyle name="Accent3 3 9" xfId="1869" xr:uid="{00000000-0005-0000-0000-00004C070000}"/>
    <cellStyle name="Accent4 2" xfId="1870" xr:uid="{00000000-0005-0000-0000-00004D070000}"/>
    <cellStyle name="Accent4 2 10" xfId="1871" xr:uid="{00000000-0005-0000-0000-00004E070000}"/>
    <cellStyle name="Accent4 2 11" xfId="1872" xr:uid="{00000000-0005-0000-0000-00004F070000}"/>
    <cellStyle name="Accent4 2 12" xfId="1873" xr:uid="{00000000-0005-0000-0000-000050070000}"/>
    <cellStyle name="Accent4 2 13" xfId="1874" xr:uid="{00000000-0005-0000-0000-000051070000}"/>
    <cellStyle name="Accent4 2 14" xfId="1875" xr:uid="{00000000-0005-0000-0000-000052070000}"/>
    <cellStyle name="Accent4 2 15" xfId="1876" xr:uid="{00000000-0005-0000-0000-000053070000}"/>
    <cellStyle name="Accent4 2 16" xfId="1877" xr:uid="{00000000-0005-0000-0000-000054070000}"/>
    <cellStyle name="Accent4 2 17" xfId="1878" xr:uid="{00000000-0005-0000-0000-000055070000}"/>
    <cellStyle name="Accent4 2 2" xfId="1879" xr:uid="{00000000-0005-0000-0000-000056070000}"/>
    <cellStyle name="Accent4 2 3" xfId="1880" xr:uid="{00000000-0005-0000-0000-000057070000}"/>
    <cellStyle name="Accent4 2 4" xfId="1881" xr:uid="{00000000-0005-0000-0000-000058070000}"/>
    <cellStyle name="Accent4 2 5" xfId="1882" xr:uid="{00000000-0005-0000-0000-000059070000}"/>
    <cellStyle name="Accent4 2 6" xfId="1883" xr:uid="{00000000-0005-0000-0000-00005A070000}"/>
    <cellStyle name="Accent4 2 7" xfId="1884" xr:uid="{00000000-0005-0000-0000-00005B070000}"/>
    <cellStyle name="Accent4 2 8" xfId="1885" xr:uid="{00000000-0005-0000-0000-00005C070000}"/>
    <cellStyle name="Accent4 2 9" xfId="1886" xr:uid="{00000000-0005-0000-0000-00005D070000}"/>
    <cellStyle name="Accent4 3 10" xfId="1887" xr:uid="{00000000-0005-0000-0000-00005E070000}"/>
    <cellStyle name="Accent4 3 11" xfId="1888" xr:uid="{00000000-0005-0000-0000-00005F070000}"/>
    <cellStyle name="Accent4 3 12" xfId="1889" xr:uid="{00000000-0005-0000-0000-000060070000}"/>
    <cellStyle name="Accent4 3 13" xfId="1890" xr:uid="{00000000-0005-0000-0000-000061070000}"/>
    <cellStyle name="Accent4 3 14" xfId="1891" xr:uid="{00000000-0005-0000-0000-000062070000}"/>
    <cellStyle name="Accent4 3 15" xfId="1892" xr:uid="{00000000-0005-0000-0000-000063070000}"/>
    <cellStyle name="Accent4 3 16" xfId="1893" xr:uid="{00000000-0005-0000-0000-000064070000}"/>
    <cellStyle name="Accent4 3 17" xfId="1894" xr:uid="{00000000-0005-0000-0000-000065070000}"/>
    <cellStyle name="Accent4 3 2" xfId="1895" xr:uid="{00000000-0005-0000-0000-000066070000}"/>
    <cellStyle name="Accent4 3 3" xfId="1896" xr:uid="{00000000-0005-0000-0000-000067070000}"/>
    <cellStyle name="Accent4 3 4" xfId="1897" xr:uid="{00000000-0005-0000-0000-000068070000}"/>
    <cellStyle name="Accent4 3 5" xfId="1898" xr:uid="{00000000-0005-0000-0000-000069070000}"/>
    <cellStyle name="Accent4 3 6" xfId="1899" xr:uid="{00000000-0005-0000-0000-00006A070000}"/>
    <cellStyle name="Accent4 3 7" xfId="1900" xr:uid="{00000000-0005-0000-0000-00006B070000}"/>
    <cellStyle name="Accent4 3 8" xfId="1901" xr:uid="{00000000-0005-0000-0000-00006C070000}"/>
    <cellStyle name="Accent4 3 9" xfId="1902" xr:uid="{00000000-0005-0000-0000-00006D070000}"/>
    <cellStyle name="Accent5 2" xfId="1903" xr:uid="{00000000-0005-0000-0000-00006E070000}"/>
    <cellStyle name="Accent5 2 10" xfId="1904" xr:uid="{00000000-0005-0000-0000-00006F070000}"/>
    <cellStyle name="Accent5 2 11" xfId="1905" xr:uid="{00000000-0005-0000-0000-000070070000}"/>
    <cellStyle name="Accent5 2 12" xfId="1906" xr:uid="{00000000-0005-0000-0000-000071070000}"/>
    <cellStyle name="Accent5 2 13" xfId="1907" xr:uid="{00000000-0005-0000-0000-000072070000}"/>
    <cellStyle name="Accent5 2 14" xfId="1908" xr:uid="{00000000-0005-0000-0000-000073070000}"/>
    <cellStyle name="Accent5 2 15" xfId="1909" xr:uid="{00000000-0005-0000-0000-000074070000}"/>
    <cellStyle name="Accent5 2 16" xfId="1910" xr:uid="{00000000-0005-0000-0000-000075070000}"/>
    <cellStyle name="Accent5 2 17" xfId="1911" xr:uid="{00000000-0005-0000-0000-000076070000}"/>
    <cellStyle name="Accent5 2 2" xfId="1912" xr:uid="{00000000-0005-0000-0000-000077070000}"/>
    <cellStyle name="Accent5 2 3" xfId="1913" xr:uid="{00000000-0005-0000-0000-000078070000}"/>
    <cellStyle name="Accent5 2 4" xfId="1914" xr:uid="{00000000-0005-0000-0000-000079070000}"/>
    <cellStyle name="Accent5 2 5" xfId="1915" xr:uid="{00000000-0005-0000-0000-00007A070000}"/>
    <cellStyle name="Accent5 2 6" xfId="1916" xr:uid="{00000000-0005-0000-0000-00007B070000}"/>
    <cellStyle name="Accent5 2 7" xfId="1917" xr:uid="{00000000-0005-0000-0000-00007C070000}"/>
    <cellStyle name="Accent5 2 8" xfId="1918" xr:uid="{00000000-0005-0000-0000-00007D070000}"/>
    <cellStyle name="Accent5 2 9" xfId="1919" xr:uid="{00000000-0005-0000-0000-00007E070000}"/>
    <cellStyle name="Accent5 3 10" xfId="1920" xr:uid="{00000000-0005-0000-0000-00007F070000}"/>
    <cellStyle name="Accent5 3 11" xfId="1921" xr:uid="{00000000-0005-0000-0000-000080070000}"/>
    <cellStyle name="Accent5 3 12" xfId="1922" xr:uid="{00000000-0005-0000-0000-000081070000}"/>
    <cellStyle name="Accent5 3 13" xfId="1923" xr:uid="{00000000-0005-0000-0000-000082070000}"/>
    <cellStyle name="Accent5 3 14" xfId="1924" xr:uid="{00000000-0005-0000-0000-000083070000}"/>
    <cellStyle name="Accent5 3 15" xfId="1925" xr:uid="{00000000-0005-0000-0000-000084070000}"/>
    <cellStyle name="Accent5 3 16" xfId="1926" xr:uid="{00000000-0005-0000-0000-000085070000}"/>
    <cellStyle name="Accent5 3 17" xfId="1927" xr:uid="{00000000-0005-0000-0000-000086070000}"/>
    <cellStyle name="Accent5 3 2" xfId="1928" xr:uid="{00000000-0005-0000-0000-000087070000}"/>
    <cellStyle name="Accent5 3 3" xfId="1929" xr:uid="{00000000-0005-0000-0000-000088070000}"/>
    <cellStyle name="Accent5 3 4" xfId="1930" xr:uid="{00000000-0005-0000-0000-000089070000}"/>
    <cellStyle name="Accent5 3 5" xfId="1931" xr:uid="{00000000-0005-0000-0000-00008A070000}"/>
    <cellStyle name="Accent5 3 6" xfId="1932" xr:uid="{00000000-0005-0000-0000-00008B070000}"/>
    <cellStyle name="Accent5 3 7" xfId="1933" xr:uid="{00000000-0005-0000-0000-00008C070000}"/>
    <cellStyle name="Accent5 3 8" xfId="1934" xr:uid="{00000000-0005-0000-0000-00008D070000}"/>
    <cellStyle name="Accent5 3 9" xfId="1935" xr:uid="{00000000-0005-0000-0000-00008E070000}"/>
    <cellStyle name="Accent6 2" xfId="1936" xr:uid="{00000000-0005-0000-0000-00008F070000}"/>
    <cellStyle name="Accent6 2 10" xfId="1937" xr:uid="{00000000-0005-0000-0000-000090070000}"/>
    <cellStyle name="Accent6 2 11" xfId="1938" xr:uid="{00000000-0005-0000-0000-000091070000}"/>
    <cellStyle name="Accent6 2 12" xfId="1939" xr:uid="{00000000-0005-0000-0000-000092070000}"/>
    <cellStyle name="Accent6 2 13" xfId="1940" xr:uid="{00000000-0005-0000-0000-000093070000}"/>
    <cellStyle name="Accent6 2 14" xfId="1941" xr:uid="{00000000-0005-0000-0000-000094070000}"/>
    <cellStyle name="Accent6 2 15" xfId="1942" xr:uid="{00000000-0005-0000-0000-000095070000}"/>
    <cellStyle name="Accent6 2 16" xfId="1943" xr:uid="{00000000-0005-0000-0000-000096070000}"/>
    <cellStyle name="Accent6 2 17" xfId="1944" xr:uid="{00000000-0005-0000-0000-000097070000}"/>
    <cellStyle name="Accent6 2 2" xfId="1945" xr:uid="{00000000-0005-0000-0000-000098070000}"/>
    <cellStyle name="Accent6 2 3" xfId="1946" xr:uid="{00000000-0005-0000-0000-000099070000}"/>
    <cellStyle name="Accent6 2 4" xfId="1947" xr:uid="{00000000-0005-0000-0000-00009A070000}"/>
    <cellStyle name="Accent6 2 5" xfId="1948" xr:uid="{00000000-0005-0000-0000-00009B070000}"/>
    <cellStyle name="Accent6 2 6" xfId="1949" xr:uid="{00000000-0005-0000-0000-00009C070000}"/>
    <cellStyle name="Accent6 2 7" xfId="1950" xr:uid="{00000000-0005-0000-0000-00009D070000}"/>
    <cellStyle name="Accent6 2 8" xfId="1951" xr:uid="{00000000-0005-0000-0000-00009E070000}"/>
    <cellStyle name="Accent6 2 9" xfId="1952" xr:uid="{00000000-0005-0000-0000-00009F070000}"/>
    <cellStyle name="Accent6 3 10" xfId="1953" xr:uid="{00000000-0005-0000-0000-0000A0070000}"/>
    <cellStyle name="Accent6 3 11" xfId="1954" xr:uid="{00000000-0005-0000-0000-0000A1070000}"/>
    <cellStyle name="Accent6 3 12" xfId="1955" xr:uid="{00000000-0005-0000-0000-0000A2070000}"/>
    <cellStyle name="Accent6 3 13" xfId="1956" xr:uid="{00000000-0005-0000-0000-0000A3070000}"/>
    <cellStyle name="Accent6 3 14" xfId="1957" xr:uid="{00000000-0005-0000-0000-0000A4070000}"/>
    <cellStyle name="Accent6 3 15" xfId="1958" xr:uid="{00000000-0005-0000-0000-0000A5070000}"/>
    <cellStyle name="Accent6 3 16" xfId="1959" xr:uid="{00000000-0005-0000-0000-0000A6070000}"/>
    <cellStyle name="Accent6 3 17" xfId="1960" xr:uid="{00000000-0005-0000-0000-0000A7070000}"/>
    <cellStyle name="Accent6 3 2" xfId="1961" xr:uid="{00000000-0005-0000-0000-0000A8070000}"/>
    <cellStyle name="Accent6 3 3" xfId="1962" xr:uid="{00000000-0005-0000-0000-0000A9070000}"/>
    <cellStyle name="Accent6 3 4" xfId="1963" xr:uid="{00000000-0005-0000-0000-0000AA070000}"/>
    <cellStyle name="Accent6 3 5" xfId="1964" xr:uid="{00000000-0005-0000-0000-0000AB070000}"/>
    <cellStyle name="Accent6 3 6" xfId="1965" xr:uid="{00000000-0005-0000-0000-0000AC070000}"/>
    <cellStyle name="Accent6 3 7" xfId="1966" xr:uid="{00000000-0005-0000-0000-0000AD070000}"/>
    <cellStyle name="Accent6 3 8" xfId="1967" xr:uid="{00000000-0005-0000-0000-0000AE070000}"/>
    <cellStyle name="Accent6 3 9" xfId="1968" xr:uid="{00000000-0005-0000-0000-0000AF070000}"/>
    <cellStyle name="Bad 2" xfId="1969" xr:uid="{00000000-0005-0000-0000-0000B0070000}"/>
    <cellStyle name="Bad 2 10" xfId="1970" xr:uid="{00000000-0005-0000-0000-0000B1070000}"/>
    <cellStyle name="Bad 2 11" xfId="1971" xr:uid="{00000000-0005-0000-0000-0000B2070000}"/>
    <cellStyle name="Bad 2 12" xfId="1972" xr:uid="{00000000-0005-0000-0000-0000B3070000}"/>
    <cellStyle name="Bad 2 13" xfId="1973" xr:uid="{00000000-0005-0000-0000-0000B4070000}"/>
    <cellStyle name="Bad 2 14" xfId="1974" xr:uid="{00000000-0005-0000-0000-0000B5070000}"/>
    <cellStyle name="Bad 2 15" xfId="1975" xr:uid="{00000000-0005-0000-0000-0000B6070000}"/>
    <cellStyle name="Bad 2 16" xfId="1976" xr:uid="{00000000-0005-0000-0000-0000B7070000}"/>
    <cellStyle name="Bad 2 17" xfId="1977" xr:uid="{00000000-0005-0000-0000-0000B8070000}"/>
    <cellStyle name="Bad 2 2" xfId="1978" xr:uid="{00000000-0005-0000-0000-0000B9070000}"/>
    <cellStyle name="Bad 2 3" xfId="1979" xr:uid="{00000000-0005-0000-0000-0000BA070000}"/>
    <cellStyle name="Bad 2 4" xfId="1980" xr:uid="{00000000-0005-0000-0000-0000BB070000}"/>
    <cellStyle name="Bad 2 5" xfId="1981" xr:uid="{00000000-0005-0000-0000-0000BC070000}"/>
    <cellStyle name="Bad 2 6" xfId="1982" xr:uid="{00000000-0005-0000-0000-0000BD070000}"/>
    <cellStyle name="Bad 2 7" xfId="1983" xr:uid="{00000000-0005-0000-0000-0000BE070000}"/>
    <cellStyle name="Bad 2 8" xfId="1984" xr:uid="{00000000-0005-0000-0000-0000BF070000}"/>
    <cellStyle name="Bad 2 9" xfId="1985" xr:uid="{00000000-0005-0000-0000-0000C0070000}"/>
    <cellStyle name="Bad 3 10" xfId="1986" xr:uid="{00000000-0005-0000-0000-0000C1070000}"/>
    <cellStyle name="Bad 3 11" xfId="1987" xr:uid="{00000000-0005-0000-0000-0000C2070000}"/>
    <cellStyle name="Bad 3 12" xfId="1988" xr:uid="{00000000-0005-0000-0000-0000C3070000}"/>
    <cellStyle name="Bad 3 13" xfId="1989" xr:uid="{00000000-0005-0000-0000-0000C4070000}"/>
    <cellStyle name="Bad 3 14" xfId="1990" xr:uid="{00000000-0005-0000-0000-0000C5070000}"/>
    <cellStyle name="Bad 3 15" xfId="1991" xr:uid="{00000000-0005-0000-0000-0000C6070000}"/>
    <cellStyle name="Bad 3 16" xfId="1992" xr:uid="{00000000-0005-0000-0000-0000C7070000}"/>
    <cellStyle name="Bad 3 17" xfId="1993" xr:uid="{00000000-0005-0000-0000-0000C8070000}"/>
    <cellStyle name="Bad 3 2" xfId="1994" xr:uid="{00000000-0005-0000-0000-0000C9070000}"/>
    <cellStyle name="Bad 3 3" xfId="1995" xr:uid="{00000000-0005-0000-0000-0000CA070000}"/>
    <cellStyle name="Bad 3 4" xfId="1996" xr:uid="{00000000-0005-0000-0000-0000CB070000}"/>
    <cellStyle name="Bad 3 5" xfId="1997" xr:uid="{00000000-0005-0000-0000-0000CC070000}"/>
    <cellStyle name="Bad 3 6" xfId="1998" xr:uid="{00000000-0005-0000-0000-0000CD070000}"/>
    <cellStyle name="Bad 3 7" xfId="1999" xr:uid="{00000000-0005-0000-0000-0000CE070000}"/>
    <cellStyle name="Bad 3 8" xfId="2000" xr:uid="{00000000-0005-0000-0000-0000CF070000}"/>
    <cellStyle name="Bad 3 9" xfId="2001" xr:uid="{00000000-0005-0000-0000-0000D0070000}"/>
    <cellStyle name="Calcolo" xfId="2002" xr:uid="{00000000-0005-0000-0000-0000D1070000}"/>
    <cellStyle name="Calcolo 2" xfId="2003" xr:uid="{00000000-0005-0000-0000-0000D2070000}"/>
    <cellStyle name="Calcolo 2 2" xfId="2004" xr:uid="{00000000-0005-0000-0000-0000D3070000}"/>
    <cellStyle name="Calcolo 2 2 2" xfId="2005" xr:uid="{00000000-0005-0000-0000-0000D4070000}"/>
    <cellStyle name="Calcolo 3" xfId="2006" xr:uid="{00000000-0005-0000-0000-0000D5070000}"/>
    <cellStyle name="Calcolo 4" xfId="2007" xr:uid="{00000000-0005-0000-0000-0000D6070000}"/>
    <cellStyle name="Calculation 2" xfId="2008" xr:uid="{00000000-0005-0000-0000-0000D7070000}"/>
    <cellStyle name="Calculation 2 10" xfId="2009" xr:uid="{00000000-0005-0000-0000-0000D8070000}"/>
    <cellStyle name="Calculation 2 11" xfId="2010" xr:uid="{00000000-0005-0000-0000-0000D9070000}"/>
    <cellStyle name="Calculation 2 12" xfId="2011" xr:uid="{00000000-0005-0000-0000-0000DA070000}"/>
    <cellStyle name="Calculation 2 13" xfId="2012" xr:uid="{00000000-0005-0000-0000-0000DB070000}"/>
    <cellStyle name="Calculation 2 14" xfId="2013" xr:uid="{00000000-0005-0000-0000-0000DC070000}"/>
    <cellStyle name="Calculation 2 15" xfId="2014" xr:uid="{00000000-0005-0000-0000-0000DD070000}"/>
    <cellStyle name="Calculation 2 16" xfId="2015" xr:uid="{00000000-0005-0000-0000-0000DE070000}"/>
    <cellStyle name="Calculation 2 17" xfId="2016" xr:uid="{00000000-0005-0000-0000-0000DF070000}"/>
    <cellStyle name="Calculation 2 2" xfId="2017" xr:uid="{00000000-0005-0000-0000-0000E0070000}"/>
    <cellStyle name="Calculation 2 3" xfId="2018" xr:uid="{00000000-0005-0000-0000-0000E1070000}"/>
    <cellStyle name="Calculation 2 4" xfId="2019" xr:uid="{00000000-0005-0000-0000-0000E2070000}"/>
    <cellStyle name="Calculation 2 5" xfId="2020" xr:uid="{00000000-0005-0000-0000-0000E3070000}"/>
    <cellStyle name="Calculation 2 6" xfId="2021" xr:uid="{00000000-0005-0000-0000-0000E4070000}"/>
    <cellStyle name="Calculation 2 7" xfId="2022" xr:uid="{00000000-0005-0000-0000-0000E5070000}"/>
    <cellStyle name="Calculation 2 8" xfId="2023" xr:uid="{00000000-0005-0000-0000-0000E6070000}"/>
    <cellStyle name="Calculation 2 9" xfId="2024" xr:uid="{00000000-0005-0000-0000-0000E7070000}"/>
    <cellStyle name="Calculation 3 10" xfId="2025" xr:uid="{00000000-0005-0000-0000-0000E8070000}"/>
    <cellStyle name="Calculation 3 11" xfId="2026" xr:uid="{00000000-0005-0000-0000-0000E9070000}"/>
    <cellStyle name="Calculation 3 12" xfId="2027" xr:uid="{00000000-0005-0000-0000-0000EA070000}"/>
    <cellStyle name="Calculation 3 13" xfId="2028" xr:uid="{00000000-0005-0000-0000-0000EB070000}"/>
    <cellStyle name="Calculation 3 14" xfId="2029" xr:uid="{00000000-0005-0000-0000-0000EC070000}"/>
    <cellStyle name="Calculation 3 15" xfId="2030" xr:uid="{00000000-0005-0000-0000-0000ED070000}"/>
    <cellStyle name="Calculation 3 16" xfId="2031" xr:uid="{00000000-0005-0000-0000-0000EE070000}"/>
    <cellStyle name="Calculation 3 17" xfId="2032" xr:uid="{00000000-0005-0000-0000-0000EF070000}"/>
    <cellStyle name="Calculation 3 2" xfId="2033" xr:uid="{00000000-0005-0000-0000-0000F0070000}"/>
    <cellStyle name="Calculation 3 3" xfId="2034" xr:uid="{00000000-0005-0000-0000-0000F1070000}"/>
    <cellStyle name="Calculation 3 4" xfId="2035" xr:uid="{00000000-0005-0000-0000-0000F2070000}"/>
    <cellStyle name="Calculation 3 5" xfId="2036" xr:uid="{00000000-0005-0000-0000-0000F3070000}"/>
    <cellStyle name="Calculation 3 6" xfId="2037" xr:uid="{00000000-0005-0000-0000-0000F4070000}"/>
    <cellStyle name="Calculation 3 7" xfId="2038" xr:uid="{00000000-0005-0000-0000-0000F5070000}"/>
    <cellStyle name="Calculation 3 8" xfId="2039" xr:uid="{00000000-0005-0000-0000-0000F6070000}"/>
    <cellStyle name="Calculation 3 9" xfId="2040" xr:uid="{00000000-0005-0000-0000-0000F7070000}"/>
    <cellStyle name="Cella collegata" xfId="2041" xr:uid="{00000000-0005-0000-0000-0000F8070000}"/>
    <cellStyle name="Cella collegata 2" xfId="2042" xr:uid="{00000000-0005-0000-0000-0000F9070000}"/>
    <cellStyle name="Cella collegata 2 2" xfId="2043" xr:uid="{00000000-0005-0000-0000-0000FA070000}"/>
    <cellStyle name="Cella collegata 2 2 2" xfId="2044" xr:uid="{00000000-0005-0000-0000-0000FB070000}"/>
    <cellStyle name="Cella collegata 3" xfId="2045" xr:uid="{00000000-0005-0000-0000-0000FC070000}"/>
    <cellStyle name="Cella collegata 4" xfId="2046" xr:uid="{00000000-0005-0000-0000-0000FD070000}"/>
    <cellStyle name="Cella da controllare" xfId="2047" xr:uid="{00000000-0005-0000-0000-0000FE070000}"/>
    <cellStyle name="Cella da controllare 2" xfId="2048" xr:uid="{00000000-0005-0000-0000-0000FF070000}"/>
    <cellStyle name="Cella da controllare 2 2" xfId="2049" xr:uid="{00000000-0005-0000-0000-000000080000}"/>
    <cellStyle name="Cella da controllare 2 2 2" xfId="2050" xr:uid="{00000000-0005-0000-0000-000001080000}"/>
    <cellStyle name="Cella da controllare 3" xfId="2051" xr:uid="{00000000-0005-0000-0000-000002080000}"/>
    <cellStyle name="Cella da controllare 4" xfId="2052" xr:uid="{00000000-0005-0000-0000-000003080000}"/>
    <cellStyle name="cf1" xfId="2053" xr:uid="{00000000-0005-0000-0000-000004080000}"/>
    <cellStyle name="Check Cell 2" xfId="2054" xr:uid="{00000000-0005-0000-0000-000005080000}"/>
    <cellStyle name="Check Cell 2 10" xfId="2055" xr:uid="{00000000-0005-0000-0000-000006080000}"/>
    <cellStyle name="Check Cell 2 11" xfId="2056" xr:uid="{00000000-0005-0000-0000-000007080000}"/>
    <cellStyle name="Check Cell 2 12" xfId="2057" xr:uid="{00000000-0005-0000-0000-000008080000}"/>
    <cellStyle name="Check Cell 2 13" xfId="2058" xr:uid="{00000000-0005-0000-0000-000009080000}"/>
    <cellStyle name="Check Cell 2 14" xfId="2059" xr:uid="{00000000-0005-0000-0000-00000A080000}"/>
    <cellStyle name="Check Cell 2 15" xfId="2060" xr:uid="{00000000-0005-0000-0000-00000B080000}"/>
    <cellStyle name="Check Cell 2 16" xfId="2061" xr:uid="{00000000-0005-0000-0000-00000C080000}"/>
    <cellStyle name="Check Cell 2 17" xfId="2062" xr:uid="{00000000-0005-0000-0000-00000D080000}"/>
    <cellStyle name="Check Cell 2 2" xfId="2063" xr:uid="{00000000-0005-0000-0000-00000E080000}"/>
    <cellStyle name="Check Cell 2 3" xfId="2064" xr:uid="{00000000-0005-0000-0000-00000F080000}"/>
    <cellStyle name="Check Cell 2 4" xfId="2065" xr:uid="{00000000-0005-0000-0000-000010080000}"/>
    <cellStyle name="Check Cell 2 5" xfId="2066" xr:uid="{00000000-0005-0000-0000-000011080000}"/>
    <cellStyle name="Check Cell 2 6" xfId="2067" xr:uid="{00000000-0005-0000-0000-000012080000}"/>
    <cellStyle name="Check Cell 2 7" xfId="2068" xr:uid="{00000000-0005-0000-0000-000013080000}"/>
    <cellStyle name="Check Cell 2 8" xfId="2069" xr:uid="{00000000-0005-0000-0000-000014080000}"/>
    <cellStyle name="Check Cell 2 9" xfId="2070" xr:uid="{00000000-0005-0000-0000-000015080000}"/>
    <cellStyle name="Check Cell 3 10" xfId="2071" xr:uid="{00000000-0005-0000-0000-000016080000}"/>
    <cellStyle name="Check Cell 3 11" xfId="2072" xr:uid="{00000000-0005-0000-0000-000017080000}"/>
    <cellStyle name="Check Cell 3 12" xfId="2073" xr:uid="{00000000-0005-0000-0000-000018080000}"/>
    <cellStyle name="Check Cell 3 13" xfId="2074" xr:uid="{00000000-0005-0000-0000-000019080000}"/>
    <cellStyle name="Check Cell 3 14" xfId="2075" xr:uid="{00000000-0005-0000-0000-00001A080000}"/>
    <cellStyle name="Check Cell 3 15" xfId="2076" xr:uid="{00000000-0005-0000-0000-00001B080000}"/>
    <cellStyle name="Check Cell 3 16" xfId="2077" xr:uid="{00000000-0005-0000-0000-00001C080000}"/>
    <cellStyle name="Check Cell 3 17" xfId="2078" xr:uid="{00000000-0005-0000-0000-00001D080000}"/>
    <cellStyle name="Check Cell 3 2" xfId="2079" xr:uid="{00000000-0005-0000-0000-00001E080000}"/>
    <cellStyle name="Check Cell 3 3" xfId="2080" xr:uid="{00000000-0005-0000-0000-00001F080000}"/>
    <cellStyle name="Check Cell 3 4" xfId="2081" xr:uid="{00000000-0005-0000-0000-000020080000}"/>
    <cellStyle name="Check Cell 3 5" xfId="2082" xr:uid="{00000000-0005-0000-0000-000021080000}"/>
    <cellStyle name="Check Cell 3 6" xfId="2083" xr:uid="{00000000-0005-0000-0000-000022080000}"/>
    <cellStyle name="Check Cell 3 7" xfId="2084" xr:uid="{00000000-0005-0000-0000-000023080000}"/>
    <cellStyle name="Check Cell 3 8" xfId="2085" xr:uid="{00000000-0005-0000-0000-000024080000}"/>
    <cellStyle name="Check Cell 3 9" xfId="2086" xr:uid="{00000000-0005-0000-0000-000025080000}"/>
    <cellStyle name="Colore 1" xfId="2087" xr:uid="{00000000-0005-0000-0000-000026080000}"/>
    <cellStyle name="Colore 1 2" xfId="2088" xr:uid="{00000000-0005-0000-0000-000027080000}"/>
    <cellStyle name="Colore 1 2 2" xfId="2089" xr:uid="{00000000-0005-0000-0000-000028080000}"/>
    <cellStyle name="Colore 1 2 2 2" xfId="2090" xr:uid="{00000000-0005-0000-0000-000029080000}"/>
    <cellStyle name="Colore 1 3" xfId="2091" xr:uid="{00000000-0005-0000-0000-00002A080000}"/>
    <cellStyle name="Colore 1 4" xfId="2092" xr:uid="{00000000-0005-0000-0000-00002B080000}"/>
    <cellStyle name="Colore 2" xfId="2093" xr:uid="{00000000-0005-0000-0000-00002C080000}"/>
    <cellStyle name="Colore 2 2" xfId="2094" xr:uid="{00000000-0005-0000-0000-00002D080000}"/>
    <cellStyle name="Colore 2 2 2" xfId="2095" xr:uid="{00000000-0005-0000-0000-00002E080000}"/>
    <cellStyle name="Colore 2 2 2 2" xfId="2096" xr:uid="{00000000-0005-0000-0000-00002F080000}"/>
    <cellStyle name="Colore 2 3" xfId="2097" xr:uid="{00000000-0005-0000-0000-000030080000}"/>
    <cellStyle name="Colore 2 4" xfId="2098" xr:uid="{00000000-0005-0000-0000-000031080000}"/>
    <cellStyle name="Colore 3" xfId="2099" xr:uid="{00000000-0005-0000-0000-000032080000}"/>
    <cellStyle name="Colore 3 2" xfId="2100" xr:uid="{00000000-0005-0000-0000-000033080000}"/>
    <cellStyle name="Colore 3 2 2" xfId="2101" xr:uid="{00000000-0005-0000-0000-000034080000}"/>
    <cellStyle name="Colore 3 2 2 2" xfId="2102" xr:uid="{00000000-0005-0000-0000-000035080000}"/>
    <cellStyle name="Colore 3 3" xfId="2103" xr:uid="{00000000-0005-0000-0000-000036080000}"/>
    <cellStyle name="Colore 3 4" xfId="2104" xr:uid="{00000000-0005-0000-0000-000037080000}"/>
    <cellStyle name="Colore 4" xfId="2105" xr:uid="{00000000-0005-0000-0000-000038080000}"/>
    <cellStyle name="Colore 4 2" xfId="2106" xr:uid="{00000000-0005-0000-0000-000039080000}"/>
    <cellStyle name="Colore 4 2 2" xfId="2107" xr:uid="{00000000-0005-0000-0000-00003A080000}"/>
    <cellStyle name="Colore 4 2 2 2" xfId="2108" xr:uid="{00000000-0005-0000-0000-00003B080000}"/>
    <cellStyle name="Colore 4 3" xfId="2109" xr:uid="{00000000-0005-0000-0000-00003C080000}"/>
    <cellStyle name="Colore 4 4" xfId="2110" xr:uid="{00000000-0005-0000-0000-00003D080000}"/>
    <cellStyle name="Colore 5" xfId="2111" xr:uid="{00000000-0005-0000-0000-00003E080000}"/>
    <cellStyle name="Colore 5 2" xfId="2112" xr:uid="{00000000-0005-0000-0000-00003F080000}"/>
    <cellStyle name="Colore 5 2 2" xfId="2113" xr:uid="{00000000-0005-0000-0000-000040080000}"/>
    <cellStyle name="Colore 5 2 2 2" xfId="2114" xr:uid="{00000000-0005-0000-0000-000041080000}"/>
    <cellStyle name="Colore 5 3" xfId="2115" xr:uid="{00000000-0005-0000-0000-000042080000}"/>
    <cellStyle name="Colore 5 4" xfId="2116" xr:uid="{00000000-0005-0000-0000-000043080000}"/>
    <cellStyle name="Colore 6" xfId="2117" xr:uid="{00000000-0005-0000-0000-000044080000}"/>
    <cellStyle name="Colore 6 2" xfId="2118" xr:uid="{00000000-0005-0000-0000-000045080000}"/>
    <cellStyle name="Colore 6 2 2" xfId="2119" xr:uid="{00000000-0005-0000-0000-000046080000}"/>
    <cellStyle name="Colore 6 2 2 2" xfId="2120" xr:uid="{00000000-0005-0000-0000-000047080000}"/>
    <cellStyle name="Colore 6 3" xfId="2121" xr:uid="{00000000-0005-0000-0000-000048080000}"/>
    <cellStyle name="Colore 6 4" xfId="2122" xr:uid="{00000000-0005-0000-0000-000049080000}"/>
    <cellStyle name="Comma" xfId="2123" builtinId="3"/>
    <cellStyle name="Comma 2" xfId="2124" xr:uid="{00000000-0005-0000-0000-00004B080000}"/>
    <cellStyle name="Comma 2 2" xfId="2125" xr:uid="{00000000-0005-0000-0000-00004C080000}"/>
    <cellStyle name="Comma 2 2 2" xfId="2126" xr:uid="{00000000-0005-0000-0000-00004D080000}"/>
    <cellStyle name="Comma 2 2 2 2" xfId="2127" xr:uid="{00000000-0005-0000-0000-00004E080000}"/>
    <cellStyle name="Comma 2 2 2 2 2" xfId="2128" xr:uid="{00000000-0005-0000-0000-00004F080000}"/>
    <cellStyle name="Comma 2 2 2 2 3" xfId="2129" xr:uid="{00000000-0005-0000-0000-000050080000}"/>
    <cellStyle name="Comma 2 2 2 2 4" xfId="2130" xr:uid="{00000000-0005-0000-0000-000051080000}"/>
    <cellStyle name="Comma 2 2 2 2 5" xfId="2131" xr:uid="{00000000-0005-0000-0000-000052080000}"/>
    <cellStyle name="Comma 2 2 2 3" xfId="2132" xr:uid="{00000000-0005-0000-0000-000053080000}"/>
    <cellStyle name="Comma 2 2 2 3 2" xfId="2133" xr:uid="{00000000-0005-0000-0000-000054080000}"/>
    <cellStyle name="Comma 2 2 2 3 2 2" xfId="2134" xr:uid="{00000000-0005-0000-0000-000055080000}"/>
    <cellStyle name="Comma 2 2 2 4" xfId="2135" xr:uid="{00000000-0005-0000-0000-000056080000}"/>
    <cellStyle name="Comma 2 2 2 4 2" xfId="2136" xr:uid="{00000000-0005-0000-0000-000057080000}"/>
    <cellStyle name="Comma 2 2 2 5" xfId="2137" xr:uid="{00000000-0005-0000-0000-000058080000}"/>
    <cellStyle name="Comma 2 2 3" xfId="2138" xr:uid="{00000000-0005-0000-0000-000059080000}"/>
    <cellStyle name="Comma 2 2 3 2" xfId="2139" xr:uid="{00000000-0005-0000-0000-00005A080000}"/>
    <cellStyle name="Comma 2 2 3 2 2" xfId="2140" xr:uid="{00000000-0005-0000-0000-00005B080000}"/>
    <cellStyle name="Comma 2 2 3 2 3" xfId="2141" xr:uid="{00000000-0005-0000-0000-00005C080000}"/>
    <cellStyle name="Comma 2 2 3 2 4" xfId="2142" xr:uid="{00000000-0005-0000-0000-00005D080000}"/>
    <cellStyle name="Comma 2 2 3 3" xfId="2143" xr:uid="{00000000-0005-0000-0000-00005E080000}"/>
    <cellStyle name="Comma 2 2 3 3 2" xfId="2144" xr:uid="{00000000-0005-0000-0000-00005F080000}"/>
    <cellStyle name="Comma 2 2 3 4" xfId="2145" xr:uid="{00000000-0005-0000-0000-000060080000}"/>
    <cellStyle name="Comma 2 2 3 5" xfId="2146" xr:uid="{00000000-0005-0000-0000-000061080000}"/>
    <cellStyle name="Comma 2 2 3 6" xfId="2147" xr:uid="{00000000-0005-0000-0000-000062080000}"/>
    <cellStyle name="Comma 2 2 4" xfId="2148" xr:uid="{00000000-0005-0000-0000-000063080000}"/>
    <cellStyle name="Comma 2 3" xfId="2149" xr:uid="{00000000-0005-0000-0000-000064080000}"/>
    <cellStyle name="Comma 2 3 2" xfId="2150" xr:uid="{00000000-0005-0000-0000-000065080000}"/>
    <cellStyle name="Comma 2 3 2 2" xfId="2151" xr:uid="{00000000-0005-0000-0000-000066080000}"/>
    <cellStyle name="Comma 2 3 2 2 2" xfId="2152" xr:uid="{00000000-0005-0000-0000-000067080000}"/>
    <cellStyle name="Comma 2 3 2 2 2 2" xfId="2153" xr:uid="{00000000-0005-0000-0000-000068080000}"/>
    <cellStyle name="Comma 2 3 2 2 2 3" xfId="2154" xr:uid="{00000000-0005-0000-0000-000069080000}"/>
    <cellStyle name="Comma 2 3 2 2 2 4" xfId="2155" xr:uid="{00000000-0005-0000-0000-00006A080000}"/>
    <cellStyle name="Comma 2 3 2 2 3" xfId="2156" xr:uid="{00000000-0005-0000-0000-00006B080000}"/>
    <cellStyle name="Comma 2 3 2 2 4" xfId="2157" xr:uid="{00000000-0005-0000-0000-00006C080000}"/>
    <cellStyle name="Comma 2 3 2 2 5" xfId="2158" xr:uid="{00000000-0005-0000-0000-00006D080000}"/>
    <cellStyle name="Comma 2 3 2 3" xfId="2159" xr:uid="{00000000-0005-0000-0000-00006E080000}"/>
    <cellStyle name="Comma 2 3 3" xfId="2160" xr:uid="{00000000-0005-0000-0000-00006F080000}"/>
    <cellStyle name="Comma 2 4" xfId="2161" xr:uid="{00000000-0005-0000-0000-000070080000}"/>
    <cellStyle name="Comma 2 4 2" xfId="2162" xr:uid="{00000000-0005-0000-0000-000071080000}"/>
    <cellStyle name="Comma 2 4 3" xfId="2163" xr:uid="{00000000-0005-0000-0000-000072080000}"/>
    <cellStyle name="Comma 2 4 3 2" xfId="2164" xr:uid="{00000000-0005-0000-0000-000073080000}"/>
    <cellStyle name="Comma 2 4 3 2 2" xfId="2165" xr:uid="{00000000-0005-0000-0000-000074080000}"/>
    <cellStyle name="Comma 2 4 4" xfId="2166" xr:uid="{00000000-0005-0000-0000-000075080000}"/>
    <cellStyle name="Comma 2 4 4 2" xfId="2167" xr:uid="{00000000-0005-0000-0000-000076080000}"/>
    <cellStyle name="Comma 2 4 5" xfId="2168" xr:uid="{00000000-0005-0000-0000-000077080000}"/>
    <cellStyle name="Comma 2 5" xfId="2169" xr:uid="{00000000-0005-0000-0000-000078080000}"/>
    <cellStyle name="Comma 2 5 2" xfId="2170" xr:uid="{00000000-0005-0000-0000-000079080000}"/>
    <cellStyle name="Comma 2 6" xfId="2171" xr:uid="{00000000-0005-0000-0000-00007A080000}"/>
    <cellStyle name="Comma 2 6 2" xfId="2172" xr:uid="{00000000-0005-0000-0000-00007B080000}"/>
    <cellStyle name="Comma 2 6 2 2" xfId="2173" xr:uid="{00000000-0005-0000-0000-00007C080000}"/>
    <cellStyle name="Comma 2 7" xfId="2174" xr:uid="{00000000-0005-0000-0000-00007D080000}"/>
    <cellStyle name="Comma 2 7 2" xfId="2175" xr:uid="{00000000-0005-0000-0000-00007E080000}"/>
    <cellStyle name="Comma 2 7 3" xfId="2176" xr:uid="{00000000-0005-0000-0000-00007F080000}"/>
    <cellStyle name="Comma 2 7 3 2" xfId="2177" xr:uid="{00000000-0005-0000-0000-000080080000}"/>
    <cellStyle name="Comma 2 7 4" xfId="2178" xr:uid="{00000000-0005-0000-0000-000081080000}"/>
    <cellStyle name="Comma 2 7 5" xfId="2179" xr:uid="{00000000-0005-0000-0000-000082080000}"/>
    <cellStyle name="Comma 2 7 6" xfId="2180" xr:uid="{00000000-0005-0000-0000-000083080000}"/>
    <cellStyle name="Comma 2 8" xfId="2181" xr:uid="{00000000-0005-0000-0000-000084080000}"/>
    <cellStyle name="Comma 3" xfId="2182" xr:uid="{00000000-0005-0000-0000-000085080000}"/>
    <cellStyle name="Comma 3 10" xfId="2183" xr:uid="{00000000-0005-0000-0000-000086080000}"/>
    <cellStyle name="Comma 3 2" xfId="2184" xr:uid="{00000000-0005-0000-0000-000087080000}"/>
    <cellStyle name="Comma 3 2 2" xfId="2185" xr:uid="{00000000-0005-0000-0000-000088080000}"/>
    <cellStyle name="Comma 3 2 2 2" xfId="2186" xr:uid="{00000000-0005-0000-0000-000089080000}"/>
    <cellStyle name="Comma 3 2 3" xfId="2187" xr:uid="{00000000-0005-0000-0000-00008A080000}"/>
    <cellStyle name="Comma 3 2 3 2" xfId="2188" xr:uid="{00000000-0005-0000-0000-00008B080000}"/>
    <cellStyle name="Comma 3 2 3 3" xfId="2189" xr:uid="{00000000-0005-0000-0000-00008C080000}"/>
    <cellStyle name="Comma 3 2 3 4" xfId="2190" xr:uid="{00000000-0005-0000-0000-00008D080000}"/>
    <cellStyle name="Comma 3 2 4" xfId="2191" xr:uid="{00000000-0005-0000-0000-00008E080000}"/>
    <cellStyle name="Comma 3 3" xfId="2192" xr:uid="{00000000-0005-0000-0000-00008F080000}"/>
    <cellStyle name="Comma 3 3 2" xfId="2193" xr:uid="{00000000-0005-0000-0000-000090080000}"/>
    <cellStyle name="Comma 3 3 2 2" xfId="2194" xr:uid="{00000000-0005-0000-0000-000091080000}"/>
    <cellStyle name="Comma 3 3 2 3" xfId="2195" xr:uid="{00000000-0005-0000-0000-000092080000}"/>
    <cellStyle name="Comma 3 3 2 4" xfId="2196" xr:uid="{00000000-0005-0000-0000-000093080000}"/>
    <cellStyle name="Comma 3 4" xfId="2197" xr:uid="{00000000-0005-0000-0000-000094080000}"/>
    <cellStyle name="Comma 3 4 2" xfId="2198" xr:uid="{00000000-0005-0000-0000-000095080000}"/>
    <cellStyle name="Comma 3 5" xfId="2199" xr:uid="{00000000-0005-0000-0000-000096080000}"/>
    <cellStyle name="Comma 3 5 2" xfId="2200" xr:uid="{00000000-0005-0000-0000-000097080000}"/>
    <cellStyle name="Comma 3 5 3" xfId="2201" xr:uid="{00000000-0005-0000-0000-000098080000}"/>
    <cellStyle name="Comma 3 5 4" xfId="2202" xr:uid="{00000000-0005-0000-0000-000099080000}"/>
    <cellStyle name="Comma 3 6" xfId="2203" xr:uid="{00000000-0005-0000-0000-00009A080000}"/>
    <cellStyle name="Comma 3 7" xfId="2204" xr:uid="{00000000-0005-0000-0000-00009B080000}"/>
    <cellStyle name="Comma 3 8" xfId="2205" xr:uid="{00000000-0005-0000-0000-00009C080000}"/>
    <cellStyle name="Comma 3 9" xfId="2206" xr:uid="{00000000-0005-0000-0000-00009D080000}"/>
    <cellStyle name="Comma 4" xfId="2207" xr:uid="{00000000-0005-0000-0000-00009E080000}"/>
    <cellStyle name="Comma 4 10" xfId="2208" xr:uid="{00000000-0005-0000-0000-00009F080000}"/>
    <cellStyle name="Comma 4 11" xfId="2209" xr:uid="{00000000-0005-0000-0000-0000A0080000}"/>
    <cellStyle name="Comma 4 2" xfId="2210" xr:uid="{00000000-0005-0000-0000-0000A1080000}"/>
    <cellStyle name="Comma 4 2 2" xfId="2211" xr:uid="{00000000-0005-0000-0000-0000A2080000}"/>
    <cellStyle name="Comma 4 2 2 2" xfId="2212" xr:uid="{00000000-0005-0000-0000-0000A3080000}"/>
    <cellStyle name="Comma 4 2 3" xfId="2213" xr:uid="{00000000-0005-0000-0000-0000A4080000}"/>
    <cellStyle name="Comma 4 2 4" xfId="2214" xr:uid="{00000000-0005-0000-0000-0000A5080000}"/>
    <cellStyle name="Comma 4 2 4 2" xfId="2215" xr:uid="{00000000-0005-0000-0000-0000A6080000}"/>
    <cellStyle name="Comma 4 2 4 2 2" xfId="2216" xr:uid="{00000000-0005-0000-0000-0000A7080000}"/>
    <cellStyle name="Comma 4 2 5" xfId="2217" xr:uid="{00000000-0005-0000-0000-0000A8080000}"/>
    <cellStyle name="Comma 4 2 5 2" xfId="2218" xr:uid="{00000000-0005-0000-0000-0000A9080000}"/>
    <cellStyle name="Comma 4 2 6" xfId="2219" xr:uid="{00000000-0005-0000-0000-0000AA080000}"/>
    <cellStyle name="Comma 4 3" xfId="2220" xr:uid="{00000000-0005-0000-0000-0000AB080000}"/>
    <cellStyle name="Comma 4 3 2" xfId="2221" xr:uid="{00000000-0005-0000-0000-0000AC080000}"/>
    <cellStyle name="Comma 4 3 3" xfId="2222" xr:uid="{00000000-0005-0000-0000-0000AD080000}"/>
    <cellStyle name="Comma 4 3 3 2" xfId="2223" xr:uid="{00000000-0005-0000-0000-0000AE080000}"/>
    <cellStyle name="Comma 4 3 3 2 2" xfId="2224" xr:uid="{00000000-0005-0000-0000-0000AF080000}"/>
    <cellStyle name="Comma 4 3 4" xfId="2225" xr:uid="{00000000-0005-0000-0000-0000B0080000}"/>
    <cellStyle name="Comma 4 3 4 2" xfId="2226" xr:uid="{00000000-0005-0000-0000-0000B1080000}"/>
    <cellStyle name="Comma 4 3 4 2 2" xfId="2227" xr:uid="{00000000-0005-0000-0000-0000B2080000}"/>
    <cellStyle name="Comma 4 3 5" xfId="2228" xr:uid="{00000000-0005-0000-0000-0000B3080000}"/>
    <cellStyle name="Comma 4 3 5 2" xfId="2229" xr:uid="{00000000-0005-0000-0000-0000B4080000}"/>
    <cellStyle name="Comma 4 3 5 3" xfId="2230" xr:uid="{00000000-0005-0000-0000-0000B5080000}"/>
    <cellStyle name="Comma 4 3 5 4" xfId="2231" xr:uid="{00000000-0005-0000-0000-0000B6080000}"/>
    <cellStyle name="Comma 4 3 6" xfId="2232" xr:uid="{00000000-0005-0000-0000-0000B7080000}"/>
    <cellStyle name="Comma 4 3 6 2" xfId="2233" xr:uid="{00000000-0005-0000-0000-0000B8080000}"/>
    <cellStyle name="Comma 4 3 7" xfId="2234" xr:uid="{00000000-0005-0000-0000-0000B9080000}"/>
    <cellStyle name="Comma 4 3 8" xfId="2235" xr:uid="{00000000-0005-0000-0000-0000BA080000}"/>
    <cellStyle name="Comma 4 3 9" xfId="2236" xr:uid="{00000000-0005-0000-0000-0000BB080000}"/>
    <cellStyle name="Comma 4 4" xfId="2237" xr:uid="{00000000-0005-0000-0000-0000BC080000}"/>
    <cellStyle name="Comma 4 5" xfId="2238" xr:uid="{00000000-0005-0000-0000-0000BD080000}"/>
    <cellStyle name="Comma 4 6" xfId="2239" xr:uid="{00000000-0005-0000-0000-0000BE080000}"/>
    <cellStyle name="Comma 4 6 2" xfId="2240" xr:uid="{00000000-0005-0000-0000-0000BF080000}"/>
    <cellStyle name="Comma 4 6 3" xfId="2241" xr:uid="{00000000-0005-0000-0000-0000C0080000}"/>
    <cellStyle name="Comma 4 6 4" xfId="2242" xr:uid="{00000000-0005-0000-0000-0000C1080000}"/>
    <cellStyle name="Comma 4 7" xfId="2243" xr:uid="{00000000-0005-0000-0000-0000C2080000}"/>
    <cellStyle name="Comma 4 8" xfId="2244" xr:uid="{00000000-0005-0000-0000-0000C3080000}"/>
    <cellStyle name="Comma 4 9" xfId="2245" xr:uid="{00000000-0005-0000-0000-0000C4080000}"/>
    <cellStyle name="Comma 5" xfId="2246" xr:uid="{00000000-0005-0000-0000-0000C5080000}"/>
    <cellStyle name="Comma 5 2" xfId="2247" xr:uid="{00000000-0005-0000-0000-0000C6080000}"/>
    <cellStyle name="Comma 5 3" xfId="2248" xr:uid="{00000000-0005-0000-0000-0000C7080000}"/>
    <cellStyle name="Comma 5 3 2" xfId="2249" xr:uid="{00000000-0005-0000-0000-0000C8080000}"/>
    <cellStyle name="Comma 5 3 2 2" xfId="2250" xr:uid="{00000000-0005-0000-0000-0000C9080000}"/>
    <cellStyle name="Comma 5 4" xfId="2251" xr:uid="{00000000-0005-0000-0000-0000CA080000}"/>
    <cellStyle name="Comma 5 4 2" xfId="2252" xr:uid="{00000000-0005-0000-0000-0000CB080000}"/>
    <cellStyle name="Comma 6" xfId="2253" xr:uid="{00000000-0005-0000-0000-0000CC080000}"/>
    <cellStyle name="Comma 7" xfId="2254" xr:uid="{00000000-0005-0000-0000-0000CD080000}"/>
    <cellStyle name="Comma 8" xfId="2255" xr:uid="{00000000-0005-0000-0000-0000CE080000}"/>
    <cellStyle name="Explanatory Text 2" xfId="2256" xr:uid="{00000000-0005-0000-0000-0000CF080000}"/>
    <cellStyle name="Explanatory Text 2 10" xfId="2257" xr:uid="{00000000-0005-0000-0000-0000D0080000}"/>
    <cellStyle name="Explanatory Text 2 11" xfId="2258" xr:uid="{00000000-0005-0000-0000-0000D1080000}"/>
    <cellStyle name="Explanatory Text 2 12" xfId="2259" xr:uid="{00000000-0005-0000-0000-0000D2080000}"/>
    <cellStyle name="Explanatory Text 2 13" xfId="2260" xr:uid="{00000000-0005-0000-0000-0000D3080000}"/>
    <cellStyle name="Explanatory Text 2 14" xfId="2261" xr:uid="{00000000-0005-0000-0000-0000D4080000}"/>
    <cellStyle name="Explanatory Text 2 15" xfId="2262" xr:uid="{00000000-0005-0000-0000-0000D5080000}"/>
    <cellStyle name="Explanatory Text 2 16" xfId="2263" xr:uid="{00000000-0005-0000-0000-0000D6080000}"/>
    <cellStyle name="Explanatory Text 2 17" xfId="2264" xr:uid="{00000000-0005-0000-0000-0000D7080000}"/>
    <cellStyle name="Explanatory Text 2 2" xfId="2265" xr:uid="{00000000-0005-0000-0000-0000D8080000}"/>
    <cellStyle name="Explanatory Text 2 3" xfId="2266" xr:uid="{00000000-0005-0000-0000-0000D9080000}"/>
    <cellStyle name="Explanatory Text 2 4" xfId="2267" xr:uid="{00000000-0005-0000-0000-0000DA080000}"/>
    <cellStyle name="Explanatory Text 2 5" xfId="2268" xr:uid="{00000000-0005-0000-0000-0000DB080000}"/>
    <cellStyle name="Explanatory Text 2 6" xfId="2269" xr:uid="{00000000-0005-0000-0000-0000DC080000}"/>
    <cellStyle name="Explanatory Text 2 7" xfId="2270" xr:uid="{00000000-0005-0000-0000-0000DD080000}"/>
    <cellStyle name="Explanatory Text 2 8" xfId="2271" xr:uid="{00000000-0005-0000-0000-0000DE080000}"/>
    <cellStyle name="Explanatory Text 2 9" xfId="2272" xr:uid="{00000000-0005-0000-0000-0000DF080000}"/>
    <cellStyle name="Explanatory Text 3 10" xfId="2273" xr:uid="{00000000-0005-0000-0000-0000E0080000}"/>
    <cellStyle name="Explanatory Text 3 11" xfId="2274" xr:uid="{00000000-0005-0000-0000-0000E1080000}"/>
    <cellStyle name="Explanatory Text 3 12" xfId="2275" xr:uid="{00000000-0005-0000-0000-0000E2080000}"/>
    <cellStyle name="Explanatory Text 3 13" xfId="2276" xr:uid="{00000000-0005-0000-0000-0000E3080000}"/>
    <cellStyle name="Explanatory Text 3 14" xfId="2277" xr:uid="{00000000-0005-0000-0000-0000E4080000}"/>
    <cellStyle name="Explanatory Text 3 15" xfId="2278" xr:uid="{00000000-0005-0000-0000-0000E5080000}"/>
    <cellStyle name="Explanatory Text 3 16" xfId="2279" xr:uid="{00000000-0005-0000-0000-0000E6080000}"/>
    <cellStyle name="Explanatory Text 3 17" xfId="2280" xr:uid="{00000000-0005-0000-0000-0000E7080000}"/>
    <cellStyle name="Explanatory Text 3 2" xfId="2281" xr:uid="{00000000-0005-0000-0000-0000E8080000}"/>
    <cellStyle name="Explanatory Text 3 3" xfId="2282" xr:uid="{00000000-0005-0000-0000-0000E9080000}"/>
    <cellStyle name="Explanatory Text 3 4" xfId="2283" xr:uid="{00000000-0005-0000-0000-0000EA080000}"/>
    <cellStyle name="Explanatory Text 3 5" xfId="2284" xr:uid="{00000000-0005-0000-0000-0000EB080000}"/>
    <cellStyle name="Explanatory Text 3 6" xfId="2285" xr:uid="{00000000-0005-0000-0000-0000EC080000}"/>
    <cellStyle name="Explanatory Text 3 7" xfId="2286" xr:uid="{00000000-0005-0000-0000-0000ED080000}"/>
    <cellStyle name="Explanatory Text 3 8" xfId="2287" xr:uid="{00000000-0005-0000-0000-0000EE080000}"/>
    <cellStyle name="Explanatory Text 3 9" xfId="2288" xr:uid="{00000000-0005-0000-0000-0000EF080000}"/>
    <cellStyle name="Good 2" xfId="2289" xr:uid="{00000000-0005-0000-0000-0000F0080000}"/>
    <cellStyle name="Good 2 10" xfId="2290" xr:uid="{00000000-0005-0000-0000-0000F1080000}"/>
    <cellStyle name="Good 2 11" xfId="2291" xr:uid="{00000000-0005-0000-0000-0000F2080000}"/>
    <cellStyle name="Good 2 12" xfId="2292" xr:uid="{00000000-0005-0000-0000-0000F3080000}"/>
    <cellStyle name="Good 2 13" xfId="2293" xr:uid="{00000000-0005-0000-0000-0000F4080000}"/>
    <cellStyle name="Good 2 14" xfId="2294" xr:uid="{00000000-0005-0000-0000-0000F5080000}"/>
    <cellStyle name="Good 2 15" xfId="2295" xr:uid="{00000000-0005-0000-0000-0000F6080000}"/>
    <cellStyle name="Good 2 16" xfId="2296" xr:uid="{00000000-0005-0000-0000-0000F7080000}"/>
    <cellStyle name="Good 2 17" xfId="2297" xr:uid="{00000000-0005-0000-0000-0000F8080000}"/>
    <cellStyle name="Good 2 2" xfId="2298" xr:uid="{00000000-0005-0000-0000-0000F9080000}"/>
    <cellStyle name="Good 2 3" xfId="2299" xr:uid="{00000000-0005-0000-0000-0000FA080000}"/>
    <cellStyle name="Good 2 4" xfId="2300" xr:uid="{00000000-0005-0000-0000-0000FB080000}"/>
    <cellStyle name="Good 2 5" xfId="2301" xr:uid="{00000000-0005-0000-0000-0000FC080000}"/>
    <cellStyle name="Good 2 6" xfId="2302" xr:uid="{00000000-0005-0000-0000-0000FD080000}"/>
    <cellStyle name="Good 2 7" xfId="2303" xr:uid="{00000000-0005-0000-0000-0000FE080000}"/>
    <cellStyle name="Good 2 8" xfId="2304" xr:uid="{00000000-0005-0000-0000-0000FF080000}"/>
    <cellStyle name="Good 2 9" xfId="2305" xr:uid="{00000000-0005-0000-0000-000000090000}"/>
    <cellStyle name="Good 3 10" xfId="2306" xr:uid="{00000000-0005-0000-0000-000001090000}"/>
    <cellStyle name="Good 3 11" xfId="2307" xr:uid="{00000000-0005-0000-0000-000002090000}"/>
    <cellStyle name="Good 3 12" xfId="2308" xr:uid="{00000000-0005-0000-0000-000003090000}"/>
    <cellStyle name="Good 3 13" xfId="2309" xr:uid="{00000000-0005-0000-0000-000004090000}"/>
    <cellStyle name="Good 3 14" xfId="2310" xr:uid="{00000000-0005-0000-0000-000005090000}"/>
    <cellStyle name="Good 3 15" xfId="2311" xr:uid="{00000000-0005-0000-0000-000006090000}"/>
    <cellStyle name="Good 3 16" xfId="2312" xr:uid="{00000000-0005-0000-0000-000007090000}"/>
    <cellStyle name="Good 3 17" xfId="2313" xr:uid="{00000000-0005-0000-0000-000008090000}"/>
    <cellStyle name="Good 3 2" xfId="2314" xr:uid="{00000000-0005-0000-0000-000009090000}"/>
    <cellStyle name="Good 3 3" xfId="2315" xr:uid="{00000000-0005-0000-0000-00000A090000}"/>
    <cellStyle name="Good 3 4" xfId="2316" xr:uid="{00000000-0005-0000-0000-00000B090000}"/>
    <cellStyle name="Good 3 5" xfId="2317" xr:uid="{00000000-0005-0000-0000-00000C090000}"/>
    <cellStyle name="Good 3 6" xfId="2318" xr:uid="{00000000-0005-0000-0000-00000D090000}"/>
    <cellStyle name="Good 3 7" xfId="2319" xr:uid="{00000000-0005-0000-0000-00000E090000}"/>
    <cellStyle name="Good 3 8" xfId="2320" xr:uid="{00000000-0005-0000-0000-00000F090000}"/>
    <cellStyle name="Good 3 9" xfId="2321" xr:uid="{00000000-0005-0000-0000-000010090000}"/>
    <cellStyle name="Heading 1 2" xfId="2322" xr:uid="{00000000-0005-0000-0000-000011090000}"/>
    <cellStyle name="Heading 1 2 10" xfId="2323" xr:uid="{00000000-0005-0000-0000-000012090000}"/>
    <cellStyle name="Heading 1 2 11" xfId="2324" xr:uid="{00000000-0005-0000-0000-000013090000}"/>
    <cellStyle name="Heading 1 2 12" xfId="2325" xr:uid="{00000000-0005-0000-0000-000014090000}"/>
    <cellStyle name="Heading 1 2 13" xfId="2326" xr:uid="{00000000-0005-0000-0000-000015090000}"/>
    <cellStyle name="Heading 1 2 14" xfId="2327" xr:uid="{00000000-0005-0000-0000-000016090000}"/>
    <cellStyle name="Heading 1 2 15" xfId="2328" xr:uid="{00000000-0005-0000-0000-000017090000}"/>
    <cellStyle name="Heading 1 2 16" xfId="2329" xr:uid="{00000000-0005-0000-0000-000018090000}"/>
    <cellStyle name="Heading 1 2 17" xfId="2330" xr:uid="{00000000-0005-0000-0000-000019090000}"/>
    <cellStyle name="Heading 1 2 18" xfId="2331" xr:uid="{00000000-0005-0000-0000-00001A090000}"/>
    <cellStyle name="Heading 1 2 2" xfId="2332" xr:uid="{00000000-0005-0000-0000-00001B090000}"/>
    <cellStyle name="Heading 1 2 2 2" xfId="2333" xr:uid="{00000000-0005-0000-0000-00001C090000}"/>
    <cellStyle name="Heading 1 2 3" xfId="2334" xr:uid="{00000000-0005-0000-0000-00001D090000}"/>
    <cellStyle name="Heading 1 2 4" xfId="2335" xr:uid="{00000000-0005-0000-0000-00001E090000}"/>
    <cellStyle name="Heading 1 2 5" xfId="2336" xr:uid="{00000000-0005-0000-0000-00001F090000}"/>
    <cellStyle name="Heading 1 2 6" xfId="2337" xr:uid="{00000000-0005-0000-0000-000020090000}"/>
    <cellStyle name="Heading 1 2 7" xfId="2338" xr:uid="{00000000-0005-0000-0000-000021090000}"/>
    <cellStyle name="Heading 1 2 8" xfId="2339" xr:uid="{00000000-0005-0000-0000-000022090000}"/>
    <cellStyle name="Heading 1 2 9" xfId="2340" xr:uid="{00000000-0005-0000-0000-000023090000}"/>
    <cellStyle name="Heading 1 3" xfId="2341" xr:uid="{00000000-0005-0000-0000-000024090000}"/>
    <cellStyle name="Heading 1 3 10" xfId="2342" xr:uid="{00000000-0005-0000-0000-000025090000}"/>
    <cellStyle name="Heading 1 3 11" xfId="2343" xr:uid="{00000000-0005-0000-0000-000026090000}"/>
    <cellStyle name="Heading 1 3 12" xfId="2344" xr:uid="{00000000-0005-0000-0000-000027090000}"/>
    <cellStyle name="Heading 1 3 13" xfId="2345" xr:uid="{00000000-0005-0000-0000-000028090000}"/>
    <cellStyle name="Heading 1 3 14" xfId="2346" xr:uid="{00000000-0005-0000-0000-000029090000}"/>
    <cellStyle name="Heading 1 3 15" xfId="2347" xr:uid="{00000000-0005-0000-0000-00002A090000}"/>
    <cellStyle name="Heading 1 3 16" xfId="2348" xr:uid="{00000000-0005-0000-0000-00002B090000}"/>
    <cellStyle name="Heading 1 3 17" xfId="2349" xr:uid="{00000000-0005-0000-0000-00002C090000}"/>
    <cellStyle name="Heading 1 3 2" xfId="2350" xr:uid="{00000000-0005-0000-0000-00002D090000}"/>
    <cellStyle name="Heading 1 3 3" xfId="2351" xr:uid="{00000000-0005-0000-0000-00002E090000}"/>
    <cellStyle name="Heading 1 3 4" xfId="2352" xr:uid="{00000000-0005-0000-0000-00002F090000}"/>
    <cellStyle name="Heading 1 3 5" xfId="2353" xr:uid="{00000000-0005-0000-0000-000030090000}"/>
    <cellStyle name="Heading 1 3 6" xfId="2354" xr:uid="{00000000-0005-0000-0000-000031090000}"/>
    <cellStyle name="Heading 1 3 7" xfId="2355" xr:uid="{00000000-0005-0000-0000-000032090000}"/>
    <cellStyle name="Heading 1 3 8" xfId="2356" xr:uid="{00000000-0005-0000-0000-000033090000}"/>
    <cellStyle name="Heading 1 3 9" xfId="2357" xr:uid="{00000000-0005-0000-0000-000034090000}"/>
    <cellStyle name="Heading 2 2" xfId="2358" xr:uid="{00000000-0005-0000-0000-000035090000}"/>
    <cellStyle name="Heading 2 2 10" xfId="2359" xr:uid="{00000000-0005-0000-0000-000036090000}"/>
    <cellStyle name="Heading 2 2 11" xfId="2360" xr:uid="{00000000-0005-0000-0000-000037090000}"/>
    <cellStyle name="Heading 2 2 12" xfId="2361" xr:uid="{00000000-0005-0000-0000-000038090000}"/>
    <cellStyle name="Heading 2 2 13" xfId="2362" xr:uid="{00000000-0005-0000-0000-000039090000}"/>
    <cellStyle name="Heading 2 2 14" xfId="2363" xr:uid="{00000000-0005-0000-0000-00003A090000}"/>
    <cellStyle name="Heading 2 2 15" xfId="2364" xr:uid="{00000000-0005-0000-0000-00003B090000}"/>
    <cellStyle name="Heading 2 2 16" xfId="2365" xr:uid="{00000000-0005-0000-0000-00003C090000}"/>
    <cellStyle name="Heading 2 2 17" xfId="2366" xr:uid="{00000000-0005-0000-0000-00003D090000}"/>
    <cellStyle name="Heading 2 2 2" xfId="2367" xr:uid="{00000000-0005-0000-0000-00003E090000}"/>
    <cellStyle name="Heading 2 2 3" xfId="2368" xr:uid="{00000000-0005-0000-0000-00003F090000}"/>
    <cellStyle name="Heading 2 2 4" xfId="2369" xr:uid="{00000000-0005-0000-0000-000040090000}"/>
    <cellStyle name="Heading 2 2 5" xfId="2370" xr:uid="{00000000-0005-0000-0000-000041090000}"/>
    <cellStyle name="Heading 2 2 6" xfId="2371" xr:uid="{00000000-0005-0000-0000-000042090000}"/>
    <cellStyle name="Heading 2 2 7" xfId="2372" xr:uid="{00000000-0005-0000-0000-000043090000}"/>
    <cellStyle name="Heading 2 2 8" xfId="2373" xr:uid="{00000000-0005-0000-0000-000044090000}"/>
    <cellStyle name="Heading 2 2 9" xfId="2374" xr:uid="{00000000-0005-0000-0000-000045090000}"/>
    <cellStyle name="Heading 2 3 10" xfId="2375" xr:uid="{00000000-0005-0000-0000-000046090000}"/>
    <cellStyle name="Heading 2 3 11" xfId="2376" xr:uid="{00000000-0005-0000-0000-000047090000}"/>
    <cellStyle name="Heading 2 3 12" xfId="2377" xr:uid="{00000000-0005-0000-0000-000048090000}"/>
    <cellStyle name="Heading 2 3 13" xfId="2378" xr:uid="{00000000-0005-0000-0000-000049090000}"/>
    <cellStyle name="Heading 2 3 14" xfId="2379" xr:uid="{00000000-0005-0000-0000-00004A090000}"/>
    <cellStyle name="Heading 2 3 15" xfId="2380" xr:uid="{00000000-0005-0000-0000-00004B090000}"/>
    <cellStyle name="Heading 2 3 16" xfId="2381" xr:uid="{00000000-0005-0000-0000-00004C090000}"/>
    <cellStyle name="Heading 2 3 17" xfId="2382" xr:uid="{00000000-0005-0000-0000-00004D090000}"/>
    <cellStyle name="Heading 2 3 2" xfId="2383" xr:uid="{00000000-0005-0000-0000-00004E090000}"/>
    <cellStyle name="Heading 2 3 3" xfId="2384" xr:uid="{00000000-0005-0000-0000-00004F090000}"/>
    <cellStyle name="Heading 2 3 4" xfId="2385" xr:uid="{00000000-0005-0000-0000-000050090000}"/>
    <cellStyle name="Heading 2 3 5" xfId="2386" xr:uid="{00000000-0005-0000-0000-000051090000}"/>
    <cellStyle name="Heading 2 3 6" xfId="2387" xr:uid="{00000000-0005-0000-0000-000052090000}"/>
    <cellStyle name="Heading 2 3 7" xfId="2388" xr:uid="{00000000-0005-0000-0000-000053090000}"/>
    <cellStyle name="Heading 2 3 8" xfId="2389" xr:uid="{00000000-0005-0000-0000-000054090000}"/>
    <cellStyle name="Heading 2 3 9" xfId="2390" xr:uid="{00000000-0005-0000-0000-000055090000}"/>
    <cellStyle name="Heading 3 2" xfId="2391" xr:uid="{00000000-0005-0000-0000-000056090000}"/>
    <cellStyle name="Heading 3 2 10" xfId="2392" xr:uid="{00000000-0005-0000-0000-000057090000}"/>
    <cellStyle name="Heading 3 2 11" xfId="2393" xr:uid="{00000000-0005-0000-0000-000058090000}"/>
    <cellStyle name="Heading 3 2 12" xfId="2394" xr:uid="{00000000-0005-0000-0000-000059090000}"/>
    <cellStyle name="Heading 3 2 13" xfId="2395" xr:uid="{00000000-0005-0000-0000-00005A090000}"/>
    <cellStyle name="Heading 3 2 14" xfId="2396" xr:uid="{00000000-0005-0000-0000-00005B090000}"/>
    <cellStyle name="Heading 3 2 15" xfId="2397" xr:uid="{00000000-0005-0000-0000-00005C090000}"/>
    <cellStyle name="Heading 3 2 16" xfId="2398" xr:uid="{00000000-0005-0000-0000-00005D090000}"/>
    <cellStyle name="Heading 3 2 17" xfId="2399" xr:uid="{00000000-0005-0000-0000-00005E090000}"/>
    <cellStyle name="Heading 3 2 2" xfId="2400" xr:uid="{00000000-0005-0000-0000-00005F090000}"/>
    <cellStyle name="Heading 3 2 3" xfId="2401" xr:uid="{00000000-0005-0000-0000-000060090000}"/>
    <cellStyle name="Heading 3 2 4" xfId="2402" xr:uid="{00000000-0005-0000-0000-000061090000}"/>
    <cellStyle name="Heading 3 2 5" xfId="2403" xr:uid="{00000000-0005-0000-0000-000062090000}"/>
    <cellStyle name="Heading 3 2 6" xfId="2404" xr:uid="{00000000-0005-0000-0000-000063090000}"/>
    <cellStyle name="Heading 3 2 7" xfId="2405" xr:uid="{00000000-0005-0000-0000-000064090000}"/>
    <cellStyle name="Heading 3 2 8" xfId="2406" xr:uid="{00000000-0005-0000-0000-000065090000}"/>
    <cellStyle name="Heading 3 2 9" xfId="2407" xr:uid="{00000000-0005-0000-0000-000066090000}"/>
    <cellStyle name="Heading 3 3 10" xfId="2408" xr:uid="{00000000-0005-0000-0000-000067090000}"/>
    <cellStyle name="Heading 3 3 11" xfId="2409" xr:uid="{00000000-0005-0000-0000-000068090000}"/>
    <cellStyle name="Heading 3 3 12" xfId="2410" xr:uid="{00000000-0005-0000-0000-000069090000}"/>
    <cellStyle name="Heading 3 3 13" xfId="2411" xr:uid="{00000000-0005-0000-0000-00006A090000}"/>
    <cellStyle name="Heading 3 3 14" xfId="2412" xr:uid="{00000000-0005-0000-0000-00006B090000}"/>
    <cellStyle name="Heading 3 3 15" xfId="2413" xr:uid="{00000000-0005-0000-0000-00006C090000}"/>
    <cellStyle name="Heading 3 3 16" xfId="2414" xr:uid="{00000000-0005-0000-0000-00006D090000}"/>
    <cellStyle name="Heading 3 3 17" xfId="2415" xr:uid="{00000000-0005-0000-0000-00006E090000}"/>
    <cellStyle name="Heading 3 3 2" xfId="2416" xr:uid="{00000000-0005-0000-0000-00006F090000}"/>
    <cellStyle name="Heading 3 3 3" xfId="2417" xr:uid="{00000000-0005-0000-0000-000070090000}"/>
    <cellStyle name="Heading 3 3 4" xfId="2418" xr:uid="{00000000-0005-0000-0000-000071090000}"/>
    <cellStyle name="Heading 3 3 5" xfId="2419" xr:uid="{00000000-0005-0000-0000-000072090000}"/>
    <cellStyle name="Heading 3 3 6" xfId="2420" xr:uid="{00000000-0005-0000-0000-000073090000}"/>
    <cellStyle name="Heading 3 3 7" xfId="2421" xr:uid="{00000000-0005-0000-0000-000074090000}"/>
    <cellStyle name="Heading 3 3 8" xfId="2422" xr:uid="{00000000-0005-0000-0000-000075090000}"/>
    <cellStyle name="Heading 3 3 9" xfId="2423" xr:uid="{00000000-0005-0000-0000-000076090000}"/>
    <cellStyle name="Heading 4 2" xfId="2424" xr:uid="{00000000-0005-0000-0000-000077090000}"/>
    <cellStyle name="Heading 4 2 10" xfId="2425" xr:uid="{00000000-0005-0000-0000-000078090000}"/>
    <cellStyle name="Heading 4 2 11" xfId="2426" xr:uid="{00000000-0005-0000-0000-000079090000}"/>
    <cellStyle name="Heading 4 2 12" xfId="2427" xr:uid="{00000000-0005-0000-0000-00007A090000}"/>
    <cellStyle name="Heading 4 2 13" xfId="2428" xr:uid="{00000000-0005-0000-0000-00007B090000}"/>
    <cellStyle name="Heading 4 2 14" xfId="2429" xr:uid="{00000000-0005-0000-0000-00007C090000}"/>
    <cellStyle name="Heading 4 2 15" xfId="2430" xr:uid="{00000000-0005-0000-0000-00007D090000}"/>
    <cellStyle name="Heading 4 2 16" xfId="2431" xr:uid="{00000000-0005-0000-0000-00007E090000}"/>
    <cellStyle name="Heading 4 2 17" xfId="2432" xr:uid="{00000000-0005-0000-0000-00007F090000}"/>
    <cellStyle name="Heading 4 2 2" xfId="2433" xr:uid="{00000000-0005-0000-0000-000080090000}"/>
    <cellStyle name="Heading 4 2 3" xfId="2434" xr:uid="{00000000-0005-0000-0000-000081090000}"/>
    <cellStyle name="Heading 4 2 4" xfId="2435" xr:uid="{00000000-0005-0000-0000-000082090000}"/>
    <cellStyle name="Heading 4 2 5" xfId="2436" xr:uid="{00000000-0005-0000-0000-000083090000}"/>
    <cellStyle name="Heading 4 2 6" xfId="2437" xr:uid="{00000000-0005-0000-0000-000084090000}"/>
    <cellStyle name="Heading 4 2 7" xfId="2438" xr:uid="{00000000-0005-0000-0000-000085090000}"/>
    <cellStyle name="Heading 4 2 8" xfId="2439" xr:uid="{00000000-0005-0000-0000-000086090000}"/>
    <cellStyle name="Heading 4 2 9" xfId="2440" xr:uid="{00000000-0005-0000-0000-000087090000}"/>
    <cellStyle name="Heading 4 3 10" xfId="2441" xr:uid="{00000000-0005-0000-0000-000088090000}"/>
    <cellStyle name="Heading 4 3 11" xfId="2442" xr:uid="{00000000-0005-0000-0000-000089090000}"/>
    <cellStyle name="Heading 4 3 12" xfId="2443" xr:uid="{00000000-0005-0000-0000-00008A090000}"/>
    <cellStyle name="Heading 4 3 13" xfId="2444" xr:uid="{00000000-0005-0000-0000-00008B090000}"/>
    <cellStyle name="Heading 4 3 14" xfId="2445" xr:uid="{00000000-0005-0000-0000-00008C090000}"/>
    <cellStyle name="Heading 4 3 15" xfId="2446" xr:uid="{00000000-0005-0000-0000-00008D090000}"/>
    <cellStyle name="Heading 4 3 16" xfId="2447" xr:uid="{00000000-0005-0000-0000-00008E090000}"/>
    <cellStyle name="Heading 4 3 17" xfId="2448" xr:uid="{00000000-0005-0000-0000-00008F090000}"/>
    <cellStyle name="Heading 4 3 2" xfId="2449" xr:uid="{00000000-0005-0000-0000-000090090000}"/>
    <cellStyle name="Heading 4 3 3" xfId="2450" xr:uid="{00000000-0005-0000-0000-000091090000}"/>
    <cellStyle name="Heading 4 3 4" xfId="2451" xr:uid="{00000000-0005-0000-0000-000092090000}"/>
    <cellStyle name="Heading 4 3 5" xfId="2452" xr:uid="{00000000-0005-0000-0000-000093090000}"/>
    <cellStyle name="Heading 4 3 6" xfId="2453" xr:uid="{00000000-0005-0000-0000-000094090000}"/>
    <cellStyle name="Heading 4 3 7" xfId="2454" xr:uid="{00000000-0005-0000-0000-000095090000}"/>
    <cellStyle name="Heading 4 3 8" xfId="2455" xr:uid="{00000000-0005-0000-0000-000096090000}"/>
    <cellStyle name="Heading 4 3 9" xfId="2456" xr:uid="{00000000-0005-0000-0000-000097090000}"/>
    <cellStyle name="Hyperlink" xfId="2457" builtinId="8"/>
    <cellStyle name="Hyperlink 2" xfId="2458" xr:uid="{00000000-0005-0000-0000-000099090000}"/>
    <cellStyle name="Hyperlink 2 2" xfId="2459" xr:uid="{00000000-0005-0000-0000-00009A090000}"/>
    <cellStyle name="Hyperlink 3" xfId="2460" xr:uid="{00000000-0005-0000-0000-00009B090000}"/>
    <cellStyle name="Hyperlink 4" xfId="2461" xr:uid="{00000000-0005-0000-0000-00009C090000}"/>
    <cellStyle name="Input 2" xfId="2462" xr:uid="{00000000-0005-0000-0000-00009D090000}"/>
    <cellStyle name="Input 2 10" xfId="2463" xr:uid="{00000000-0005-0000-0000-00009E090000}"/>
    <cellStyle name="Input 2 11" xfId="2464" xr:uid="{00000000-0005-0000-0000-00009F090000}"/>
    <cellStyle name="Input 2 12" xfId="2465" xr:uid="{00000000-0005-0000-0000-0000A0090000}"/>
    <cellStyle name="Input 2 13" xfId="2466" xr:uid="{00000000-0005-0000-0000-0000A1090000}"/>
    <cellStyle name="Input 2 14" xfId="2467" xr:uid="{00000000-0005-0000-0000-0000A2090000}"/>
    <cellStyle name="Input 2 15" xfId="2468" xr:uid="{00000000-0005-0000-0000-0000A3090000}"/>
    <cellStyle name="Input 2 16" xfId="2469" xr:uid="{00000000-0005-0000-0000-0000A4090000}"/>
    <cellStyle name="Input 2 17" xfId="2470" xr:uid="{00000000-0005-0000-0000-0000A5090000}"/>
    <cellStyle name="Input 2 18" xfId="2471" xr:uid="{00000000-0005-0000-0000-0000A6090000}"/>
    <cellStyle name="Input 2 19" xfId="2472" xr:uid="{00000000-0005-0000-0000-0000A7090000}"/>
    <cellStyle name="Input 2 2" xfId="2473" xr:uid="{00000000-0005-0000-0000-0000A8090000}"/>
    <cellStyle name="Input 2 20" xfId="2474" xr:uid="{00000000-0005-0000-0000-0000A9090000}"/>
    <cellStyle name="Input 2 3" xfId="2475" xr:uid="{00000000-0005-0000-0000-0000AA090000}"/>
    <cellStyle name="Input 2 4" xfId="2476" xr:uid="{00000000-0005-0000-0000-0000AB090000}"/>
    <cellStyle name="Input 2 5" xfId="2477" xr:uid="{00000000-0005-0000-0000-0000AC090000}"/>
    <cellStyle name="Input 2 6" xfId="2478" xr:uid="{00000000-0005-0000-0000-0000AD090000}"/>
    <cellStyle name="Input 2 7" xfId="2479" xr:uid="{00000000-0005-0000-0000-0000AE090000}"/>
    <cellStyle name="Input 2 8" xfId="2480" xr:uid="{00000000-0005-0000-0000-0000AF090000}"/>
    <cellStyle name="Input 2 9" xfId="2481" xr:uid="{00000000-0005-0000-0000-0000B0090000}"/>
    <cellStyle name="Input 3" xfId="2482" xr:uid="{00000000-0005-0000-0000-0000B1090000}"/>
    <cellStyle name="Input 3 10" xfId="2483" xr:uid="{00000000-0005-0000-0000-0000B2090000}"/>
    <cellStyle name="Input 3 11" xfId="2484" xr:uid="{00000000-0005-0000-0000-0000B3090000}"/>
    <cellStyle name="Input 3 12" xfId="2485" xr:uid="{00000000-0005-0000-0000-0000B4090000}"/>
    <cellStyle name="Input 3 13" xfId="2486" xr:uid="{00000000-0005-0000-0000-0000B5090000}"/>
    <cellStyle name="Input 3 14" xfId="2487" xr:uid="{00000000-0005-0000-0000-0000B6090000}"/>
    <cellStyle name="Input 3 15" xfId="2488" xr:uid="{00000000-0005-0000-0000-0000B7090000}"/>
    <cellStyle name="Input 3 16" xfId="2489" xr:uid="{00000000-0005-0000-0000-0000B8090000}"/>
    <cellStyle name="Input 3 17" xfId="2490" xr:uid="{00000000-0005-0000-0000-0000B9090000}"/>
    <cellStyle name="Input 3 2" xfId="2491" xr:uid="{00000000-0005-0000-0000-0000BA090000}"/>
    <cellStyle name="Input 3 3" xfId="2492" xr:uid="{00000000-0005-0000-0000-0000BB090000}"/>
    <cellStyle name="Input 3 4" xfId="2493" xr:uid="{00000000-0005-0000-0000-0000BC090000}"/>
    <cellStyle name="Input 3 5" xfId="2494" xr:uid="{00000000-0005-0000-0000-0000BD090000}"/>
    <cellStyle name="Input 3 6" xfId="2495" xr:uid="{00000000-0005-0000-0000-0000BE090000}"/>
    <cellStyle name="Input 3 7" xfId="2496" xr:uid="{00000000-0005-0000-0000-0000BF090000}"/>
    <cellStyle name="Input 3 8" xfId="2497" xr:uid="{00000000-0005-0000-0000-0000C0090000}"/>
    <cellStyle name="Input 3 9" xfId="2498" xr:uid="{00000000-0005-0000-0000-0000C1090000}"/>
    <cellStyle name="Input 4" xfId="2499" xr:uid="{00000000-0005-0000-0000-0000C2090000}"/>
    <cellStyle name="Linked Cell 2" xfId="2500" xr:uid="{00000000-0005-0000-0000-0000C3090000}"/>
    <cellStyle name="Linked Cell 2 10" xfId="2501" xr:uid="{00000000-0005-0000-0000-0000C4090000}"/>
    <cellStyle name="Linked Cell 2 11" xfId="2502" xr:uid="{00000000-0005-0000-0000-0000C5090000}"/>
    <cellStyle name="Linked Cell 2 12" xfId="2503" xr:uid="{00000000-0005-0000-0000-0000C6090000}"/>
    <cellStyle name="Linked Cell 2 13" xfId="2504" xr:uid="{00000000-0005-0000-0000-0000C7090000}"/>
    <cellStyle name="Linked Cell 2 14" xfId="2505" xr:uid="{00000000-0005-0000-0000-0000C8090000}"/>
    <cellStyle name="Linked Cell 2 15" xfId="2506" xr:uid="{00000000-0005-0000-0000-0000C9090000}"/>
    <cellStyle name="Linked Cell 2 16" xfId="2507" xr:uid="{00000000-0005-0000-0000-0000CA090000}"/>
    <cellStyle name="Linked Cell 2 17" xfId="2508" xr:uid="{00000000-0005-0000-0000-0000CB090000}"/>
    <cellStyle name="Linked Cell 2 2" xfId="2509" xr:uid="{00000000-0005-0000-0000-0000CC090000}"/>
    <cellStyle name="Linked Cell 2 3" xfId="2510" xr:uid="{00000000-0005-0000-0000-0000CD090000}"/>
    <cellStyle name="Linked Cell 2 4" xfId="2511" xr:uid="{00000000-0005-0000-0000-0000CE090000}"/>
    <cellStyle name="Linked Cell 2 5" xfId="2512" xr:uid="{00000000-0005-0000-0000-0000CF090000}"/>
    <cellStyle name="Linked Cell 2 6" xfId="2513" xr:uid="{00000000-0005-0000-0000-0000D0090000}"/>
    <cellStyle name="Linked Cell 2 7" xfId="2514" xr:uid="{00000000-0005-0000-0000-0000D1090000}"/>
    <cellStyle name="Linked Cell 2 8" xfId="2515" xr:uid="{00000000-0005-0000-0000-0000D2090000}"/>
    <cellStyle name="Linked Cell 2 9" xfId="2516" xr:uid="{00000000-0005-0000-0000-0000D3090000}"/>
    <cellStyle name="Linked Cell 3 10" xfId="2517" xr:uid="{00000000-0005-0000-0000-0000D4090000}"/>
    <cellStyle name="Linked Cell 3 11" xfId="2518" xr:uid="{00000000-0005-0000-0000-0000D5090000}"/>
    <cellStyle name="Linked Cell 3 12" xfId="2519" xr:uid="{00000000-0005-0000-0000-0000D6090000}"/>
    <cellStyle name="Linked Cell 3 13" xfId="2520" xr:uid="{00000000-0005-0000-0000-0000D7090000}"/>
    <cellStyle name="Linked Cell 3 14" xfId="2521" xr:uid="{00000000-0005-0000-0000-0000D8090000}"/>
    <cellStyle name="Linked Cell 3 15" xfId="2522" xr:uid="{00000000-0005-0000-0000-0000D9090000}"/>
    <cellStyle name="Linked Cell 3 16" xfId="2523" xr:uid="{00000000-0005-0000-0000-0000DA090000}"/>
    <cellStyle name="Linked Cell 3 17" xfId="2524" xr:uid="{00000000-0005-0000-0000-0000DB090000}"/>
    <cellStyle name="Linked Cell 3 2" xfId="2525" xr:uid="{00000000-0005-0000-0000-0000DC090000}"/>
    <cellStyle name="Linked Cell 3 3" xfId="2526" xr:uid="{00000000-0005-0000-0000-0000DD090000}"/>
    <cellStyle name="Linked Cell 3 4" xfId="2527" xr:uid="{00000000-0005-0000-0000-0000DE090000}"/>
    <cellStyle name="Linked Cell 3 5" xfId="2528" xr:uid="{00000000-0005-0000-0000-0000DF090000}"/>
    <cellStyle name="Linked Cell 3 6" xfId="2529" xr:uid="{00000000-0005-0000-0000-0000E0090000}"/>
    <cellStyle name="Linked Cell 3 7" xfId="2530" xr:uid="{00000000-0005-0000-0000-0000E1090000}"/>
    <cellStyle name="Linked Cell 3 8" xfId="2531" xr:uid="{00000000-0005-0000-0000-0000E2090000}"/>
    <cellStyle name="Linked Cell 3 9" xfId="2532" xr:uid="{00000000-0005-0000-0000-0000E3090000}"/>
    <cellStyle name="Migliaia 2" xfId="2533" xr:uid="{00000000-0005-0000-0000-0000E4090000}"/>
    <cellStyle name="Migliaia 2 2" xfId="2534" xr:uid="{00000000-0005-0000-0000-0000E5090000}"/>
    <cellStyle name="Migliaia 2 3" xfId="2535" xr:uid="{00000000-0005-0000-0000-0000E6090000}"/>
    <cellStyle name="Migliaia 2 4" xfId="2536" xr:uid="{00000000-0005-0000-0000-0000E7090000}"/>
    <cellStyle name="Migliaia 2 5" xfId="2537" xr:uid="{00000000-0005-0000-0000-0000E8090000}"/>
    <cellStyle name="Migliaia 2 6" xfId="2538" xr:uid="{00000000-0005-0000-0000-0000E9090000}"/>
    <cellStyle name="Migliaia 3" xfId="2539" xr:uid="{00000000-0005-0000-0000-0000EA090000}"/>
    <cellStyle name="Migliaia 3 2" xfId="2540" xr:uid="{00000000-0005-0000-0000-0000EB090000}"/>
    <cellStyle name="Migliaia 3 3" xfId="2541" xr:uid="{00000000-0005-0000-0000-0000EC090000}"/>
    <cellStyle name="Migliaia 3 4" xfId="2542" xr:uid="{00000000-0005-0000-0000-0000ED090000}"/>
    <cellStyle name="Migliaia 3 5" xfId="2543" xr:uid="{00000000-0005-0000-0000-0000EE090000}"/>
    <cellStyle name="Migliaia 3 6" xfId="2544" xr:uid="{00000000-0005-0000-0000-0000EF090000}"/>
    <cellStyle name="Neutral 2" xfId="2545" xr:uid="{00000000-0005-0000-0000-0000F0090000}"/>
    <cellStyle name="Neutral 2 10" xfId="2546" xr:uid="{00000000-0005-0000-0000-0000F1090000}"/>
    <cellStyle name="Neutral 2 11" xfId="2547" xr:uid="{00000000-0005-0000-0000-0000F2090000}"/>
    <cellStyle name="Neutral 2 12" xfId="2548" xr:uid="{00000000-0005-0000-0000-0000F3090000}"/>
    <cellStyle name="Neutral 2 13" xfId="2549" xr:uid="{00000000-0005-0000-0000-0000F4090000}"/>
    <cellStyle name="Neutral 2 14" xfId="2550" xr:uid="{00000000-0005-0000-0000-0000F5090000}"/>
    <cellStyle name="Neutral 2 15" xfId="2551" xr:uid="{00000000-0005-0000-0000-0000F6090000}"/>
    <cellStyle name="Neutral 2 16" xfId="2552" xr:uid="{00000000-0005-0000-0000-0000F7090000}"/>
    <cellStyle name="Neutral 2 17" xfId="2553" xr:uid="{00000000-0005-0000-0000-0000F8090000}"/>
    <cellStyle name="Neutral 2 2" xfId="2554" xr:uid="{00000000-0005-0000-0000-0000F9090000}"/>
    <cellStyle name="Neutral 2 3" xfId="2555" xr:uid="{00000000-0005-0000-0000-0000FA090000}"/>
    <cellStyle name="Neutral 2 4" xfId="2556" xr:uid="{00000000-0005-0000-0000-0000FB090000}"/>
    <cellStyle name="Neutral 2 5" xfId="2557" xr:uid="{00000000-0005-0000-0000-0000FC090000}"/>
    <cellStyle name="Neutral 2 6" xfId="2558" xr:uid="{00000000-0005-0000-0000-0000FD090000}"/>
    <cellStyle name="Neutral 2 7" xfId="2559" xr:uid="{00000000-0005-0000-0000-0000FE090000}"/>
    <cellStyle name="Neutral 2 8" xfId="2560" xr:uid="{00000000-0005-0000-0000-0000FF090000}"/>
    <cellStyle name="Neutral 2 9" xfId="2561" xr:uid="{00000000-0005-0000-0000-0000000A0000}"/>
    <cellStyle name="Neutral 3 10" xfId="2562" xr:uid="{00000000-0005-0000-0000-0000010A0000}"/>
    <cellStyle name="Neutral 3 11" xfId="2563" xr:uid="{00000000-0005-0000-0000-0000020A0000}"/>
    <cellStyle name="Neutral 3 12" xfId="2564" xr:uid="{00000000-0005-0000-0000-0000030A0000}"/>
    <cellStyle name="Neutral 3 13" xfId="2565" xr:uid="{00000000-0005-0000-0000-0000040A0000}"/>
    <cellStyle name="Neutral 3 14" xfId="2566" xr:uid="{00000000-0005-0000-0000-0000050A0000}"/>
    <cellStyle name="Neutral 3 15" xfId="2567" xr:uid="{00000000-0005-0000-0000-0000060A0000}"/>
    <cellStyle name="Neutral 3 16" xfId="2568" xr:uid="{00000000-0005-0000-0000-0000070A0000}"/>
    <cellStyle name="Neutral 3 17" xfId="2569" xr:uid="{00000000-0005-0000-0000-0000080A0000}"/>
    <cellStyle name="Neutral 3 2" xfId="2570" xr:uid="{00000000-0005-0000-0000-0000090A0000}"/>
    <cellStyle name="Neutral 3 3" xfId="2571" xr:uid="{00000000-0005-0000-0000-00000A0A0000}"/>
    <cellStyle name="Neutral 3 4" xfId="2572" xr:uid="{00000000-0005-0000-0000-00000B0A0000}"/>
    <cellStyle name="Neutral 3 5" xfId="2573" xr:uid="{00000000-0005-0000-0000-00000C0A0000}"/>
    <cellStyle name="Neutral 3 6" xfId="2574" xr:uid="{00000000-0005-0000-0000-00000D0A0000}"/>
    <cellStyle name="Neutral 3 7" xfId="2575" xr:uid="{00000000-0005-0000-0000-00000E0A0000}"/>
    <cellStyle name="Neutral 3 8" xfId="2576" xr:uid="{00000000-0005-0000-0000-00000F0A0000}"/>
    <cellStyle name="Neutral 3 9" xfId="2577" xr:uid="{00000000-0005-0000-0000-0000100A0000}"/>
    <cellStyle name="Neutrale" xfId="2578" xr:uid="{00000000-0005-0000-0000-0000110A0000}"/>
    <cellStyle name="Neutrale 2" xfId="2579" xr:uid="{00000000-0005-0000-0000-0000120A0000}"/>
    <cellStyle name="Neutrale 2 2" xfId="2580" xr:uid="{00000000-0005-0000-0000-0000130A0000}"/>
    <cellStyle name="Neutrale 2 2 2" xfId="2581" xr:uid="{00000000-0005-0000-0000-0000140A0000}"/>
    <cellStyle name="Neutrale 3" xfId="2582" xr:uid="{00000000-0005-0000-0000-0000150A0000}"/>
    <cellStyle name="Neutrale 4" xfId="2583" xr:uid="{00000000-0005-0000-0000-0000160A0000}"/>
    <cellStyle name="Normal" xfId="0" builtinId="0"/>
    <cellStyle name="Normal 10" xfId="2584" xr:uid="{00000000-0005-0000-0000-0000180A0000}"/>
    <cellStyle name="Normal 10 2" xfId="2585" xr:uid="{00000000-0005-0000-0000-0000190A0000}"/>
    <cellStyle name="Normal 10 3" xfId="2586" xr:uid="{00000000-0005-0000-0000-00001A0A0000}"/>
    <cellStyle name="Normal 10 4" xfId="2587" xr:uid="{00000000-0005-0000-0000-00001B0A0000}"/>
    <cellStyle name="Normal 11" xfId="2588" xr:uid="{00000000-0005-0000-0000-00001C0A0000}"/>
    <cellStyle name="Normal 11 2" xfId="2589" xr:uid="{00000000-0005-0000-0000-00001D0A0000}"/>
    <cellStyle name="Normal 11 2 2" xfId="2590" xr:uid="{00000000-0005-0000-0000-00001E0A0000}"/>
    <cellStyle name="Normal 11 3" xfId="2591" xr:uid="{00000000-0005-0000-0000-00001F0A0000}"/>
    <cellStyle name="Normal 11 3 2" xfId="2592" xr:uid="{00000000-0005-0000-0000-0000200A0000}"/>
    <cellStyle name="Normal 12" xfId="2593" xr:uid="{00000000-0005-0000-0000-0000210A0000}"/>
    <cellStyle name="Normal 13" xfId="2594" xr:uid="{00000000-0005-0000-0000-0000220A0000}"/>
    <cellStyle name="Normal 13 2" xfId="2595" xr:uid="{00000000-0005-0000-0000-0000230A0000}"/>
    <cellStyle name="Normal 14" xfId="2596" xr:uid="{00000000-0005-0000-0000-0000240A0000}"/>
    <cellStyle name="Normal 14 2" xfId="2597" xr:uid="{00000000-0005-0000-0000-0000250A0000}"/>
    <cellStyle name="Normal 14 2 2" xfId="2598" xr:uid="{00000000-0005-0000-0000-0000260A0000}"/>
    <cellStyle name="Normal 14 2 2 2" xfId="2599" xr:uid="{00000000-0005-0000-0000-0000270A0000}"/>
    <cellStyle name="Normal 14 2 3" xfId="2600" xr:uid="{00000000-0005-0000-0000-0000280A0000}"/>
    <cellStyle name="Normal 14 3" xfId="2601" xr:uid="{00000000-0005-0000-0000-0000290A0000}"/>
    <cellStyle name="Normal 14 4" xfId="2602" xr:uid="{00000000-0005-0000-0000-00002A0A0000}"/>
    <cellStyle name="Normal 15" xfId="2603" xr:uid="{00000000-0005-0000-0000-00002B0A0000}"/>
    <cellStyle name="Normal 15 2" xfId="2604" xr:uid="{00000000-0005-0000-0000-00002C0A0000}"/>
    <cellStyle name="Normal 15 2 2" xfId="2605" xr:uid="{00000000-0005-0000-0000-00002D0A0000}"/>
    <cellStyle name="Normal 15 2 2 2" xfId="2606" xr:uid="{00000000-0005-0000-0000-00002E0A0000}"/>
    <cellStyle name="Normal 15 2 3" xfId="2607" xr:uid="{00000000-0005-0000-0000-00002F0A0000}"/>
    <cellStyle name="Normal 15 3" xfId="2608" xr:uid="{00000000-0005-0000-0000-0000300A0000}"/>
    <cellStyle name="Normal 15 4" xfId="2609" xr:uid="{00000000-0005-0000-0000-0000310A0000}"/>
    <cellStyle name="Normal 16" xfId="2610" xr:uid="{00000000-0005-0000-0000-0000320A0000}"/>
    <cellStyle name="Normal 16 2" xfId="2611" xr:uid="{00000000-0005-0000-0000-0000330A0000}"/>
    <cellStyle name="Normal 16 3" xfId="2612" xr:uid="{00000000-0005-0000-0000-0000340A0000}"/>
    <cellStyle name="Normal 17" xfId="2613" xr:uid="{00000000-0005-0000-0000-0000350A0000}"/>
    <cellStyle name="Normal 17 2" xfId="2614" xr:uid="{00000000-0005-0000-0000-0000360A0000}"/>
    <cellStyle name="Normal 17 2 2" xfId="2615" xr:uid="{00000000-0005-0000-0000-0000370A0000}"/>
    <cellStyle name="Normal 17 3" xfId="2616" xr:uid="{00000000-0005-0000-0000-0000380A0000}"/>
    <cellStyle name="Normal 18" xfId="2617" xr:uid="{00000000-0005-0000-0000-0000390A0000}"/>
    <cellStyle name="Normal 18 2" xfId="2618" xr:uid="{00000000-0005-0000-0000-00003A0A0000}"/>
    <cellStyle name="Normal 19" xfId="2619" xr:uid="{00000000-0005-0000-0000-00003B0A0000}"/>
    <cellStyle name="Normal 19 2" xfId="2620" xr:uid="{00000000-0005-0000-0000-00003C0A0000}"/>
    <cellStyle name="Normal 2" xfId="2621" xr:uid="{00000000-0005-0000-0000-00003D0A0000}"/>
    <cellStyle name="Normal 2 10" xfId="2622" xr:uid="{00000000-0005-0000-0000-00003E0A0000}"/>
    <cellStyle name="Normal 2 10 2" xfId="2623" xr:uid="{00000000-0005-0000-0000-00003F0A0000}"/>
    <cellStyle name="Normal 2 10 2 2" xfId="2624" xr:uid="{00000000-0005-0000-0000-0000400A0000}"/>
    <cellStyle name="Normal 2 10 2 3" xfId="2625" xr:uid="{00000000-0005-0000-0000-0000410A0000}"/>
    <cellStyle name="Normal 2 10 3" xfId="2626" xr:uid="{00000000-0005-0000-0000-0000420A0000}"/>
    <cellStyle name="Normal 2 10 4" xfId="2627" xr:uid="{00000000-0005-0000-0000-0000430A0000}"/>
    <cellStyle name="Normal 2 10 5" xfId="2628" xr:uid="{00000000-0005-0000-0000-0000440A0000}"/>
    <cellStyle name="Normal 2 11" xfId="2629" xr:uid="{00000000-0005-0000-0000-0000450A0000}"/>
    <cellStyle name="Normal 2 11 2" xfId="2630" xr:uid="{00000000-0005-0000-0000-0000460A0000}"/>
    <cellStyle name="Normal 2 11 3" xfId="2631" xr:uid="{00000000-0005-0000-0000-0000470A0000}"/>
    <cellStyle name="Normal 2 11 3 2" xfId="2632" xr:uid="{00000000-0005-0000-0000-0000480A0000}"/>
    <cellStyle name="Normal 2 11 3 2 2" xfId="2633" xr:uid="{00000000-0005-0000-0000-0000490A0000}"/>
    <cellStyle name="Normal 2 11 3 3" xfId="2634" xr:uid="{00000000-0005-0000-0000-00004A0A0000}"/>
    <cellStyle name="Normal 2 11 3 4" xfId="2635" xr:uid="{00000000-0005-0000-0000-00004B0A0000}"/>
    <cellStyle name="Normal 2 12" xfId="2636" xr:uid="{00000000-0005-0000-0000-00004C0A0000}"/>
    <cellStyle name="Normal 2 12 2" xfId="2637" xr:uid="{00000000-0005-0000-0000-00004D0A0000}"/>
    <cellStyle name="Normal 2 12 2 2" xfId="2638" xr:uid="{00000000-0005-0000-0000-00004E0A0000}"/>
    <cellStyle name="Normal 2 12 3" xfId="2639" xr:uid="{00000000-0005-0000-0000-00004F0A0000}"/>
    <cellStyle name="Normal 2 12 4" xfId="2640" xr:uid="{00000000-0005-0000-0000-0000500A0000}"/>
    <cellStyle name="Normal 2 13" xfId="2641" xr:uid="{00000000-0005-0000-0000-0000510A0000}"/>
    <cellStyle name="Normal 2 13 2" xfId="2642" xr:uid="{00000000-0005-0000-0000-0000520A0000}"/>
    <cellStyle name="Normal 2 13 8" xfId="2643" xr:uid="{00000000-0005-0000-0000-0000530A0000}"/>
    <cellStyle name="Normal 2 14" xfId="2644" xr:uid="{00000000-0005-0000-0000-0000540A0000}"/>
    <cellStyle name="Normal 2 15" xfId="2645" xr:uid="{00000000-0005-0000-0000-0000550A0000}"/>
    <cellStyle name="Normal 2 16" xfId="2646" xr:uid="{00000000-0005-0000-0000-0000560A0000}"/>
    <cellStyle name="Normal 2 18" xfId="2647" xr:uid="{00000000-0005-0000-0000-0000570A0000}"/>
    <cellStyle name="Normal 2 2" xfId="2648" xr:uid="{00000000-0005-0000-0000-0000580A0000}"/>
    <cellStyle name="Normal 2 2 10" xfId="2649" xr:uid="{00000000-0005-0000-0000-0000590A0000}"/>
    <cellStyle name="Normal 2 2 11" xfId="2650" xr:uid="{00000000-0005-0000-0000-00005A0A0000}"/>
    <cellStyle name="Normal 2 2 12" xfId="2651" xr:uid="{00000000-0005-0000-0000-00005B0A0000}"/>
    <cellStyle name="Normal 2 2 12 2" xfId="2652" xr:uid="{00000000-0005-0000-0000-00005C0A0000}"/>
    <cellStyle name="Normal 2 2 12 3" xfId="2653" xr:uid="{00000000-0005-0000-0000-00005D0A0000}"/>
    <cellStyle name="Normal 2 2 13" xfId="2654" xr:uid="{00000000-0005-0000-0000-00005E0A0000}"/>
    <cellStyle name="Normal 2 2 14" xfId="2655" xr:uid="{00000000-0005-0000-0000-00005F0A0000}"/>
    <cellStyle name="Normal 2 2 14 2" xfId="2656" xr:uid="{00000000-0005-0000-0000-0000600A0000}"/>
    <cellStyle name="Normal 2 2 2" xfId="2657" xr:uid="{00000000-0005-0000-0000-0000610A0000}"/>
    <cellStyle name="Normal 2 2 2 2" xfId="2658" xr:uid="{00000000-0005-0000-0000-0000620A0000}"/>
    <cellStyle name="Normal 2 2 2 2 2" xfId="2659" xr:uid="{00000000-0005-0000-0000-0000630A0000}"/>
    <cellStyle name="Normal 2 2 2 2 2 2" xfId="2660" xr:uid="{00000000-0005-0000-0000-0000640A0000}"/>
    <cellStyle name="Normal 2 2 2 2 3" xfId="2661" xr:uid="{00000000-0005-0000-0000-0000650A0000}"/>
    <cellStyle name="Normal 2 2 2 3" xfId="2662" xr:uid="{00000000-0005-0000-0000-0000660A0000}"/>
    <cellStyle name="Normal 2 2 2 3 2" xfId="2663" xr:uid="{00000000-0005-0000-0000-0000670A0000}"/>
    <cellStyle name="Normal 2 2 2 3 2 2" xfId="2664" xr:uid="{00000000-0005-0000-0000-0000680A0000}"/>
    <cellStyle name="Normal 2 2 2 3 2 3" xfId="2665" xr:uid="{00000000-0005-0000-0000-0000690A0000}"/>
    <cellStyle name="Normal 2 2 2 3 3" xfId="2666" xr:uid="{00000000-0005-0000-0000-00006A0A0000}"/>
    <cellStyle name="Normal 2 2 2 3 4" xfId="2667" xr:uid="{00000000-0005-0000-0000-00006B0A0000}"/>
    <cellStyle name="Normal 2 2 2 3 5" xfId="2668" xr:uid="{00000000-0005-0000-0000-00006C0A0000}"/>
    <cellStyle name="Normal 2 2 2 4" xfId="2669" xr:uid="{00000000-0005-0000-0000-00006D0A0000}"/>
    <cellStyle name="Normal 2 2 2 4 2" xfId="2670" xr:uid="{00000000-0005-0000-0000-00006E0A0000}"/>
    <cellStyle name="Normal 2 2 2 4 2 2" xfId="2671" xr:uid="{00000000-0005-0000-0000-00006F0A0000}"/>
    <cellStyle name="Normal 2 2 2 4 3" xfId="2672" xr:uid="{00000000-0005-0000-0000-0000700A0000}"/>
    <cellStyle name="Normal 2 2 2 5" xfId="2673" xr:uid="{00000000-0005-0000-0000-0000710A0000}"/>
    <cellStyle name="Normal 2 2 2 6" xfId="2674" xr:uid="{00000000-0005-0000-0000-0000720A0000}"/>
    <cellStyle name="Normal 2 2 3" xfId="2675" xr:uid="{00000000-0005-0000-0000-0000730A0000}"/>
    <cellStyle name="Normal 2 2 3 2" xfId="2676" xr:uid="{00000000-0005-0000-0000-0000740A0000}"/>
    <cellStyle name="Normal 2 2 3 3" xfId="2677" xr:uid="{00000000-0005-0000-0000-0000750A0000}"/>
    <cellStyle name="Normal 2 2 4" xfId="2678" xr:uid="{00000000-0005-0000-0000-0000760A0000}"/>
    <cellStyle name="Normal 2 2 5" xfId="2679" xr:uid="{00000000-0005-0000-0000-0000770A0000}"/>
    <cellStyle name="Normal 2 2 5 2" xfId="2680" xr:uid="{00000000-0005-0000-0000-0000780A0000}"/>
    <cellStyle name="Normal 2 2 5 3" xfId="2681" xr:uid="{00000000-0005-0000-0000-0000790A0000}"/>
    <cellStyle name="Normal 2 2 5 3 2" xfId="2682" xr:uid="{00000000-0005-0000-0000-00007A0A0000}"/>
    <cellStyle name="Normal 2 2 5 3 2 2" xfId="2683" xr:uid="{00000000-0005-0000-0000-00007B0A0000}"/>
    <cellStyle name="Normal 2 2 5 3 3" xfId="2684" xr:uid="{00000000-0005-0000-0000-00007C0A0000}"/>
    <cellStyle name="Normal 2 2 5 3 4" xfId="2685" xr:uid="{00000000-0005-0000-0000-00007D0A0000}"/>
    <cellStyle name="Normal 2 2 5 4" xfId="2686" xr:uid="{00000000-0005-0000-0000-00007E0A0000}"/>
    <cellStyle name="Normal 2 2 5 4 2" xfId="2687" xr:uid="{00000000-0005-0000-0000-00007F0A0000}"/>
    <cellStyle name="Normal 2 2 5 5" xfId="2688" xr:uid="{00000000-0005-0000-0000-0000800A0000}"/>
    <cellStyle name="Normal 2 2 6" xfId="2689" xr:uid="{00000000-0005-0000-0000-0000810A0000}"/>
    <cellStyle name="Normal 2 2 6 2" xfId="2690" xr:uid="{00000000-0005-0000-0000-0000820A0000}"/>
    <cellStyle name="Normal 2 2 6 2 2" xfId="2691" xr:uid="{00000000-0005-0000-0000-0000830A0000}"/>
    <cellStyle name="Normal 2 2 6 3" xfId="2692" xr:uid="{00000000-0005-0000-0000-0000840A0000}"/>
    <cellStyle name="Normal 2 2 6 4" xfId="2693" xr:uid="{00000000-0005-0000-0000-0000850A0000}"/>
    <cellStyle name="Normal 2 2 7" xfId="2694" xr:uid="{00000000-0005-0000-0000-0000860A0000}"/>
    <cellStyle name="Normal 2 2 8" xfId="2695" xr:uid="{00000000-0005-0000-0000-0000870A0000}"/>
    <cellStyle name="Normal 2 2 8 2" xfId="2696" xr:uid="{00000000-0005-0000-0000-0000880A0000}"/>
    <cellStyle name="Normal 2 2 8 2 2" xfId="2697" xr:uid="{00000000-0005-0000-0000-0000890A0000}"/>
    <cellStyle name="Normal 2 2 8 3" xfId="2698" xr:uid="{00000000-0005-0000-0000-00008A0A0000}"/>
    <cellStyle name="Normal 2 2 8 4" xfId="2699" xr:uid="{00000000-0005-0000-0000-00008B0A0000}"/>
    <cellStyle name="Normal 2 2 9" xfId="2700" xr:uid="{00000000-0005-0000-0000-00008C0A0000}"/>
    <cellStyle name="Normal 2 3" xfId="2701" xr:uid="{00000000-0005-0000-0000-00008D0A0000}"/>
    <cellStyle name="Normal 2 3 10" xfId="2702" xr:uid="{00000000-0005-0000-0000-00008E0A0000}"/>
    <cellStyle name="Normal 2 3 11" xfId="2703" xr:uid="{00000000-0005-0000-0000-00008F0A0000}"/>
    <cellStyle name="Normal 2 3 11 2" xfId="2704" xr:uid="{00000000-0005-0000-0000-0000900A0000}"/>
    <cellStyle name="Normal 2 3 12" xfId="2705" xr:uid="{00000000-0005-0000-0000-0000910A0000}"/>
    <cellStyle name="Normal 2 3 2" xfId="2706" xr:uid="{00000000-0005-0000-0000-0000920A0000}"/>
    <cellStyle name="Normal 2 3 2 2" xfId="2707" xr:uid="{00000000-0005-0000-0000-0000930A0000}"/>
    <cellStyle name="Normal 2 3 2 2 2" xfId="2708" xr:uid="{00000000-0005-0000-0000-0000940A0000}"/>
    <cellStyle name="Normal 2 3 2 2 2 2" xfId="2709" xr:uid="{00000000-0005-0000-0000-0000950A0000}"/>
    <cellStyle name="Normal 2 3 2 2 2 3" xfId="2710" xr:uid="{00000000-0005-0000-0000-0000960A0000}"/>
    <cellStyle name="Normal 2 3 2 2 3" xfId="2711" xr:uid="{00000000-0005-0000-0000-0000970A0000}"/>
    <cellStyle name="Normal 2 3 2 2 4" xfId="2712" xr:uid="{00000000-0005-0000-0000-0000980A0000}"/>
    <cellStyle name="Normal 2 3 2 2 5" xfId="2713" xr:uid="{00000000-0005-0000-0000-0000990A0000}"/>
    <cellStyle name="Normal 2 3 2 3" xfId="2714" xr:uid="{00000000-0005-0000-0000-00009A0A0000}"/>
    <cellStyle name="Normal 2 3 2 4" xfId="2715" xr:uid="{00000000-0005-0000-0000-00009B0A0000}"/>
    <cellStyle name="Normal 2 3 3" xfId="2716" xr:uid="{00000000-0005-0000-0000-00009C0A0000}"/>
    <cellStyle name="Normal 2 3 3 2" xfId="2717" xr:uid="{00000000-0005-0000-0000-00009D0A0000}"/>
    <cellStyle name="Normal 2 3 3 2 2" xfId="2718" xr:uid="{00000000-0005-0000-0000-00009E0A0000}"/>
    <cellStyle name="Normal 2 3 3 2 2 2" xfId="2719" xr:uid="{00000000-0005-0000-0000-00009F0A0000}"/>
    <cellStyle name="Normal 2 3 3 2 2 3" xfId="2720" xr:uid="{00000000-0005-0000-0000-0000A00A0000}"/>
    <cellStyle name="Normal 2 3 3 2 3" xfId="2721" xr:uid="{00000000-0005-0000-0000-0000A10A0000}"/>
    <cellStyle name="Normal 2 3 3 2 4" xfId="2722" xr:uid="{00000000-0005-0000-0000-0000A20A0000}"/>
    <cellStyle name="Normal 2 3 3 2 5" xfId="2723" xr:uid="{00000000-0005-0000-0000-0000A30A0000}"/>
    <cellStyle name="Normal 2 3 3 3" xfId="2724" xr:uid="{00000000-0005-0000-0000-0000A40A0000}"/>
    <cellStyle name="Normal 2 3 3 4" xfId="2725" xr:uid="{00000000-0005-0000-0000-0000A50A0000}"/>
    <cellStyle name="Normal 2 3 4" xfId="2726" xr:uid="{00000000-0005-0000-0000-0000A60A0000}"/>
    <cellStyle name="Normal 2 3 4 2" xfId="2727" xr:uid="{00000000-0005-0000-0000-0000A70A0000}"/>
    <cellStyle name="Normal 2 3 4 2 2" xfId="2728" xr:uid="{00000000-0005-0000-0000-0000A80A0000}"/>
    <cellStyle name="Normal 2 3 4 2 3" xfId="2729" xr:uid="{00000000-0005-0000-0000-0000A90A0000}"/>
    <cellStyle name="Normal 2 3 4 3" xfId="2730" xr:uid="{00000000-0005-0000-0000-0000AA0A0000}"/>
    <cellStyle name="Normal 2 3 4 4" xfId="2731" xr:uid="{00000000-0005-0000-0000-0000AB0A0000}"/>
    <cellStyle name="Normal 2 3 4 5" xfId="2732" xr:uid="{00000000-0005-0000-0000-0000AC0A0000}"/>
    <cellStyle name="Normal 2 3 5" xfId="2733" xr:uid="{00000000-0005-0000-0000-0000AD0A0000}"/>
    <cellStyle name="Normal 2 3 5 2" xfId="2734" xr:uid="{00000000-0005-0000-0000-0000AE0A0000}"/>
    <cellStyle name="Normal 2 3 5 2 2" xfId="2735" xr:uid="{00000000-0005-0000-0000-0000AF0A0000}"/>
    <cellStyle name="Normal 2 3 5 2 3" xfId="2736" xr:uid="{00000000-0005-0000-0000-0000B00A0000}"/>
    <cellStyle name="Normal 2 3 5 3" xfId="2737" xr:uid="{00000000-0005-0000-0000-0000B10A0000}"/>
    <cellStyle name="Normal 2 3 5 4" xfId="2738" xr:uid="{00000000-0005-0000-0000-0000B20A0000}"/>
    <cellStyle name="Normal 2 3 5 5" xfId="2739" xr:uid="{00000000-0005-0000-0000-0000B30A0000}"/>
    <cellStyle name="Normal 2 3 6" xfId="2740" xr:uid="{00000000-0005-0000-0000-0000B40A0000}"/>
    <cellStyle name="Normal 2 3 6 2" xfId="2741" xr:uid="{00000000-0005-0000-0000-0000B50A0000}"/>
    <cellStyle name="Normal 2 3 6 2 2" xfId="2742" xr:uid="{00000000-0005-0000-0000-0000B60A0000}"/>
    <cellStyle name="Normal 2 3 6 2 3" xfId="2743" xr:uid="{00000000-0005-0000-0000-0000B70A0000}"/>
    <cellStyle name="Normal 2 3 6 3" xfId="2744" xr:uid="{00000000-0005-0000-0000-0000B80A0000}"/>
    <cellStyle name="Normal 2 3 6 4" xfId="2745" xr:uid="{00000000-0005-0000-0000-0000B90A0000}"/>
    <cellStyle name="Normal 2 3 6 5" xfId="2746" xr:uid="{00000000-0005-0000-0000-0000BA0A0000}"/>
    <cellStyle name="Normal 2 3 7" xfId="2747" xr:uid="{00000000-0005-0000-0000-0000BB0A0000}"/>
    <cellStyle name="Normal 2 3 7 2" xfId="2748" xr:uid="{00000000-0005-0000-0000-0000BC0A0000}"/>
    <cellStyle name="Normal 2 3 7 2 2" xfId="2749" xr:uid="{00000000-0005-0000-0000-0000BD0A0000}"/>
    <cellStyle name="Normal 2 3 7 2 3" xfId="2750" xr:uid="{00000000-0005-0000-0000-0000BE0A0000}"/>
    <cellStyle name="Normal 2 3 7 3" xfId="2751" xr:uid="{00000000-0005-0000-0000-0000BF0A0000}"/>
    <cellStyle name="Normal 2 3 7 4" xfId="2752" xr:uid="{00000000-0005-0000-0000-0000C00A0000}"/>
    <cellStyle name="Normal 2 3 7 5" xfId="2753" xr:uid="{00000000-0005-0000-0000-0000C10A0000}"/>
    <cellStyle name="Normal 2 3 8" xfId="2754" xr:uid="{00000000-0005-0000-0000-0000C20A0000}"/>
    <cellStyle name="Normal 2 3 8 2" xfId="2755" xr:uid="{00000000-0005-0000-0000-0000C30A0000}"/>
    <cellStyle name="Normal 2 3 8 2 2" xfId="2756" xr:uid="{00000000-0005-0000-0000-0000C40A0000}"/>
    <cellStyle name="Normal 2 3 8 2 3" xfId="2757" xr:uid="{00000000-0005-0000-0000-0000C50A0000}"/>
    <cellStyle name="Normal 2 3 9" xfId="2758" xr:uid="{00000000-0005-0000-0000-0000C60A0000}"/>
    <cellStyle name="Normal 2 3 9 2" xfId="2759" xr:uid="{00000000-0005-0000-0000-0000C70A0000}"/>
    <cellStyle name="Normal 2 3 9 2 2" xfId="2760" xr:uid="{00000000-0005-0000-0000-0000C80A0000}"/>
    <cellStyle name="Normal 2 3 9 2 2 2" xfId="2761" xr:uid="{00000000-0005-0000-0000-0000C90A0000}"/>
    <cellStyle name="Normal 2 3 9 3" xfId="2762" xr:uid="{00000000-0005-0000-0000-0000CA0A0000}"/>
    <cellStyle name="Normal 2 4" xfId="2763" xr:uid="{00000000-0005-0000-0000-0000CB0A0000}"/>
    <cellStyle name="Normal 2 4 2" xfId="2764" xr:uid="{00000000-0005-0000-0000-0000CC0A0000}"/>
    <cellStyle name="Normal 2 4 2 2" xfId="2765" xr:uid="{00000000-0005-0000-0000-0000CD0A0000}"/>
    <cellStyle name="Normal 2 4 2 3" xfId="2766" xr:uid="{00000000-0005-0000-0000-0000CE0A0000}"/>
    <cellStyle name="Normal 2 4 2 3 2" xfId="2767" xr:uid="{00000000-0005-0000-0000-0000CF0A0000}"/>
    <cellStyle name="Normal 2 4 2 3 2 2" xfId="2768" xr:uid="{00000000-0005-0000-0000-0000D00A0000}"/>
    <cellStyle name="Normal 2 4 2 3 3" xfId="2769" xr:uid="{00000000-0005-0000-0000-0000D10A0000}"/>
    <cellStyle name="Normal 2 4 2 3 4" xfId="2770" xr:uid="{00000000-0005-0000-0000-0000D20A0000}"/>
    <cellStyle name="Normal 2 4 3" xfId="2771" xr:uid="{00000000-0005-0000-0000-0000D30A0000}"/>
    <cellStyle name="Normal 2 4 3 2" xfId="2772" xr:uid="{00000000-0005-0000-0000-0000D40A0000}"/>
    <cellStyle name="Normal 2 4 3 3" xfId="2773" xr:uid="{00000000-0005-0000-0000-0000D50A0000}"/>
    <cellStyle name="Normal 2 4 3 3 2" xfId="2774" xr:uid="{00000000-0005-0000-0000-0000D60A0000}"/>
    <cellStyle name="Normal 2 4 3 4" xfId="2775" xr:uid="{00000000-0005-0000-0000-0000D70A0000}"/>
    <cellStyle name="Normal 2 4 4" xfId="2776" xr:uid="{00000000-0005-0000-0000-0000D80A0000}"/>
    <cellStyle name="Normal 2 4 5" xfId="2777" xr:uid="{00000000-0005-0000-0000-0000D90A0000}"/>
    <cellStyle name="Normal 2 4 6" xfId="2778" xr:uid="{00000000-0005-0000-0000-0000DA0A0000}"/>
    <cellStyle name="Normal 2 4 7" xfId="2779" xr:uid="{00000000-0005-0000-0000-0000DB0A0000}"/>
    <cellStyle name="Normal 2 5" xfId="2780" xr:uid="{00000000-0005-0000-0000-0000DC0A0000}"/>
    <cellStyle name="Normal 2 5 2" xfId="2781" xr:uid="{00000000-0005-0000-0000-0000DD0A0000}"/>
    <cellStyle name="Normal 2 5 2 2" xfId="2782" xr:uid="{00000000-0005-0000-0000-0000DE0A0000}"/>
    <cellStyle name="Normal 2 5 2 3" xfId="2783" xr:uid="{00000000-0005-0000-0000-0000DF0A0000}"/>
    <cellStyle name="Normal 2 5 3" xfId="2784" xr:uid="{00000000-0005-0000-0000-0000E00A0000}"/>
    <cellStyle name="Normal 2 5 3 2" xfId="2785" xr:uid="{00000000-0005-0000-0000-0000E10A0000}"/>
    <cellStyle name="Normal 2 5 4" xfId="2786" xr:uid="{00000000-0005-0000-0000-0000E20A0000}"/>
    <cellStyle name="Normal 2 5 5" xfId="2787" xr:uid="{00000000-0005-0000-0000-0000E30A0000}"/>
    <cellStyle name="Normal 2 6" xfId="2788" xr:uid="{00000000-0005-0000-0000-0000E40A0000}"/>
    <cellStyle name="Normal 2 6 2" xfId="2789" xr:uid="{00000000-0005-0000-0000-0000E50A0000}"/>
    <cellStyle name="Normal 2 6 2 2" xfId="2790" xr:uid="{00000000-0005-0000-0000-0000E60A0000}"/>
    <cellStyle name="Normal 2 6 2 2 2" xfId="2791" xr:uid="{00000000-0005-0000-0000-0000E70A0000}"/>
    <cellStyle name="Normal 2 6 2 3" xfId="2792" xr:uid="{00000000-0005-0000-0000-0000E80A0000}"/>
    <cellStyle name="Normal 2 6 2 4" xfId="2793" xr:uid="{00000000-0005-0000-0000-0000E90A0000}"/>
    <cellStyle name="Normal 2 6 3" xfId="2794" xr:uid="{00000000-0005-0000-0000-0000EA0A0000}"/>
    <cellStyle name="Normal 2 6 4" xfId="2795" xr:uid="{00000000-0005-0000-0000-0000EB0A0000}"/>
    <cellStyle name="Normal 2 6 4 2" xfId="2796" xr:uid="{00000000-0005-0000-0000-0000EC0A0000}"/>
    <cellStyle name="Normal 2 6 5" xfId="2797" xr:uid="{00000000-0005-0000-0000-0000ED0A0000}"/>
    <cellStyle name="Normal 2 6 6" xfId="2798" xr:uid="{00000000-0005-0000-0000-0000EE0A0000}"/>
    <cellStyle name="Normal 2 7" xfId="2799" xr:uid="{00000000-0005-0000-0000-0000EF0A0000}"/>
    <cellStyle name="Normal 2 7 2" xfId="2800" xr:uid="{00000000-0005-0000-0000-0000F00A0000}"/>
    <cellStyle name="Normal 2 7 2 2" xfId="2801" xr:uid="{00000000-0005-0000-0000-0000F10A0000}"/>
    <cellStyle name="Normal 2 7 3" xfId="2802" xr:uid="{00000000-0005-0000-0000-0000F20A0000}"/>
    <cellStyle name="Normal 2 7 4" xfId="2803" xr:uid="{00000000-0005-0000-0000-0000F30A0000}"/>
    <cellStyle name="Normal 2 8" xfId="2804" xr:uid="{00000000-0005-0000-0000-0000F40A0000}"/>
    <cellStyle name="Normal 2 8 2" xfId="2805" xr:uid="{00000000-0005-0000-0000-0000F50A0000}"/>
    <cellStyle name="Normal 2 8 2 2" xfId="2806" xr:uid="{00000000-0005-0000-0000-0000F60A0000}"/>
    <cellStyle name="Normal 2 8 2 3" xfId="2807" xr:uid="{00000000-0005-0000-0000-0000F70A0000}"/>
    <cellStyle name="Normal 2 8 2 3 2" xfId="2808" xr:uid="{00000000-0005-0000-0000-0000F80A0000}"/>
    <cellStyle name="Normal 2 8 2 4" xfId="2809" xr:uid="{00000000-0005-0000-0000-0000F90A0000}"/>
    <cellStyle name="Normal 2 8 3" xfId="2810" xr:uid="{00000000-0005-0000-0000-0000FA0A0000}"/>
    <cellStyle name="Normal 2 8 3 2" xfId="2811" xr:uid="{00000000-0005-0000-0000-0000FB0A0000}"/>
    <cellStyle name="Normal 2 8 3 2 2" xfId="2812" xr:uid="{00000000-0005-0000-0000-0000FC0A0000}"/>
    <cellStyle name="Normal 2 8 3 3" xfId="2813" xr:uid="{00000000-0005-0000-0000-0000FD0A0000}"/>
    <cellStyle name="Normal 2 8 4" xfId="2814" xr:uid="{00000000-0005-0000-0000-0000FE0A0000}"/>
    <cellStyle name="Normal 2 8 5" xfId="2815" xr:uid="{00000000-0005-0000-0000-0000FF0A0000}"/>
    <cellStyle name="Normal 2 9" xfId="2816" xr:uid="{00000000-0005-0000-0000-0000000B0000}"/>
    <cellStyle name="Normal 2 9 2" xfId="2817" xr:uid="{00000000-0005-0000-0000-0000010B0000}"/>
    <cellStyle name="Normal 2 9 2 2" xfId="2818" xr:uid="{00000000-0005-0000-0000-0000020B0000}"/>
    <cellStyle name="Normal 2 9 3" xfId="2819" xr:uid="{00000000-0005-0000-0000-0000030B0000}"/>
    <cellStyle name="Normal 2 9 4" xfId="2820" xr:uid="{00000000-0005-0000-0000-0000040B0000}"/>
    <cellStyle name="Normal 20" xfId="2821" xr:uid="{00000000-0005-0000-0000-0000050B0000}"/>
    <cellStyle name="Normal 21" xfId="2822" xr:uid="{00000000-0005-0000-0000-0000060B0000}"/>
    <cellStyle name="Normal 21 2" xfId="2823" xr:uid="{00000000-0005-0000-0000-0000070B0000}"/>
    <cellStyle name="Normal 22" xfId="2824" xr:uid="{00000000-0005-0000-0000-0000080B0000}"/>
    <cellStyle name="Normal 22 2" xfId="2825" xr:uid="{00000000-0005-0000-0000-0000090B0000}"/>
    <cellStyle name="Normal 22 3" xfId="2826" xr:uid="{00000000-0005-0000-0000-00000A0B0000}"/>
    <cellStyle name="Normal 23" xfId="2827" xr:uid="{00000000-0005-0000-0000-00000B0B0000}"/>
    <cellStyle name="Normal 23 2" xfId="2828" xr:uid="{00000000-0005-0000-0000-00000C0B0000}"/>
    <cellStyle name="Normal 23 3" xfId="2829" xr:uid="{00000000-0005-0000-0000-00000D0B0000}"/>
    <cellStyle name="Normal 23 3 2" xfId="2830" xr:uid="{00000000-0005-0000-0000-00000E0B0000}"/>
    <cellStyle name="Normal 24" xfId="2831" xr:uid="{00000000-0005-0000-0000-00000F0B0000}"/>
    <cellStyle name="Normal 25" xfId="2832" xr:uid="{00000000-0005-0000-0000-0000100B0000}"/>
    <cellStyle name="Normal 26" xfId="2833" xr:uid="{00000000-0005-0000-0000-0000110B0000}"/>
    <cellStyle name="Normal 26 2" xfId="2834" xr:uid="{00000000-0005-0000-0000-0000120B0000}"/>
    <cellStyle name="Normal 27" xfId="2835" xr:uid="{00000000-0005-0000-0000-0000130B0000}"/>
    <cellStyle name="Normal 3" xfId="2836" xr:uid="{00000000-0005-0000-0000-0000140B0000}"/>
    <cellStyle name="Normal 3 2" xfId="2837" xr:uid="{00000000-0005-0000-0000-0000150B0000}"/>
    <cellStyle name="Normal 3 2 2" xfId="2838" xr:uid="{00000000-0005-0000-0000-0000160B0000}"/>
    <cellStyle name="Normal 3 2 2 2" xfId="2839" xr:uid="{00000000-0005-0000-0000-0000170B0000}"/>
    <cellStyle name="Normal 3 2 2 2 2" xfId="2840" xr:uid="{00000000-0005-0000-0000-0000180B0000}"/>
    <cellStyle name="Normal 3 2 2 3" xfId="2841" xr:uid="{00000000-0005-0000-0000-0000190B0000}"/>
    <cellStyle name="Normal 3 2 2 4" xfId="2842" xr:uid="{00000000-0005-0000-0000-00001A0B0000}"/>
    <cellStyle name="Normal 3 2 3" xfId="2843" xr:uid="{00000000-0005-0000-0000-00001B0B0000}"/>
    <cellStyle name="Normal 3 2 3 2" xfId="2844" xr:uid="{00000000-0005-0000-0000-00001C0B0000}"/>
    <cellStyle name="Normal 3 2 4" xfId="2845" xr:uid="{00000000-0005-0000-0000-00001D0B0000}"/>
    <cellStyle name="Normal 3 3" xfId="2846" xr:uid="{00000000-0005-0000-0000-00001E0B0000}"/>
    <cellStyle name="Normal 3 3 2" xfId="2847" xr:uid="{00000000-0005-0000-0000-00001F0B0000}"/>
    <cellStyle name="Normal 3 3 3" xfId="2848" xr:uid="{00000000-0005-0000-0000-0000200B0000}"/>
    <cellStyle name="Normal 3 3 4" xfId="2849" xr:uid="{00000000-0005-0000-0000-0000210B0000}"/>
    <cellStyle name="Normal 3 4" xfId="2850" xr:uid="{00000000-0005-0000-0000-0000220B0000}"/>
    <cellStyle name="Normal 3 5" xfId="2851" xr:uid="{00000000-0005-0000-0000-0000230B0000}"/>
    <cellStyle name="Normal 3 6" xfId="2852" xr:uid="{00000000-0005-0000-0000-0000240B0000}"/>
    <cellStyle name="Normal 3 7" xfId="2853" xr:uid="{00000000-0005-0000-0000-0000250B0000}"/>
    <cellStyle name="Normal 3 8" xfId="2854" xr:uid="{00000000-0005-0000-0000-0000260B0000}"/>
    <cellStyle name="Normal 3 9" xfId="2855" xr:uid="{00000000-0005-0000-0000-0000270B0000}"/>
    <cellStyle name="Normal 4" xfId="2856" xr:uid="{00000000-0005-0000-0000-0000280B0000}"/>
    <cellStyle name="Normal 4 2" xfId="2857" xr:uid="{00000000-0005-0000-0000-0000290B0000}"/>
    <cellStyle name="Normal 4 2 2" xfId="2858" xr:uid="{00000000-0005-0000-0000-00002A0B0000}"/>
    <cellStyle name="Normal 4 2 2 2" xfId="2859" xr:uid="{00000000-0005-0000-0000-00002B0B0000}"/>
    <cellStyle name="Normal 4 2 3" xfId="2860" xr:uid="{00000000-0005-0000-0000-00002C0B0000}"/>
    <cellStyle name="Normal 4 2 4" xfId="2861" xr:uid="{00000000-0005-0000-0000-00002D0B0000}"/>
    <cellStyle name="Normal 4 2 5" xfId="2862" xr:uid="{00000000-0005-0000-0000-00002E0B0000}"/>
    <cellStyle name="Normal 4 3" xfId="2863" xr:uid="{00000000-0005-0000-0000-00002F0B0000}"/>
    <cellStyle name="Normal 4 3 2" xfId="2864" xr:uid="{00000000-0005-0000-0000-0000300B0000}"/>
    <cellStyle name="Normal 4 3 3" xfId="2865" xr:uid="{00000000-0005-0000-0000-0000310B0000}"/>
    <cellStyle name="Normal 4 3 4" xfId="2866" xr:uid="{00000000-0005-0000-0000-0000320B0000}"/>
    <cellStyle name="Normal 4 4" xfId="2867" xr:uid="{00000000-0005-0000-0000-0000330B0000}"/>
    <cellStyle name="Normal 4 4 2" xfId="2868" xr:uid="{00000000-0005-0000-0000-0000340B0000}"/>
    <cellStyle name="Normal 4 4 2 2" xfId="2869" xr:uid="{00000000-0005-0000-0000-0000350B0000}"/>
    <cellStyle name="Normal 4 4 3" xfId="2870" xr:uid="{00000000-0005-0000-0000-0000360B0000}"/>
    <cellStyle name="Normal 4 4 3 2" xfId="2871" xr:uid="{00000000-0005-0000-0000-0000370B0000}"/>
    <cellStyle name="Normal 4 4 3 3" xfId="2872" xr:uid="{00000000-0005-0000-0000-0000380B0000}"/>
    <cellStyle name="Normal 4 4 4" xfId="2873" xr:uid="{00000000-0005-0000-0000-0000390B0000}"/>
    <cellStyle name="Normal 4 4 4 2" xfId="2874" xr:uid="{00000000-0005-0000-0000-00003A0B0000}"/>
    <cellStyle name="Normal 4 5" xfId="2875" xr:uid="{00000000-0005-0000-0000-00003B0B0000}"/>
    <cellStyle name="Normal 4 5 2" xfId="2876" xr:uid="{00000000-0005-0000-0000-00003C0B0000}"/>
    <cellStyle name="Normal 4 5 2 2" xfId="2877" xr:uid="{00000000-0005-0000-0000-00003D0B0000}"/>
    <cellStyle name="Normal 4 5 3" xfId="2878" xr:uid="{00000000-0005-0000-0000-00003E0B0000}"/>
    <cellStyle name="Normal 4 6" xfId="2879" xr:uid="{00000000-0005-0000-0000-00003F0B0000}"/>
    <cellStyle name="Normal 4 7" xfId="2880" xr:uid="{00000000-0005-0000-0000-0000400B0000}"/>
    <cellStyle name="Normal 4 8" xfId="2881" xr:uid="{00000000-0005-0000-0000-0000410B0000}"/>
    <cellStyle name="Normal 5" xfId="2882" xr:uid="{00000000-0005-0000-0000-0000420B0000}"/>
    <cellStyle name="Normal 5 2" xfId="2883" xr:uid="{00000000-0005-0000-0000-0000430B0000}"/>
    <cellStyle name="Normal 5 2 2" xfId="2884" xr:uid="{00000000-0005-0000-0000-0000440B0000}"/>
    <cellStyle name="Normal 5 2 2 2" xfId="2885" xr:uid="{00000000-0005-0000-0000-0000450B0000}"/>
    <cellStyle name="Normal 5 2 2 2 2" xfId="2886" xr:uid="{00000000-0005-0000-0000-0000460B0000}"/>
    <cellStyle name="Normal 5 2 2 2 2 2" xfId="2887" xr:uid="{00000000-0005-0000-0000-0000470B0000}"/>
    <cellStyle name="Normal 5 2 2 3" xfId="2888" xr:uid="{00000000-0005-0000-0000-0000480B0000}"/>
    <cellStyle name="Normal 5 2 2 4" xfId="2889" xr:uid="{00000000-0005-0000-0000-0000490B0000}"/>
    <cellStyle name="Normal 5 2 3" xfId="2890" xr:uid="{00000000-0005-0000-0000-00004A0B0000}"/>
    <cellStyle name="Normal 5 2 4" xfId="2891" xr:uid="{00000000-0005-0000-0000-00004B0B0000}"/>
    <cellStyle name="Normal 5 2 5" xfId="2892" xr:uid="{00000000-0005-0000-0000-00004C0B0000}"/>
    <cellStyle name="Normal 5 2 5 2" xfId="2893" xr:uid="{00000000-0005-0000-0000-00004D0B0000}"/>
    <cellStyle name="Normal 5 2 6" xfId="2894" xr:uid="{00000000-0005-0000-0000-00004E0B0000}"/>
    <cellStyle name="Normal 5 2 7" xfId="2895" xr:uid="{00000000-0005-0000-0000-00004F0B0000}"/>
    <cellStyle name="Normal 5 2 8" xfId="2896" xr:uid="{00000000-0005-0000-0000-0000500B0000}"/>
    <cellStyle name="Normal 5 3" xfId="2897" xr:uid="{00000000-0005-0000-0000-0000510B0000}"/>
    <cellStyle name="Normal 5 3 2" xfId="2898" xr:uid="{00000000-0005-0000-0000-0000520B0000}"/>
    <cellStyle name="Normal 5 3 2 2" xfId="2899" xr:uid="{00000000-0005-0000-0000-0000530B0000}"/>
    <cellStyle name="Normal 5 3 3" xfId="2900" xr:uid="{00000000-0005-0000-0000-0000540B0000}"/>
    <cellStyle name="Normal 5 3 4" xfId="2901" xr:uid="{00000000-0005-0000-0000-0000550B0000}"/>
    <cellStyle name="Normal 5 3 5" xfId="2902" xr:uid="{00000000-0005-0000-0000-0000560B0000}"/>
    <cellStyle name="Normal 5 3 6" xfId="2903" xr:uid="{00000000-0005-0000-0000-0000570B0000}"/>
    <cellStyle name="Normal 5 4" xfId="2904" xr:uid="{00000000-0005-0000-0000-0000580B0000}"/>
    <cellStyle name="Normal 5 4 2" xfId="2905" xr:uid="{00000000-0005-0000-0000-0000590B0000}"/>
    <cellStyle name="Normal 5 5" xfId="2906" xr:uid="{00000000-0005-0000-0000-00005A0B0000}"/>
    <cellStyle name="Normal 5 6" xfId="2907" xr:uid="{00000000-0005-0000-0000-00005B0B0000}"/>
    <cellStyle name="Normal 5 7" xfId="2908" xr:uid="{00000000-0005-0000-0000-00005C0B0000}"/>
    <cellStyle name="Normal 5 8" xfId="2909" xr:uid="{00000000-0005-0000-0000-00005D0B0000}"/>
    <cellStyle name="Normal 6" xfId="2910" xr:uid="{00000000-0005-0000-0000-00005E0B0000}"/>
    <cellStyle name="Normal 6 2" xfId="2911" xr:uid="{00000000-0005-0000-0000-00005F0B0000}"/>
    <cellStyle name="Normal 6 2 2" xfId="2912" xr:uid="{00000000-0005-0000-0000-0000600B0000}"/>
    <cellStyle name="Normal 6 2 2 2" xfId="2913" xr:uid="{00000000-0005-0000-0000-0000610B0000}"/>
    <cellStyle name="Normal 6 2 2 3" xfId="2914" xr:uid="{00000000-0005-0000-0000-0000620B0000}"/>
    <cellStyle name="Normal 6 2 3" xfId="2915" xr:uid="{00000000-0005-0000-0000-0000630B0000}"/>
    <cellStyle name="Normal 6 2 3 2" xfId="2916" xr:uid="{00000000-0005-0000-0000-0000640B0000}"/>
    <cellStyle name="Normal 6 2 3 2 2" xfId="2917" xr:uid="{00000000-0005-0000-0000-0000650B0000}"/>
    <cellStyle name="Normal 6 2 3 3" xfId="2918" xr:uid="{00000000-0005-0000-0000-0000660B0000}"/>
    <cellStyle name="Normal 6 3" xfId="2919" xr:uid="{00000000-0005-0000-0000-0000670B0000}"/>
    <cellStyle name="Normal 6 3 2" xfId="2920" xr:uid="{00000000-0005-0000-0000-0000680B0000}"/>
    <cellStyle name="Normal 6 3 3" xfId="2921" xr:uid="{00000000-0005-0000-0000-0000690B0000}"/>
    <cellStyle name="Normal 6 4" xfId="2922" xr:uid="{00000000-0005-0000-0000-00006A0B0000}"/>
    <cellStyle name="Normal 6 4 2" xfId="2923" xr:uid="{00000000-0005-0000-0000-00006B0B0000}"/>
    <cellStyle name="Normal 6 4 2 2" xfId="2924" xr:uid="{00000000-0005-0000-0000-00006C0B0000}"/>
    <cellStyle name="Normal 6 4 3" xfId="2925" xr:uid="{00000000-0005-0000-0000-00006D0B0000}"/>
    <cellStyle name="Normal 6 4 4" xfId="2926" xr:uid="{00000000-0005-0000-0000-00006E0B0000}"/>
    <cellStyle name="Normal 6 5" xfId="2927" xr:uid="{00000000-0005-0000-0000-00006F0B0000}"/>
    <cellStyle name="Normal 6 5 2" xfId="2928" xr:uid="{00000000-0005-0000-0000-0000700B0000}"/>
    <cellStyle name="Normal 6 6" xfId="2929" xr:uid="{00000000-0005-0000-0000-0000710B0000}"/>
    <cellStyle name="Normal 6 7" xfId="2930" xr:uid="{00000000-0005-0000-0000-0000720B0000}"/>
    <cellStyle name="Normal 6 8" xfId="2931" xr:uid="{00000000-0005-0000-0000-0000730B0000}"/>
    <cellStyle name="Normal 7" xfId="2932" xr:uid="{00000000-0005-0000-0000-0000740B0000}"/>
    <cellStyle name="Normal 7 2" xfId="2933" xr:uid="{00000000-0005-0000-0000-0000750B0000}"/>
    <cellStyle name="Normal 7 2 2" xfId="2934" xr:uid="{00000000-0005-0000-0000-0000760B0000}"/>
    <cellStyle name="Normal 7 2 2 2" xfId="2935" xr:uid="{00000000-0005-0000-0000-0000770B0000}"/>
    <cellStyle name="Normal 7 2 2 2 2" xfId="2936" xr:uid="{00000000-0005-0000-0000-0000780B0000}"/>
    <cellStyle name="Normal 7 2 2 3" xfId="2937" xr:uid="{00000000-0005-0000-0000-0000790B0000}"/>
    <cellStyle name="Normal 7 2 2 4" xfId="2938" xr:uid="{00000000-0005-0000-0000-00007A0B0000}"/>
    <cellStyle name="Normal 7 2 3" xfId="2939" xr:uid="{00000000-0005-0000-0000-00007B0B0000}"/>
    <cellStyle name="Normal 7 2 3 2" xfId="2940" xr:uid="{00000000-0005-0000-0000-00007C0B0000}"/>
    <cellStyle name="Normal 7 2 4" xfId="2941" xr:uid="{00000000-0005-0000-0000-00007D0B0000}"/>
    <cellStyle name="Normal 7 2 4 2" xfId="2942" xr:uid="{00000000-0005-0000-0000-00007E0B0000}"/>
    <cellStyle name="Normal 7 2 5" xfId="2943" xr:uid="{00000000-0005-0000-0000-00007F0B0000}"/>
    <cellStyle name="Normal 7 2 5 2" xfId="2944" xr:uid="{00000000-0005-0000-0000-0000800B0000}"/>
    <cellStyle name="Normal 7 2 6" xfId="2945" xr:uid="{00000000-0005-0000-0000-0000810B0000}"/>
    <cellStyle name="Normal 7 2 7" xfId="2946" xr:uid="{00000000-0005-0000-0000-0000820B0000}"/>
    <cellStyle name="Normal 7 3" xfId="2947" xr:uid="{00000000-0005-0000-0000-0000830B0000}"/>
    <cellStyle name="Normal 7 3 2" xfId="2948" xr:uid="{00000000-0005-0000-0000-0000840B0000}"/>
    <cellStyle name="Normal 7 3 3" xfId="2949" xr:uid="{00000000-0005-0000-0000-0000850B0000}"/>
    <cellStyle name="Normal 7 4" xfId="2950" xr:uid="{00000000-0005-0000-0000-0000860B0000}"/>
    <cellStyle name="Normal 8" xfId="2951" xr:uid="{00000000-0005-0000-0000-0000870B0000}"/>
    <cellStyle name="Normal 8 2" xfId="2952" xr:uid="{00000000-0005-0000-0000-0000880B0000}"/>
    <cellStyle name="Normal 8 2 2" xfId="2953" xr:uid="{00000000-0005-0000-0000-0000890B0000}"/>
    <cellStyle name="Normal 8 2 3" xfId="2954" xr:uid="{00000000-0005-0000-0000-00008A0B0000}"/>
    <cellStyle name="Normal 8 2 3 2" xfId="2955" xr:uid="{00000000-0005-0000-0000-00008B0B0000}"/>
    <cellStyle name="Normal 8 2 4" xfId="2956" xr:uid="{00000000-0005-0000-0000-00008C0B0000}"/>
    <cellStyle name="Normal 8 3" xfId="2957" xr:uid="{00000000-0005-0000-0000-00008D0B0000}"/>
    <cellStyle name="Normal 8 3 2" xfId="2958" xr:uid="{00000000-0005-0000-0000-00008E0B0000}"/>
    <cellStyle name="Normal 8 3 2 2" xfId="2959" xr:uid="{00000000-0005-0000-0000-00008F0B0000}"/>
    <cellStyle name="Normal 8 3 2 2 2" xfId="2960" xr:uid="{00000000-0005-0000-0000-0000900B0000}"/>
    <cellStyle name="Normal 8 3 2 3" xfId="2961" xr:uid="{00000000-0005-0000-0000-0000910B0000}"/>
    <cellStyle name="Normal 8 3 3" xfId="2962" xr:uid="{00000000-0005-0000-0000-0000920B0000}"/>
    <cellStyle name="Normal 8 3 4" xfId="2963" xr:uid="{00000000-0005-0000-0000-0000930B0000}"/>
    <cellStyle name="Normal 8 3 5" xfId="2964" xr:uid="{00000000-0005-0000-0000-0000940B0000}"/>
    <cellStyle name="Normal 8 4" xfId="2965" xr:uid="{00000000-0005-0000-0000-0000950B0000}"/>
    <cellStyle name="Normal 8 5" xfId="2966" xr:uid="{00000000-0005-0000-0000-0000960B0000}"/>
    <cellStyle name="Normal 8 6" xfId="2967" xr:uid="{00000000-0005-0000-0000-0000970B0000}"/>
    <cellStyle name="Normal 8 7" xfId="2968" xr:uid="{00000000-0005-0000-0000-0000980B0000}"/>
    <cellStyle name="Normal 8 8" xfId="2969" xr:uid="{00000000-0005-0000-0000-0000990B0000}"/>
    <cellStyle name="Normal 8 9" xfId="2970" xr:uid="{00000000-0005-0000-0000-00009A0B0000}"/>
    <cellStyle name="Normal 9" xfId="2971" xr:uid="{00000000-0005-0000-0000-00009B0B0000}"/>
    <cellStyle name="Normal 9 2" xfId="2972" xr:uid="{00000000-0005-0000-0000-00009C0B0000}"/>
    <cellStyle name="Normal 9 2 2" xfId="2973" xr:uid="{00000000-0005-0000-0000-00009D0B0000}"/>
    <cellStyle name="Normal 9 3" xfId="2974" xr:uid="{00000000-0005-0000-0000-00009E0B0000}"/>
    <cellStyle name="Normal 9 3 2" xfId="2975" xr:uid="{00000000-0005-0000-0000-00009F0B0000}"/>
    <cellStyle name="Normal 9 4" xfId="2976" xr:uid="{00000000-0005-0000-0000-0000A00B0000}"/>
    <cellStyle name="Normal 9 4 2" xfId="2977" xr:uid="{00000000-0005-0000-0000-0000A10B0000}"/>
    <cellStyle name="Normal 9 5" xfId="2978" xr:uid="{00000000-0005-0000-0000-0000A20B0000}"/>
    <cellStyle name="Normale 2" xfId="2979" xr:uid="{00000000-0005-0000-0000-0000A30B0000}"/>
    <cellStyle name="Normale 2 2" xfId="2980" xr:uid="{00000000-0005-0000-0000-0000A40B0000}"/>
    <cellStyle name="Normale 2 2 2" xfId="2981" xr:uid="{00000000-0005-0000-0000-0000A50B0000}"/>
    <cellStyle name="Normale 2 2 2 2" xfId="2982" xr:uid="{00000000-0005-0000-0000-0000A60B0000}"/>
    <cellStyle name="Normale 2 2 3" xfId="2983" xr:uid="{00000000-0005-0000-0000-0000A70B0000}"/>
    <cellStyle name="Normale 2 2 4" xfId="2984" xr:uid="{00000000-0005-0000-0000-0000A80B0000}"/>
    <cellStyle name="Normale 2 2 5" xfId="2985" xr:uid="{00000000-0005-0000-0000-0000A90B0000}"/>
    <cellStyle name="Normale 2 2 6" xfId="2986" xr:uid="{00000000-0005-0000-0000-0000AA0B0000}"/>
    <cellStyle name="Normale 2 3" xfId="2987" xr:uid="{00000000-0005-0000-0000-0000AB0B0000}"/>
    <cellStyle name="Normale 2 3 2" xfId="2988" xr:uid="{00000000-0005-0000-0000-0000AC0B0000}"/>
    <cellStyle name="Normale 2 4" xfId="2989" xr:uid="{00000000-0005-0000-0000-0000AD0B0000}"/>
    <cellStyle name="Normale 2 5" xfId="2990" xr:uid="{00000000-0005-0000-0000-0000AE0B0000}"/>
    <cellStyle name="Normale 2 6" xfId="2991" xr:uid="{00000000-0005-0000-0000-0000AF0B0000}"/>
    <cellStyle name="Normale 2 7" xfId="2992" xr:uid="{00000000-0005-0000-0000-0000B00B0000}"/>
    <cellStyle name="Normale 2 8" xfId="2993" xr:uid="{00000000-0005-0000-0000-0000B10B0000}"/>
    <cellStyle name="Normale 2 9" xfId="2994" xr:uid="{00000000-0005-0000-0000-0000B20B0000}"/>
    <cellStyle name="Normale 3" xfId="2995" xr:uid="{00000000-0005-0000-0000-0000B30B0000}"/>
    <cellStyle name="Normale 3 2" xfId="2996" xr:uid="{00000000-0005-0000-0000-0000B40B0000}"/>
    <cellStyle name="Normale 3 2 2" xfId="2997" xr:uid="{00000000-0005-0000-0000-0000B50B0000}"/>
    <cellStyle name="Normale 3 2 2 2" xfId="2998" xr:uid="{00000000-0005-0000-0000-0000B60B0000}"/>
    <cellStyle name="Normale 3 2 3" xfId="2999" xr:uid="{00000000-0005-0000-0000-0000B70B0000}"/>
    <cellStyle name="Normale 3 2 4" xfId="3000" xr:uid="{00000000-0005-0000-0000-0000B80B0000}"/>
    <cellStyle name="Normale 3 2 5" xfId="3001" xr:uid="{00000000-0005-0000-0000-0000B90B0000}"/>
    <cellStyle name="Normale 3 2 6" xfId="3002" xr:uid="{00000000-0005-0000-0000-0000BA0B0000}"/>
    <cellStyle name="Normale 3 3" xfId="3003" xr:uid="{00000000-0005-0000-0000-0000BB0B0000}"/>
    <cellStyle name="Normale 3 3 2" xfId="3004" xr:uid="{00000000-0005-0000-0000-0000BC0B0000}"/>
    <cellStyle name="Normale 3 4" xfId="3005" xr:uid="{00000000-0005-0000-0000-0000BD0B0000}"/>
    <cellStyle name="Normale 3 5" xfId="3006" xr:uid="{00000000-0005-0000-0000-0000BE0B0000}"/>
    <cellStyle name="Normale 3 6" xfId="3007" xr:uid="{00000000-0005-0000-0000-0000BF0B0000}"/>
    <cellStyle name="Normale 3 7" xfId="3008" xr:uid="{00000000-0005-0000-0000-0000C00B0000}"/>
    <cellStyle name="Normale 3 8" xfId="3009" xr:uid="{00000000-0005-0000-0000-0000C10B0000}"/>
    <cellStyle name="Normale 3 9" xfId="3010" xr:uid="{00000000-0005-0000-0000-0000C20B0000}"/>
    <cellStyle name="Normale 4" xfId="3011" xr:uid="{00000000-0005-0000-0000-0000C30B0000}"/>
    <cellStyle name="Normale 4 2" xfId="3012" xr:uid="{00000000-0005-0000-0000-0000C40B0000}"/>
    <cellStyle name="Normale 4 2 2" xfId="3013" xr:uid="{00000000-0005-0000-0000-0000C50B0000}"/>
    <cellStyle name="Normale 4 2 3" xfId="3014" xr:uid="{00000000-0005-0000-0000-0000C60B0000}"/>
    <cellStyle name="Normale 6" xfId="3015" xr:uid="{00000000-0005-0000-0000-0000C70B0000}"/>
    <cellStyle name="Normale 6 2" xfId="3016" xr:uid="{00000000-0005-0000-0000-0000C80B0000}"/>
    <cellStyle name="Normale 6 2 2" xfId="3017" xr:uid="{00000000-0005-0000-0000-0000C90B0000}"/>
    <cellStyle name="Normale 6 2 2 2" xfId="3018" xr:uid="{00000000-0005-0000-0000-0000CA0B0000}"/>
    <cellStyle name="Normale 6 2 2 3" xfId="3019" xr:uid="{00000000-0005-0000-0000-0000CB0B0000}"/>
    <cellStyle name="Normale 6 3" xfId="3020" xr:uid="{00000000-0005-0000-0000-0000CC0B0000}"/>
    <cellStyle name="Normale 6 3 2" xfId="3021" xr:uid="{00000000-0005-0000-0000-0000CD0B0000}"/>
    <cellStyle name="Normale 6 3 3" xfId="3022" xr:uid="{00000000-0005-0000-0000-0000CE0B0000}"/>
    <cellStyle name="Normale_classe A" xfId="3023" xr:uid="{00000000-0005-0000-0000-0000CF0B0000}"/>
    <cellStyle name="Normalno 2" xfId="3024" xr:uid="{00000000-0005-0000-0000-0000D00B0000}"/>
    <cellStyle name="Normalno 2 2" xfId="3025" xr:uid="{00000000-0005-0000-0000-0000D10B0000}"/>
    <cellStyle name="Normalno 2 2 2" xfId="3026" xr:uid="{00000000-0005-0000-0000-0000D20B0000}"/>
    <cellStyle name="Normalno 2 2 3" xfId="3027" xr:uid="{00000000-0005-0000-0000-0000D30B0000}"/>
    <cellStyle name="Normalno 2 3" xfId="3028" xr:uid="{00000000-0005-0000-0000-0000D40B0000}"/>
    <cellStyle name="Normalno 2 4" xfId="3029" xr:uid="{00000000-0005-0000-0000-0000D50B0000}"/>
    <cellStyle name="Normalno 2 5" xfId="3030" xr:uid="{00000000-0005-0000-0000-0000D60B0000}"/>
    <cellStyle name="Normalno 2 5 2" xfId="3031" xr:uid="{00000000-0005-0000-0000-0000D70B0000}"/>
    <cellStyle name="Normalno 2 5 3" xfId="3032" xr:uid="{00000000-0005-0000-0000-0000D80B0000}"/>
    <cellStyle name="Nota" xfId="3033" xr:uid="{00000000-0005-0000-0000-0000D90B0000}"/>
    <cellStyle name="Nota 10" xfId="3034" xr:uid="{00000000-0005-0000-0000-0000DA0B0000}"/>
    <cellStyle name="Nota 10 2" xfId="3035" xr:uid="{00000000-0005-0000-0000-0000DB0B0000}"/>
    <cellStyle name="Nota 10 3" xfId="3036" xr:uid="{00000000-0005-0000-0000-0000DC0B0000}"/>
    <cellStyle name="Nota 10 4" xfId="3037" xr:uid="{00000000-0005-0000-0000-0000DD0B0000}"/>
    <cellStyle name="Nota 10 5" xfId="3038" xr:uid="{00000000-0005-0000-0000-0000DE0B0000}"/>
    <cellStyle name="Nota 10 6" xfId="3039" xr:uid="{00000000-0005-0000-0000-0000DF0B0000}"/>
    <cellStyle name="Nota 11" xfId="3040" xr:uid="{00000000-0005-0000-0000-0000E00B0000}"/>
    <cellStyle name="Nota 11 2" xfId="3041" xr:uid="{00000000-0005-0000-0000-0000E10B0000}"/>
    <cellStyle name="Nota 11 3" xfId="3042" xr:uid="{00000000-0005-0000-0000-0000E20B0000}"/>
    <cellStyle name="Nota 11 4" xfId="3043" xr:uid="{00000000-0005-0000-0000-0000E30B0000}"/>
    <cellStyle name="Nota 11 5" xfId="3044" xr:uid="{00000000-0005-0000-0000-0000E40B0000}"/>
    <cellStyle name="Nota 11 6" xfId="3045" xr:uid="{00000000-0005-0000-0000-0000E50B0000}"/>
    <cellStyle name="Nota 12" xfId="3046" xr:uid="{00000000-0005-0000-0000-0000E60B0000}"/>
    <cellStyle name="Nota 12 2" xfId="3047" xr:uid="{00000000-0005-0000-0000-0000E70B0000}"/>
    <cellStyle name="Nota 12 3" xfId="3048" xr:uid="{00000000-0005-0000-0000-0000E80B0000}"/>
    <cellStyle name="Nota 12 4" xfId="3049" xr:uid="{00000000-0005-0000-0000-0000E90B0000}"/>
    <cellStyle name="Nota 12 5" xfId="3050" xr:uid="{00000000-0005-0000-0000-0000EA0B0000}"/>
    <cellStyle name="Nota 12 6" xfId="3051" xr:uid="{00000000-0005-0000-0000-0000EB0B0000}"/>
    <cellStyle name="Nota 13" xfId="3052" xr:uid="{00000000-0005-0000-0000-0000EC0B0000}"/>
    <cellStyle name="Nota 13 2" xfId="3053" xr:uid="{00000000-0005-0000-0000-0000ED0B0000}"/>
    <cellStyle name="Nota 13 3" xfId="3054" xr:uid="{00000000-0005-0000-0000-0000EE0B0000}"/>
    <cellStyle name="Nota 13 4" xfId="3055" xr:uid="{00000000-0005-0000-0000-0000EF0B0000}"/>
    <cellStyle name="Nota 13 5" xfId="3056" xr:uid="{00000000-0005-0000-0000-0000F00B0000}"/>
    <cellStyle name="Nota 13 6" xfId="3057" xr:uid="{00000000-0005-0000-0000-0000F10B0000}"/>
    <cellStyle name="Nota 14" xfId="3058" xr:uid="{00000000-0005-0000-0000-0000F20B0000}"/>
    <cellStyle name="Nota 14 2" xfId="3059" xr:uid="{00000000-0005-0000-0000-0000F30B0000}"/>
    <cellStyle name="Nota 14 3" xfId="3060" xr:uid="{00000000-0005-0000-0000-0000F40B0000}"/>
    <cellStyle name="Nota 14 4" xfId="3061" xr:uid="{00000000-0005-0000-0000-0000F50B0000}"/>
    <cellStyle name="Nota 14 5" xfId="3062" xr:uid="{00000000-0005-0000-0000-0000F60B0000}"/>
    <cellStyle name="Nota 14 6" xfId="3063" xr:uid="{00000000-0005-0000-0000-0000F70B0000}"/>
    <cellStyle name="Nota 15" xfId="3064" xr:uid="{00000000-0005-0000-0000-0000F80B0000}"/>
    <cellStyle name="Nota 15 2" xfId="3065" xr:uid="{00000000-0005-0000-0000-0000F90B0000}"/>
    <cellStyle name="Nota 15 3" xfId="3066" xr:uid="{00000000-0005-0000-0000-0000FA0B0000}"/>
    <cellStyle name="Nota 15 4" xfId="3067" xr:uid="{00000000-0005-0000-0000-0000FB0B0000}"/>
    <cellStyle name="Nota 15 5" xfId="3068" xr:uid="{00000000-0005-0000-0000-0000FC0B0000}"/>
    <cellStyle name="Nota 15 6" xfId="3069" xr:uid="{00000000-0005-0000-0000-0000FD0B0000}"/>
    <cellStyle name="Nota 16" xfId="3070" xr:uid="{00000000-0005-0000-0000-0000FE0B0000}"/>
    <cellStyle name="Nota 16 2" xfId="3071" xr:uid="{00000000-0005-0000-0000-0000FF0B0000}"/>
    <cellStyle name="Nota 16 2 2" xfId="3072" xr:uid="{00000000-0005-0000-0000-0000000C0000}"/>
    <cellStyle name="Nota 16 3" xfId="3073" xr:uid="{00000000-0005-0000-0000-0000010C0000}"/>
    <cellStyle name="Nota 16 4" xfId="3074" xr:uid="{00000000-0005-0000-0000-0000020C0000}"/>
    <cellStyle name="Nota 16 5" xfId="3075" xr:uid="{00000000-0005-0000-0000-0000030C0000}"/>
    <cellStyle name="Nota 16 6" xfId="3076" xr:uid="{00000000-0005-0000-0000-0000040C0000}"/>
    <cellStyle name="Nota 17" xfId="3077" xr:uid="{00000000-0005-0000-0000-0000050C0000}"/>
    <cellStyle name="Nota 17 2" xfId="3078" xr:uid="{00000000-0005-0000-0000-0000060C0000}"/>
    <cellStyle name="Nota 18" xfId="3079" xr:uid="{00000000-0005-0000-0000-0000070C0000}"/>
    <cellStyle name="Nota 19" xfId="3080" xr:uid="{00000000-0005-0000-0000-0000080C0000}"/>
    <cellStyle name="Nota 2" xfId="3081" xr:uid="{00000000-0005-0000-0000-0000090C0000}"/>
    <cellStyle name="Nota 2 2" xfId="3082" xr:uid="{00000000-0005-0000-0000-00000A0C0000}"/>
    <cellStyle name="Nota 2 3" xfId="3083" xr:uid="{00000000-0005-0000-0000-00000B0C0000}"/>
    <cellStyle name="Nota 2 4" xfId="3084" xr:uid="{00000000-0005-0000-0000-00000C0C0000}"/>
    <cellStyle name="Nota 2 5" xfId="3085" xr:uid="{00000000-0005-0000-0000-00000D0C0000}"/>
    <cellStyle name="Nota 2 6" xfId="3086" xr:uid="{00000000-0005-0000-0000-00000E0C0000}"/>
    <cellStyle name="Nota 20" xfId="3087" xr:uid="{00000000-0005-0000-0000-00000F0C0000}"/>
    <cellStyle name="Nota 21" xfId="3088" xr:uid="{00000000-0005-0000-0000-0000100C0000}"/>
    <cellStyle name="Nota 22" xfId="3089" xr:uid="{00000000-0005-0000-0000-0000110C0000}"/>
    <cellStyle name="Nota 23" xfId="3090" xr:uid="{00000000-0005-0000-0000-0000120C0000}"/>
    <cellStyle name="Nota 3" xfId="3091" xr:uid="{00000000-0005-0000-0000-0000130C0000}"/>
    <cellStyle name="Nota 3 2" xfId="3092" xr:uid="{00000000-0005-0000-0000-0000140C0000}"/>
    <cellStyle name="Nota 3 3" xfId="3093" xr:uid="{00000000-0005-0000-0000-0000150C0000}"/>
    <cellStyle name="Nota 3 4" xfId="3094" xr:uid="{00000000-0005-0000-0000-0000160C0000}"/>
    <cellStyle name="Nota 3 5" xfId="3095" xr:uid="{00000000-0005-0000-0000-0000170C0000}"/>
    <cellStyle name="Nota 3 6" xfId="3096" xr:uid="{00000000-0005-0000-0000-0000180C0000}"/>
    <cellStyle name="Nota 4" xfId="3097" xr:uid="{00000000-0005-0000-0000-0000190C0000}"/>
    <cellStyle name="Nota 4 2" xfId="3098" xr:uid="{00000000-0005-0000-0000-00001A0C0000}"/>
    <cellStyle name="Nota 4 3" xfId="3099" xr:uid="{00000000-0005-0000-0000-00001B0C0000}"/>
    <cellStyle name="Nota 4 4" xfId="3100" xr:uid="{00000000-0005-0000-0000-00001C0C0000}"/>
    <cellStyle name="Nota 4 5" xfId="3101" xr:uid="{00000000-0005-0000-0000-00001D0C0000}"/>
    <cellStyle name="Nota 4 6" xfId="3102" xr:uid="{00000000-0005-0000-0000-00001E0C0000}"/>
    <cellStyle name="Nota 5" xfId="3103" xr:uid="{00000000-0005-0000-0000-00001F0C0000}"/>
    <cellStyle name="Nota 5 2" xfId="3104" xr:uid="{00000000-0005-0000-0000-0000200C0000}"/>
    <cellStyle name="Nota 5 3" xfId="3105" xr:uid="{00000000-0005-0000-0000-0000210C0000}"/>
    <cellStyle name="Nota 5 4" xfId="3106" xr:uid="{00000000-0005-0000-0000-0000220C0000}"/>
    <cellStyle name="Nota 5 5" xfId="3107" xr:uid="{00000000-0005-0000-0000-0000230C0000}"/>
    <cellStyle name="Nota 5 6" xfId="3108" xr:uid="{00000000-0005-0000-0000-0000240C0000}"/>
    <cellStyle name="Nota 6" xfId="3109" xr:uid="{00000000-0005-0000-0000-0000250C0000}"/>
    <cellStyle name="Nota 6 2" xfId="3110" xr:uid="{00000000-0005-0000-0000-0000260C0000}"/>
    <cellStyle name="Nota 6 3" xfId="3111" xr:uid="{00000000-0005-0000-0000-0000270C0000}"/>
    <cellStyle name="Nota 6 4" xfId="3112" xr:uid="{00000000-0005-0000-0000-0000280C0000}"/>
    <cellStyle name="Nota 6 5" xfId="3113" xr:uid="{00000000-0005-0000-0000-0000290C0000}"/>
    <cellStyle name="Nota 6 6" xfId="3114" xr:uid="{00000000-0005-0000-0000-00002A0C0000}"/>
    <cellStyle name="Nota 7" xfId="3115" xr:uid="{00000000-0005-0000-0000-00002B0C0000}"/>
    <cellStyle name="Nota 7 2" xfId="3116" xr:uid="{00000000-0005-0000-0000-00002C0C0000}"/>
    <cellStyle name="Nota 7 3" xfId="3117" xr:uid="{00000000-0005-0000-0000-00002D0C0000}"/>
    <cellStyle name="Nota 7 4" xfId="3118" xr:uid="{00000000-0005-0000-0000-00002E0C0000}"/>
    <cellStyle name="Nota 7 5" xfId="3119" xr:uid="{00000000-0005-0000-0000-00002F0C0000}"/>
    <cellStyle name="Nota 7 6" xfId="3120" xr:uid="{00000000-0005-0000-0000-0000300C0000}"/>
    <cellStyle name="Nota 8" xfId="3121" xr:uid="{00000000-0005-0000-0000-0000310C0000}"/>
    <cellStyle name="Nota 8 2" xfId="3122" xr:uid="{00000000-0005-0000-0000-0000320C0000}"/>
    <cellStyle name="Nota 8 3" xfId="3123" xr:uid="{00000000-0005-0000-0000-0000330C0000}"/>
    <cellStyle name="Nota 8 4" xfId="3124" xr:uid="{00000000-0005-0000-0000-0000340C0000}"/>
    <cellStyle name="Nota 8 5" xfId="3125" xr:uid="{00000000-0005-0000-0000-0000350C0000}"/>
    <cellStyle name="Nota 8 6" xfId="3126" xr:uid="{00000000-0005-0000-0000-0000360C0000}"/>
    <cellStyle name="Nota 9" xfId="3127" xr:uid="{00000000-0005-0000-0000-0000370C0000}"/>
    <cellStyle name="Nota 9 2" xfId="3128" xr:uid="{00000000-0005-0000-0000-0000380C0000}"/>
    <cellStyle name="Nota 9 3" xfId="3129" xr:uid="{00000000-0005-0000-0000-0000390C0000}"/>
    <cellStyle name="Nota 9 4" xfId="3130" xr:uid="{00000000-0005-0000-0000-00003A0C0000}"/>
    <cellStyle name="Nota 9 5" xfId="3131" xr:uid="{00000000-0005-0000-0000-00003B0C0000}"/>
    <cellStyle name="Nota 9 6" xfId="3132" xr:uid="{00000000-0005-0000-0000-00003C0C0000}"/>
    <cellStyle name="Note 2" xfId="3133" xr:uid="{00000000-0005-0000-0000-00003D0C0000}"/>
    <cellStyle name="Note 2 10" xfId="3134" xr:uid="{00000000-0005-0000-0000-00003E0C0000}"/>
    <cellStyle name="Note 2 11" xfId="3135" xr:uid="{00000000-0005-0000-0000-00003F0C0000}"/>
    <cellStyle name="Note 2 12" xfId="3136" xr:uid="{00000000-0005-0000-0000-0000400C0000}"/>
    <cellStyle name="Note 2 13" xfId="3137" xr:uid="{00000000-0005-0000-0000-0000410C0000}"/>
    <cellStyle name="Note 2 14" xfId="3138" xr:uid="{00000000-0005-0000-0000-0000420C0000}"/>
    <cellStyle name="Note 2 15" xfId="3139" xr:uid="{00000000-0005-0000-0000-0000430C0000}"/>
    <cellStyle name="Note 2 16" xfId="3140" xr:uid="{00000000-0005-0000-0000-0000440C0000}"/>
    <cellStyle name="Note 2 17" xfId="3141" xr:uid="{00000000-0005-0000-0000-0000450C0000}"/>
    <cellStyle name="Note 2 18" xfId="3142" xr:uid="{00000000-0005-0000-0000-0000460C0000}"/>
    <cellStyle name="Note 2 19" xfId="3143" xr:uid="{00000000-0005-0000-0000-0000470C0000}"/>
    <cellStyle name="Note 2 2" xfId="3144" xr:uid="{00000000-0005-0000-0000-0000480C0000}"/>
    <cellStyle name="Note 2 2 2" xfId="3145" xr:uid="{00000000-0005-0000-0000-0000490C0000}"/>
    <cellStyle name="Note 2 2 3" xfId="3146" xr:uid="{00000000-0005-0000-0000-00004A0C0000}"/>
    <cellStyle name="Note 2 2 3 2" xfId="3147" xr:uid="{00000000-0005-0000-0000-00004B0C0000}"/>
    <cellStyle name="Note 2 2 3 3" xfId="3148" xr:uid="{00000000-0005-0000-0000-00004C0C0000}"/>
    <cellStyle name="Note 2 2 3 4" xfId="3149" xr:uid="{00000000-0005-0000-0000-00004D0C0000}"/>
    <cellStyle name="Note 2 2 4" xfId="3150" xr:uid="{00000000-0005-0000-0000-00004E0C0000}"/>
    <cellStyle name="Note 2 2 5" xfId="3151" xr:uid="{00000000-0005-0000-0000-00004F0C0000}"/>
    <cellStyle name="Note 2 2 6" xfId="3152" xr:uid="{00000000-0005-0000-0000-0000500C0000}"/>
    <cellStyle name="Note 2 2 7" xfId="3153" xr:uid="{00000000-0005-0000-0000-0000510C0000}"/>
    <cellStyle name="Note 2 20" xfId="3154" xr:uid="{00000000-0005-0000-0000-0000520C0000}"/>
    <cellStyle name="Note 2 20 2" xfId="3155" xr:uid="{00000000-0005-0000-0000-0000530C0000}"/>
    <cellStyle name="Note 2 20 3" xfId="3156" xr:uid="{00000000-0005-0000-0000-0000540C0000}"/>
    <cellStyle name="Note 2 20 4" xfId="3157" xr:uid="{00000000-0005-0000-0000-0000550C0000}"/>
    <cellStyle name="Note 2 21" xfId="3158" xr:uid="{00000000-0005-0000-0000-0000560C0000}"/>
    <cellStyle name="Note 2 22" xfId="3159" xr:uid="{00000000-0005-0000-0000-0000570C0000}"/>
    <cellStyle name="Note 2 23" xfId="3160" xr:uid="{00000000-0005-0000-0000-0000580C0000}"/>
    <cellStyle name="Note 2 24" xfId="3161" xr:uid="{00000000-0005-0000-0000-0000590C0000}"/>
    <cellStyle name="Note 2 25" xfId="3162" xr:uid="{00000000-0005-0000-0000-00005A0C0000}"/>
    <cellStyle name="Note 2 3" xfId="3163" xr:uid="{00000000-0005-0000-0000-00005B0C0000}"/>
    <cellStyle name="Note 2 4" xfId="3164" xr:uid="{00000000-0005-0000-0000-00005C0C0000}"/>
    <cellStyle name="Note 2 5" xfId="3165" xr:uid="{00000000-0005-0000-0000-00005D0C0000}"/>
    <cellStyle name="Note 2 6" xfId="3166" xr:uid="{00000000-0005-0000-0000-00005E0C0000}"/>
    <cellStyle name="Note 2 7" xfId="3167" xr:uid="{00000000-0005-0000-0000-00005F0C0000}"/>
    <cellStyle name="Note 2 8" xfId="3168" xr:uid="{00000000-0005-0000-0000-0000600C0000}"/>
    <cellStyle name="Note 2 9" xfId="3169" xr:uid="{00000000-0005-0000-0000-0000610C0000}"/>
    <cellStyle name="Note 3 10" xfId="3170" xr:uid="{00000000-0005-0000-0000-0000620C0000}"/>
    <cellStyle name="Note 3 11" xfId="3171" xr:uid="{00000000-0005-0000-0000-0000630C0000}"/>
    <cellStyle name="Note 3 12" xfId="3172" xr:uid="{00000000-0005-0000-0000-0000640C0000}"/>
    <cellStyle name="Note 3 13" xfId="3173" xr:uid="{00000000-0005-0000-0000-0000650C0000}"/>
    <cellStyle name="Note 3 14" xfId="3174" xr:uid="{00000000-0005-0000-0000-0000660C0000}"/>
    <cellStyle name="Note 3 15" xfId="3175" xr:uid="{00000000-0005-0000-0000-0000670C0000}"/>
    <cellStyle name="Note 3 16" xfId="3176" xr:uid="{00000000-0005-0000-0000-0000680C0000}"/>
    <cellStyle name="Note 3 17" xfId="3177" xr:uid="{00000000-0005-0000-0000-0000690C0000}"/>
    <cellStyle name="Note 3 2" xfId="3178" xr:uid="{00000000-0005-0000-0000-00006A0C0000}"/>
    <cellStyle name="Note 3 3" xfId="3179" xr:uid="{00000000-0005-0000-0000-00006B0C0000}"/>
    <cellStyle name="Note 3 4" xfId="3180" xr:uid="{00000000-0005-0000-0000-00006C0C0000}"/>
    <cellStyle name="Note 3 5" xfId="3181" xr:uid="{00000000-0005-0000-0000-00006D0C0000}"/>
    <cellStyle name="Note 3 6" xfId="3182" xr:uid="{00000000-0005-0000-0000-00006E0C0000}"/>
    <cellStyle name="Note 3 7" xfId="3183" xr:uid="{00000000-0005-0000-0000-00006F0C0000}"/>
    <cellStyle name="Note 3 8" xfId="3184" xr:uid="{00000000-0005-0000-0000-0000700C0000}"/>
    <cellStyle name="Note 3 9" xfId="3185" xr:uid="{00000000-0005-0000-0000-0000710C0000}"/>
    <cellStyle name="Output 2" xfId="3186" xr:uid="{00000000-0005-0000-0000-0000720C0000}"/>
    <cellStyle name="Output 2 10" xfId="3187" xr:uid="{00000000-0005-0000-0000-0000730C0000}"/>
    <cellStyle name="Output 2 11" xfId="3188" xr:uid="{00000000-0005-0000-0000-0000740C0000}"/>
    <cellStyle name="Output 2 12" xfId="3189" xr:uid="{00000000-0005-0000-0000-0000750C0000}"/>
    <cellStyle name="Output 2 13" xfId="3190" xr:uid="{00000000-0005-0000-0000-0000760C0000}"/>
    <cellStyle name="Output 2 14" xfId="3191" xr:uid="{00000000-0005-0000-0000-0000770C0000}"/>
    <cellStyle name="Output 2 15" xfId="3192" xr:uid="{00000000-0005-0000-0000-0000780C0000}"/>
    <cellStyle name="Output 2 16" xfId="3193" xr:uid="{00000000-0005-0000-0000-0000790C0000}"/>
    <cellStyle name="Output 2 17" xfId="3194" xr:uid="{00000000-0005-0000-0000-00007A0C0000}"/>
    <cellStyle name="Output 2 18" xfId="3195" xr:uid="{00000000-0005-0000-0000-00007B0C0000}"/>
    <cellStyle name="Output 2 19" xfId="3196" xr:uid="{00000000-0005-0000-0000-00007C0C0000}"/>
    <cellStyle name="Output 2 2" xfId="3197" xr:uid="{00000000-0005-0000-0000-00007D0C0000}"/>
    <cellStyle name="Output 2 20" xfId="3198" xr:uid="{00000000-0005-0000-0000-00007E0C0000}"/>
    <cellStyle name="Output 2 3" xfId="3199" xr:uid="{00000000-0005-0000-0000-00007F0C0000}"/>
    <cellStyle name="Output 2 4" xfId="3200" xr:uid="{00000000-0005-0000-0000-0000800C0000}"/>
    <cellStyle name="Output 2 5" xfId="3201" xr:uid="{00000000-0005-0000-0000-0000810C0000}"/>
    <cellStyle name="Output 2 6" xfId="3202" xr:uid="{00000000-0005-0000-0000-0000820C0000}"/>
    <cellStyle name="Output 2 7" xfId="3203" xr:uid="{00000000-0005-0000-0000-0000830C0000}"/>
    <cellStyle name="Output 2 8" xfId="3204" xr:uid="{00000000-0005-0000-0000-0000840C0000}"/>
    <cellStyle name="Output 2 9" xfId="3205" xr:uid="{00000000-0005-0000-0000-0000850C0000}"/>
    <cellStyle name="Output 3" xfId="3206" xr:uid="{00000000-0005-0000-0000-0000860C0000}"/>
    <cellStyle name="Output 3 10" xfId="3207" xr:uid="{00000000-0005-0000-0000-0000870C0000}"/>
    <cellStyle name="Output 3 11" xfId="3208" xr:uid="{00000000-0005-0000-0000-0000880C0000}"/>
    <cellStyle name="Output 3 12" xfId="3209" xr:uid="{00000000-0005-0000-0000-0000890C0000}"/>
    <cellStyle name="Output 3 13" xfId="3210" xr:uid="{00000000-0005-0000-0000-00008A0C0000}"/>
    <cellStyle name="Output 3 14" xfId="3211" xr:uid="{00000000-0005-0000-0000-00008B0C0000}"/>
    <cellStyle name="Output 3 15" xfId="3212" xr:uid="{00000000-0005-0000-0000-00008C0C0000}"/>
    <cellStyle name="Output 3 16" xfId="3213" xr:uid="{00000000-0005-0000-0000-00008D0C0000}"/>
    <cellStyle name="Output 3 17" xfId="3214" xr:uid="{00000000-0005-0000-0000-00008E0C0000}"/>
    <cellStyle name="Output 3 2" xfId="3215" xr:uid="{00000000-0005-0000-0000-00008F0C0000}"/>
    <cellStyle name="Output 3 3" xfId="3216" xr:uid="{00000000-0005-0000-0000-0000900C0000}"/>
    <cellStyle name="Output 3 4" xfId="3217" xr:uid="{00000000-0005-0000-0000-0000910C0000}"/>
    <cellStyle name="Output 3 5" xfId="3218" xr:uid="{00000000-0005-0000-0000-0000920C0000}"/>
    <cellStyle name="Output 3 6" xfId="3219" xr:uid="{00000000-0005-0000-0000-0000930C0000}"/>
    <cellStyle name="Output 3 7" xfId="3220" xr:uid="{00000000-0005-0000-0000-0000940C0000}"/>
    <cellStyle name="Output 3 8" xfId="3221" xr:uid="{00000000-0005-0000-0000-0000950C0000}"/>
    <cellStyle name="Output 3 9" xfId="3222" xr:uid="{00000000-0005-0000-0000-0000960C0000}"/>
    <cellStyle name="Output 4" xfId="3223" xr:uid="{00000000-0005-0000-0000-0000970C0000}"/>
    <cellStyle name="Percent 10" xfId="3224" xr:uid="{00000000-0005-0000-0000-0000980C0000}"/>
    <cellStyle name="Percent 11" xfId="3225" xr:uid="{00000000-0005-0000-0000-0000990C0000}"/>
    <cellStyle name="Percent 2" xfId="3226" xr:uid="{00000000-0005-0000-0000-00009A0C0000}"/>
    <cellStyle name="Percent 2 10" xfId="3227" xr:uid="{00000000-0005-0000-0000-00009B0C0000}"/>
    <cellStyle name="Percent 2 11" xfId="3228" xr:uid="{00000000-0005-0000-0000-00009C0C0000}"/>
    <cellStyle name="Percent 2 12" xfId="3229" xr:uid="{00000000-0005-0000-0000-00009D0C0000}"/>
    <cellStyle name="Percent 2 12 2" xfId="3230" xr:uid="{00000000-0005-0000-0000-00009E0C0000}"/>
    <cellStyle name="Percent 2 12 3" xfId="3231" xr:uid="{00000000-0005-0000-0000-00009F0C0000}"/>
    <cellStyle name="Percent 2 13" xfId="3232" xr:uid="{00000000-0005-0000-0000-0000A00C0000}"/>
    <cellStyle name="Percent 2 13 2" xfId="3233" xr:uid="{00000000-0005-0000-0000-0000A10C0000}"/>
    <cellStyle name="Percent 2 13 2 2" xfId="3234" xr:uid="{00000000-0005-0000-0000-0000A20C0000}"/>
    <cellStyle name="Percent 2 13 2 3" xfId="3235" xr:uid="{00000000-0005-0000-0000-0000A30C0000}"/>
    <cellStyle name="Percent 2 13 2 4" xfId="3236" xr:uid="{00000000-0005-0000-0000-0000A40C0000}"/>
    <cellStyle name="Percent 2 13 2 5" xfId="3237" xr:uid="{00000000-0005-0000-0000-0000A50C0000}"/>
    <cellStyle name="Percent 2 13 3" xfId="3238" xr:uid="{00000000-0005-0000-0000-0000A60C0000}"/>
    <cellStyle name="Percent 2 13 4" xfId="3239" xr:uid="{00000000-0005-0000-0000-0000A70C0000}"/>
    <cellStyle name="Percent 2 13 5" xfId="3240" xr:uid="{00000000-0005-0000-0000-0000A80C0000}"/>
    <cellStyle name="Percent 2 13 6" xfId="3241" xr:uid="{00000000-0005-0000-0000-0000A90C0000}"/>
    <cellStyle name="Percent 2 14" xfId="3242" xr:uid="{00000000-0005-0000-0000-0000AA0C0000}"/>
    <cellStyle name="Percent 2 15" xfId="3243" xr:uid="{00000000-0005-0000-0000-0000AB0C0000}"/>
    <cellStyle name="Percent 2 2" xfId="3244" xr:uid="{00000000-0005-0000-0000-0000AC0C0000}"/>
    <cellStyle name="Percent 2 2 2" xfId="3245" xr:uid="{00000000-0005-0000-0000-0000AD0C0000}"/>
    <cellStyle name="Percent 2 2 2 2" xfId="3246" xr:uid="{00000000-0005-0000-0000-0000AE0C0000}"/>
    <cellStyle name="Percent 2 2 2 2 2" xfId="3247" xr:uid="{00000000-0005-0000-0000-0000AF0C0000}"/>
    <cellStyle name="Percent 2 2 2 3" xfId="3248" xr:uid="{00000000-0005-0000-0000-0000B00C0000}"/>
    <cellStyle name="Percent 2 2 2 3 2" xfId="3249" xr:uid="{00000000-0005-0000-0000-0000B10C0000}"/>
    <cellStyle name="Percent 2 2 2 3 3" xfId="3250" xr:uid="{00000000-0005-0000-0000-0000B20C0000}"/>
    <cellStyle name="Percent 2 2 2 3 4" xfId="3251" xr:uid="{00000000-0005-0000-0000-0000B30C0000}"/>
    <cellStyle name="Percent 2 2 3" xfId="3252" xr:uid="{00000000-0005-0000-0000-0000B40C0000}"/>
    <cellStyle name="Percent 2 2 3 2" xfId="3253" xr:uid="{00000000-0005-0000-0000-0000B50C0000}"/>
    <cellStyle name="Percent 2 2 4" xfId="3254" xr:uid="{00000000-0005-0000-0000-0000B60C0000}"/>
    <cellStyle name="Percent 2 2 5" xfId="3255" xr:uid="{00000000-0005-0000-0000-0000B70C0000}"/>
    <cellStyle name="Percent 2 2 6" xfId="3256" xr:uid="{00000000-0005-0000-0000-0000B80C0000}"/>
    <cellStyle name="Percent 2 2 7" xfId="3257" xr:uid="{00000000-0005-0000-0000-0000B90C0000}"/>
    <cellStyle name="Percent 2 2 8" xfId="3258" xr:uid="{00000000-0005-0000-0000-0000BA0C0000}"/>
    <cellStyle name="Percent 2 3" xfId="3259" xr:uid="{00000000-0005-0000-0000-0000BB0C0000}"/>
    <cellStyle name="Percent 2 3 2" xfId="3260" xr:uid="{00000000-0005-0000-0000-0000BC0C0000}"/>
    <cellStyle name="Percent 2 3 3" xfId="3261" xr:uid="{00000000-0005-0000-0000-0000BD0C0000}"/>
    <cellStyle name="Percent 2 4" xfId="3262" xr:uid="{00000000-0005-0000-0000-0000BE0C0000}"/>
    <cellStyle name="Percent 2 5" xfId="3263" xr:uid="{00000000-0005-0000-0000-0000BF0C0000}"/>
    <cellStyle name="Percent 2 6" xfId="3264" xr:uid="{00000000-0005-0000-0000-0000C00C0000}"/>
    <cellStyle name="Percent 2 7" xfId="3265" xr:uid="{00000000-0005-0000-0000-0000C10C0000}"/>
    <cellStyle name="Percent 2 8" xfId="3266" xr:uid="{00000000-0005-0000-0000-0000C20C0000}"/>
    <cellStyle name="Percent 2 9" xfId="3267" xr:uid="{00000000-0005-0000-0000-0000C30C0000}"/>
    <cellStyle name="Percent 3" xfId="3268" xr:uid="{00000000-0005-0000-0000-0000C40C0000}"/>
    <cellStyle name="Percent 3 2" xfId="3269" xr:uid="{00000000-0005-0000-0000-0000C50C0000}"/>
    <cellStyle name="Percent 3 2 2" xfId="3270" xr:uid="{00000000-0005-0000-0000-0000C60C0000}"/>
    <cellStyle name="Percent 3 3" xfId="3271" xr:uid="{00000000-0005-0000-0000-0000C70C0000}"/>
    <cellStyle name="Percent 4" xfId="3272" xr:uid="{00000000-0005-0000-0000-0000C80C0000}"/>
    <cellStyle name="Percent 4 2" xfId="3273" xr:uid="{00000000-0005-0000-0000-0000C90C0000}"/>
    <cellStyle name="Percent 4 2 2" xfId="3274" xr:uid="{00000000-0005-0000-0000-0000CA0C0000}"/>
    <cellStyle name="Percent 4 3" xfId="3275" xr:uid="{00000000-0005-0000-0000-0000CB0C0000}"/>
    <cellStyle name="Percent 4 4" xfId="3276" xr:uid="{00000000-0005-0000-0000-0000CC0C0000}"/>
    <cellStyle name="Percent 4 4 2" xfId="3277" xr:uid="{00000000-0005-0000-0000-0000CD0C0000}"/>
    <cellStyle name="Percent 4 5" xfId="3278" xr:uid="{00000000-0005-0000-0000-0000CE0C0000}"/>
    <cellStyle name="Percent 4 6" xfId="3279" xr:uid="{00000000-0005-0000-0000-0000CF0C0000}"/>
    <cellStyle name="Percent 4 7" xfId="3280" xr:uid="{00000000-0005-0000-0000-0000D00C0000}"/>
    <cellStyle name="Percent 4 8" xfId="3281" xr:uid="{00000000-0005-0000-0000-0000D10C0000}"/>
    <cellStyle name="Percent 4 9" xfId="3282" xr:uid="{00000000-0005-0000-0000-0000D20C0000}"/>
    <cellStyle name="Percent 5" xfId="3283" xr:uid="{00000000-0005-0000-0000-0000D30C0000}"/>
    <cellStyle name="Percent 5 2" xfId="3284" xr:uid="{00000000-0005-0000-0000-0000D40C0000}"/>
    <cellStyle name="Percent 5 2 2" xfId="3285" xr:uid="{00000000-0005-0000-0000-0000D50C0000}"/>
    <cellStyle name="Percent 5 2 3" xfId="3286" xr:uid="{00000000-0005-0000-0000-0000D60C0000}"/>
    <cellStyle name="Percent 5 2 4" xfId="3287" xr:uid="{00000000-0005-0000-0000-0000D70C0000}"/>
    <cellStyle name="Percent 5 2 5" xfId="3288" xr:uid="{00000000-0005-0000-0000-0000D80C0000}"/>
    <cellStyle name="Percent 5 3" xfId="3289" xr:uid="{00000000-0005-0000-0000-0000D90C0000}"/>
    <cellStyle name="Percent 5 4" xfId="3290" xr:uid="{00000000-0005-0000-0000-0000DA0C0000}"/>
    <cellStyle name="Percent 6" xfId="3291" xr:uid="{00000000-0005-0000-0000-0000DB0C0000}"/>
    <cellStyle name="Percent 7" xfId="3292" xr:uid="{00000000-0005-0000-0000-0000DC0C0000}"/>
    <cellStyle name="Percent 7 2" xfId="3293" xr:uid="{00000000-0005-0000-0000-0000DD0C0000}"/>
    <cellStyle name="Percent 8" xfId="3294" xr:uid="{00000000-0005-0000-0000-0000DE0C0000}"/>
    <cellStyle name="Percent 8 2" xfId="3295" xr:uid="{00000000-0005-0000-0000-0000DF0C0000}"/>
    <cellStyle name="Percent 8 3" xfId="3296" xr:uid="{00000000-0005-0000-0000-0000E00C0000}"/>
    <cellStyle name="Percent 8 4" xfId="3297" xr:uid="{00000000-0005-0000-0000-0000E10C0000}"/>
    <cellStyle name="Percent 8 5" xfId="3298" xr:uid="{00000000-0005-0000-0000-0000E20C0000}"/>
    <cellStyle name="Percent 8 6" xfId="3299" xr:uid="{00000000-0005-0000-0000-0000E30C0000}"/>
    <cellStyle name="Percent 8 7" xfId="3300" xr:uid="{00000000-0005-0000-0000-0000E40C0000}"/>
    <cellStyle name="Percent 9" xfId="3301" xr:uid="{00000000-0005-0000-0000-0000E50C0000}"/>
    <cellStyle name="Testo avviso" xfId="3302" xr:uid="{00000000-0005-0000-0000-0000E60C0000}"/>
    <cellStyle name="Testo avviso 2" xfId="3303" xr:uid="{00000000-0005-0000-0000-0000E70C0000}"/>
    <cellStyle name="Testo avviso 2 2" xfId="3304" xr:uid="{00000000-0005-0000-0000-0000E80C0000}"/>
    <cellStyle name="Testo avviso 2 2 2" xfId="3305" xr:uid="{00000000-0005-0000-0000-0000E90C0000}"/>
    <cellStyle name="Testo avviso 3" xfId="3306" xr:uid="{00000000-0005-0000-0000-0000EA0C0000}"/>
    <cellStyle name="Testo avviso 4" xfId="3307" xr:uid="{00000000-0005-0000-0000-0000EB0C0000}"/>
    <cellStyle name="Testo descrittivo" xfId="3308" xr:uid="{00000000-0005-0000-0000-0000EC0C0000}"/>
    <cellStyle name="Testo descrittivo 2" xfId="3309" xr:uid="{00000000-0005-0000-0000-0000ED0C0000}"/>
    <cellStyle name="Testo descrittivo 2 2" xfId="3310" xr:uid="{00000000-0005-0000-0000-0000EE0C0000}"/>
    <cellStyle name="Testo descrittivo 2 2 2" xfId="3311" xr:uid="{00000000-0005-0000-0000-0000EF0C0000}"/>
    <cellStyle name="Testo descrittivo 3" xfId="3312" xr:uid="{00000000-0005-0000-0000-0000F00C0000}"/>
    <cellStyle name="Testo descrittivo 4" xfId="3313" xr:uid="{00000000-0005-0000-0000-0000F10C0000}"/>
    <cellStyle name="Title 2" xfId="3314" xr:uid="{00000000-0005-0000-0000-0000F20C0000}"/>
    <cellStyle name="Title 2 10" xfId="3315" xr:uid="{00000000-0005-0000-0000-0000F30C0000}"/>
    <cellStyle name="Title 2 11" xfId="3316" xr:uid="{00000000-0005-0000-0000-0000F40C0000}"/>
    <cellStyle name="Title 2 12" xfId="3317" xr:uid="{00000000-0005-0000-0000-0000F50C0000}"/>
    <cellStyle name="Title 2 13" xfId="3318" xr:uid="{00000000-0005-0000-0000-0000F60C0000}"/>
    <cellStyle name="Title 2 14" xfId="3319" xr:uid="{00000000-0005-0000-0000-0000F70C0000}"/>
    <cellStyle name="Title 2 15" xfId="3320" xr:uid="{00000000-0005-0000-0000-0000F80C0000}"/>
    <cellStyle name="Title 2 16" xfId="3321" xr:uid="{00000000-0005-0000-0000-0000F90C0000}"/>
    <cellStyle name="Title 2 17" xfId="3322" xr:uid="{00000000-0005-0000-0000-0000FA0C0000}"/>
    <cellStyle name="Title 2 18" xfId="3323" xr:uid="{00000000-0005-0000-0000-0000FB0C0000}"/>
    <cellStyle name="Title 2 19" xfId="3324" xr:uid="{00000000-0005-0000-0000-0000FC0C0000}"/>
    <cellStyle name="Title 2 2" xfId="3325" xr:uid="{00000000-0005-0000-0000-0000FD0C0000}"/>
    <cellStyle name="Title 2 3" xfId="3326" xr:uid="{00000000-0005-0000-0000-0000FE0C0000}"/>
    <cellStyle name="Title 2 4" xfId="3327" xr:uid="{00000000-0005-0000-0000-0000FF0C0000}"/>
    <cellStyle name="Title 2 5" xfId="3328" xr:uid="{00000000-0005-0000-0000-0000000D0000}"/>
    <cellStyle name="Title 2 6" xfId="3329" xr:uid="{00000000-0005-0000-0000-0000010D0000}"/>
    <cellStyle name="Title 2 7" xfId="3330" xr:uid="{00000000-0005-0000-0000-0000020D0000}"/>
    <cellStyle name="Title 2 8" xfId="3331" xr:uid="{00000000-0005-0000-0000-0000030D0000}"/>
    <cellStyle name="Title 2 9" xfId="3332" xr:uid="{00000000-0005-0000-0000-0000040D0000}"/>
    <cellStyle name="Title 3 10" xfId="3333" xr:uid="{00000000-0005-0000-0000-0000050D0000}"/>
    <cellStyle name="Title 3 11" xfId="3334" xr:uid="{00000000-0005-0000-0000-0000060D0000}"/>
    <cellStyle name="Title 3 12" xfId="3335" xr:uid="{00000000-0005-0000-0000-0000070D0000}"/>
    <cellStyle name="Title 3 13" xfId="3336" xr:uid="{00000000-0005-0000-0000-0000080D0000}"/>
    <cellStyle name="Title 3 14" xfId="3337" xr:uid="{00000000-0005-0000-0000-0000090D0000}"/>
    <cellStyle name="Title 3 15" xfId="3338" xr:uid="{00000000-0005-0000-0000-00000A0D0000}"/>
    <cellStyle name="Title 3 16" xfId="3339" xr:uid="{00000000-0005-0000-0000-00000B0D0000}"/>
    <cellStyle name="Title 3 17" xfId="3340" xr:uid="{00000000-0005-0000-0000-00000C0D0000}"/>
    <cellStyle name="Title 3 2" xfId="3341" xr:uid="{00000000-0005-0000-0000-00000D0D0000}"/>
    <cellStyle name="Title 3 3" xfId="3342" xr:uid="{00000000-0005-0000-0000-00000E0D0000}"/>
    <cellStyle name="Title 3 4" xfId="3343" xr:uid="{00000000-0005-0000-0000-00000F0D0000}"/>
    <cellStyle name="Title 3 5" xfId="3344" xr:uid="{00000000-0005-0000-0000-0000100D0000}"/>
    <cellStyle name="Title 3 6" xfId="3345" xr:uid="{00000000-0005-0000-0000-0000110D0000}"/>
    <cellStyle name="Title 3 7" xfId="3346" xr:uid="{00000000-0005-0000-0000-0000120D0000}"/>
    <cellStyle name="Title 3 8" xfId="3347" xr:uid="{00000000-0005-0000-0000-0000130D0000}"/>
    <cellStyle name="Title 3 9" xfId="3348" xr:uid="{00000000-0005-0000-0000-0000140D0000}"/>
    <cellStyle name="Titolo" xfId="3349" xr:uid="{00000000-0005-0000-0000-0000150D0000}"/>
    <cellStyle name="Titolo 1" xfId="3350" xr:uid="{00000000-0005-0000-0000-0000160D0000}"/>
    <cellStyle name="Titolo 1 2" xfId="3351" xr:uid="{00000000-0005-0000-0000-0000170D0000}"/>
    <cellStyle name="Titolo 1 2 2" xfId="3352" xr:uid="{00000000-0005-0000-0000-0000180D0000}"/>
    <cellStyle name="Titolo 1 2 2 2" xfId="3353" xr:uid="{00000000-0005-0000-0000-0000190D0000}"/>
    <cellStyle name="Titolo 1 3" xfId="3354" xr:uid="{00000000-0005-0000-0000-00001A0D0000}"/>
    <cellStyle name="Titolo 1 4" xfId="3355" xr:uid="{00000000-0005-0000-0000-00001B0D0000}"/>
    <cellStyle name="Titolo 2" xfId="3356" xr:uid="{00000000-0005-0000-0000-00001C0D0000}"/>
    <cellStyle name="Titolo 2 2" xfId="3357" xr:uid="{00000000-0005-0000-0000-00001D0D0000}"/>
    <cellStyle name="Titolo 2 2 2" xfId="3358" xr:uid="{00000000-0005-0000-0000-00001E0D0000}"/>
    <cellStyle name="Titolo 2 2 2 2" xfId="3359" xr:uid="{00000000-0005-0000-0000-00001F0D0000}"/>
    <cellStyle name="Titolo 2 3" xfId="3360" xr:uid="{00000000-0005-0000-0000-0000200D0000}"/>
    <cellStyle name="Titolo 2 4" xfId="3361" xr:uid="{00000000-0005-0000-0000-0000210D0000}"/>
    <cellStyle name="Titolo 3" xfId="3362" xr:uid="{00000000-0005-0000-0000-0000220D0000}"/>
    <cellStyle name="Titolo 3 2" xfId="3363" xr:uid="{00000000-0005-0000-0000-0000230D0000}"/>
    <cellStyle name="Titolo 3 2 2" xfId="3364" xr:uid="{00000000-0005-0000-0000-0000240D0000}"/>
    <cellStyle name="Titolo 3 2 2 2" xfId="3365" xr:uid="{00000000-0005-0000-0000-0000250D0000}"/>
    <cellStyle name="Titolo 3 3" xfId="3366" xr:uid="{00000000-0005-0000-0000-0000260D0000}"/>
    <cellStyle name="Titolo 3 4" xfId="3367" xr:uid="{00000000-0005-0000-0000-0000270D0000}"/>
    <cellStyle name="Titolo 4" xfId="3368" xr:uid="{00000000-0005-0000-0000-0000280D0000}"/>
    <cellStyle name="Titolo 4 2" xfId="3369" xr:uid="{00000000-0005-0000-0000-0000290D0000}"/>
    <cellStyle name="Titolo 4 2 2" xfId="3370" xr:uid="{00000000-0005-0000-0000-00002A0D0000}"/>
    <cellStyle name="Titolo 4 2 2 2" xfId="3371" xr:uid="{00000000-0005-0000-0000-00002B0D0000}"/>
    <cellStyle name="Titolo 4 3" xfId="3372" xr:uid="{00000000-0005-0000-0000-00002C0D0000}"/>
    <cellStyle name="Titolo 4 4" xfId="3373" xr:uid="{00000000-0005-0000-0000-00002D0D0000}"/>
    <cellStyle name="Titolo 5" xfId="3374" xr:uid="{00000000-0005-0000-0000-00002E0D0000}"/>
    <cellStyle name="Titolo 5 2" xfId="3375" xr:uid="{00000000-0005-0000-0000-00002F0D0000}"/>
    <cellStyle name="Titolo 5 2 2" xfId="3376" xr:uid="{00000000-0005-0000-0000-0000300D0000}"/>
    <cellStyle name="Titolo 6" xfId="3377" xr:uid="{00000000-0005-0000-0000-0000310D0000}"/>
    <cellStyle name="Titolo 7" xfId="3378" xr:uid="{00000000-0005-0000-0000-0000320D0000}"/>
    <cellStyle name="Total 2" xfId="3379" xr:uid="{00000000-0005-0000-0000-0000330D0000}"/>
    <cellStyle name="Total 2 10" xfId="3380" xr:uid="{00000000-0005-0000-0000-0000340D0000}"/>
    <cellStyle name="Total 2 11" xfId="3381" xr:uid="{00000000-0005-0000-0000-0000350D0000}"/>
    <cellStyle name="Total 2 12" xfId="3382" xr:uid="{00000000-0005-0000-0000-0000360D0000}"/>
    <cellStyle name="Total 2 13" xfId="3383" xr:uid="{00000000-0005-0000-0000-0000370D0000}"/>
    <cellStyle name="Total 2 14" xfId="3384" xr:uid="{00000000-0005-0000-0000-0000380D0000}"/>
    <cellStyle name="Total 2 15" xfId="3385" xr:uid="{00000000-0005-0000-0000-0000390D0000}"/>
    <cellStyle name="Total 2 16" xfId="3386" xr:uid="{00000000-0005-0000-0000-00003A0D0000}"/>
    <cellStyle name="Total 2 17" xfId="3387" xr:uid="{00000000-0005-0000-0000-00003B0D0000}"/>
    <cellStyle name="Total 2 2" xfId="3388" xr:uid="{00000000-0005-0000-0000-00003C0D0000}"/>
    <cellStyle name="Total 2 3" xfId="3389" xr:uid="{00000000-0005-0000-0000-00003D0D0000}"/>
    <cellStyle name="Total 2 4" xfId="3390" xr:uid="{00000000-0005-0000-0000-00003E0D0000}"/>
    <cellStyle name="Total 2 5" xfId="3391" xr:uid="{00000000-0005-0000-0000-00003F0D0000}"/>
    <cellStyle name="Total 2 6" xfId="3392" xr:uid="{00000000-0005-0000-0000-0000400D0000}"/>
    <cellStyle name="Total 2 7" xfId="3393" xr:uid="{00000000-0005-0000-0000-0000410D0000}"/>
    <cellStyle name="Total 2 8" xfId="3394" xr:uid="{00000000-0005-0000-0000-0000420D0000}"/>
    <cellStyle name="Total 2 9" xfId="3395" xr:uid="{00000000-0005-0000-0000-0000430D0000}"/>
    <cellStyle name="Total 3 10" xfId="3396" xr:uid="{00000000-0005-0000-0000-0000440D0000}"/>
    <cellStyle name="Total 3 11" xfId="3397" xr:uid="{00000000-0005-0000-0000-0000450D0000}"/>
    <cellStyle name="Total 3 12" xfId="3398" xr:uid="{00000000-0005-0000-0000-0000460D0000}"/>
    <cellStyle name="Total 3 13" xfId="3399" xr:uid="{00000000-0005-0000-0000-0000470D0000}"/>
    <cellStyle name="Total 3 14" xfId="3400" xr:uid="{00000000-0005-0000-0000-0000480D0000}"/>
    <cellStyle name="Total 3 15" xfId="3401" xr:uid="{00000000-0005-0000-0000-0000490D0000}"/>
    <cellStyle name="Total 3 16" xfId="3402" xr:uid="{00000000-0005-0000-0000-00004A0D0000}"/>
    <cellStyle name="Total 3 17" xfId="3403" xr:uid="{00000000-0005-0000-0000-00004B0D0000}"/>
    <cellStyle name="Total 3 2" xfId="3404" xr:uid="{00000000-0005-0000-0000-00004C0D0000}"/>
    <cellStyle name="Total 3 3" xfId="3405" xr:uid="{00000000-0005-0000-0000-00004D0D0000}"/>
    <cellStyle name="Total 3 4" xfId="3406" xr:uid="{00000000-0005-0000-0000-00004E0D0000}"/>
    <cellStyle name="Total 3 5" xfId="3407" xr:uid="{00000000-0005-0000-0000-00004F0D0000}"/>
    <cellStyle name="Total 3 6" xfId="3408" xr:uid="{00000000-0005-0000-0000-0000500D0000}"/>
    <cellStyle name="Total 3 7" xfId="3409" xr:uid="{00000000-0005-0000-0000-0000510D0000}"/>
    <cellStyle name="Total 3 8" xfId="3410" xr:uid="{00000000-0005-0000-0000-0000520D0000}"/>
    <cellStyle name="Total 3 9" xfId="3411" xr:uid="{00000000-0005-0000-0000-0000530D0000}"/>
    <cellStyle name="Totale" xfId="3412" xr:uid="{00000000-0005-0000-0000-0000540D0000}"/>
    <cellStyle name="Totale 2" xfId="3413" xr:uid="{00000000-0005-0000-0000-0000550D0000}"/>
    <cellStyle name="Totale 2 2" xfId="3414" xr:uid="{00000000-0005-0000-0000-0000560D0000}"/>
    <cellStyle name="Totale 2 2 2" xfId="3415" xr:uid="{00000000-0005-0000-0000-0000570D0000}"/>
    <cellStyle name="Totale 3" xfId="3416" xr:uid="{00000000-0005-0000-0000-0000580D0000}"/>
    <cellStyle name="Totale 4" xfId="3417" xr:uid="{00000000-0005-0000-0000-0000590D0000}"/>
    <cellStyle name="Valore non valido" xfId="3418" xr:uid="{00000000-0005-0000-0000-00005A0D0000}"/>
    <cellStyle name="Valore non valido 2" xfId="3419" xr:uid="{00000000-0005-0000-0000-00005B0D0000}"/>
    <cellStyle name="Valore non valido 2 2" xfId="3420" xr:uid="{00000000-0005-0000-0000-00005C0D0000}"/>
    <cellStyle name="Valore non valido 2 2 2" xfId="3421" xr:uid="{00000000-0005-0000-0000-00005D0D0000}"/>
    <cellStyle name="Valore non valido 3" xfId="3422" xr:uid="{00000000-0005-0000-0000-00005E0D0000}"/>
    <cellStyle name="Valore non valido 4" xfId="3423" xr:uid="{00000000-0005-0000-0000-00005F0D0000}"/>
    <cellStyle name="Valore valido" xfId="3424" xr:uid="{00000000-0005-0000-0000-0000600D0000}"/>
    <cellStyle name="Valore valido 2" xfId="3425" xr:uid="{00000000-0005-0000-0000-0000610D0000}"/>
    <cellStyle name="Valore valido 2 2" xfId="3426" xr:uid="{00000000-0005-0000-0000-0000620D0000}"/>
    <cellStyle name="Valore valido 2 2 2" xfId="3427" xr:uid="{00000000-0005-0000-0000-0000630D0000}"/>
    <cellStyle name="Valore valido 3" xfId="3428" xr:uid="{00000000-0005-0000-0000-0000640D0000}"/>
    <cellStyle name="Valore valido 4" xfId="3429" xr:uid="{00000000-0005-0000-0000-0000650D0000}"/>
    <cellStyle name="Warning Text 2" xfId="3430" xr:uid="{00000000-0005-0000-0000-0000660D0000}"/>
    <cellStyle name="Warning Text 2 10" xfId="3431" xr:uid="{00000000-0005-0000-0000-0000670D0000}"/>
    <cellStyle name="Warning Text 2 11" xfId="3432" xr:uid="{00000000-0005-0000-0000-0000680D0000}"/>
    <cellStyle name="Warning Text 2 12" xfId="3433" xr:uid="{00000000-0005-0000-0000-0000690D0000}"/>
    <cellStyle name="Warning Text 2 13" xfId="3434" xr:uid="{00000000-0005-0000-0000-00006A0D0000}"/>
    <cellStyle name="Warning Text 2 14" xfId="3435" xr:uid="{00000000-0005-0000-0000-00006B0D0000}"/>
    <cellStyle name="Warning Text 2 15" xfId="3436" xr:uid="{00000000-0005-0000-0000-00006C0D0000}"/>
    <cellStyle name="Warning Text 2 16" xfId="3437" xr:uid="{00000000-0005-0000-0000-00006D0D0000}"/>
    <cellStyle name="Warning Text 2 17" xfId="3438" xr:uid="{00000000-0005-0000-0000-00006E0D0000}"/>
    <cellStyle name="Warning Text 2 2" xfId="3439" xr:uid="{00000000-0005-0000-0000-00006F0D0000}"/>
    <cellStyle name="Warning Text 2 3" xfId="3440" xr:uid="{00000000-0005-0000-0000-0000700D0000}"/>
    <cellStyle name="Warning Text 2 4" xfId="3441" xr:uid="{00000000-0005-0000-0000-0000710D0000}"/>
    <cellStyle name="Warning Text 2 5" xfId="3442" xr:uid="{00000000-0005-0000-0000-0000720D0000}"/>
    <cellStyle name="Warning Text 2 6" xfId="3443" xr:uid="{00000000-0005-0000-0000-0000730D0000}"/>
    <cellStyle name="Warning Text 2 7" xfId="3444" xr:uid="{00000000-0005-0000-0000-0000740D0000}"/>
    <cellStyle name="Warning Text 2 8" xfId="3445" xr:uid="{00000000-0005-0000-0000-0000750D0000}"/>
    <cellStyle name="Warning Text 2 9" xfId="3446" xr:uid="{00000000-0005-0000-0000-0000760D0000}"/>
    <cellStyle name="Warning Text 3 10" xfId="3447" xr:uid="{00000000-0005-0000-0000-0000770D0000}"/>
    <cellStyle name="Warning Text 3 11" xfId="3448" xr:uid="{00000000-0005-0000-0000-0000780D0000}"/>
    <cellStyle name="Warning Text 3 12" xfId="3449" xr:uid="{00000000-0005-0000-0000-0000790D0000}"/>
    <cellStyle name="Warning Text 3 13" xfId="3450" xr:uid="{00000000-0005-0000-0000-00007A0D0000}"/>
    <cellStyle name="Warning Text 3 14" xfId="3451" xr:uid="{00000000-0005-0000-0000-00007B0D0000}"/>
    <cellStyle name="Warning Text 3 15" xfId="3452" xr:uid="{00000000-0005-0000-0000-00007C0D0000}"/>
    <cellStyle name="Warning Text 3 16" xfId="3453" xr:uid="{00000000-0005-0000-0000-00007D0D0000}"/>
    <cellStyle name="Warning Text 3 17" xfId="3454" xr:uid="{00000000-0005-0000-0000-00007E0D0000}"/>
    <cellStyle name="Warning Text 3 2" xfId="3455" xr:uid="{00000000-0005-0000-0000-00007F0D0000}"/>
    <cellStyle name="Warning Text 3 3" xfId="3456" xr:uid="{00000000-0005-0000-0000-0000800D0000}"/>
    <cellStyle name="Warning Text 3 4" xfId="3457" xr:uid="{00000000-0005-0000-0000-0000810D0000}"/>
    <cellStyle name="Warning Text 3 5" xfId="3458" xr:uid="{00000000-0005-0000-0000-0000820D0000}"/>
    <cellStyle name="Warning Text 3 6" xfId="3459" xr:uid="{00000000-0005-0000-0000-0000830D0000}"/>
    <cellStyle name="Warning Text 3 7" xfId="3460" xr:uid="{00000000-0005-0000-0000-0000840D0000}"/>
    <cellStyle name="Warning Text 3 8" xfId="3461" xr:uid="{00000000-0005-0000-0000-0000850D0000}"/>
    <cellStyle name="Warning Text 3 9" xfId="3462" xr:uid="{00000000-0005-0000-0000-0000860D0000}"/>
  </cellStyles>
  <dxfs count="0"/>
  <tableStyles count="0" defaultTableStyle="TableStyleMedium2" defaultPivotStyle="PivotStyleLight16"/>
  <colors>
    <mruColors>
      <color rgb="FFFFFFCC"/>
      <color rgb="FF9999FF"/>
      <color rgb="FF9933FF"/>
      <color rgb="FFFFFF99"/>
      <color rgb="FF9900CC"/>
      <color rgb="FF3366FF"/>
      <color rgb="FFCC0000"/>
      <color rgb="FFFF9900"/>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8"/>
  <sheetViews>
    <sheetView tabSelected="1" view="pageBreakPreview" topLeftCell="A1003" zoomScaleNormal="100" zoomScaleSheetLayoutView="100" workbookViewId="0">
      <selection activeCell="M1044" sqref="M1044"/>
    </sheetView>
  </sheetViews>
  <sheetFormatPr defaultColWidth="9.140625" defaultRowHeight="11.25"/>
  <cols>
    <col min="1" max="1" width="8.7109375" style="131" customWidth="1"/>
    <col min="2" max="2" width="9" style="131" customWidth="1"/>
    <col min="3" max="3" width="13.7109375" style="131" customWidth="1"/>
    <col min="4" max="4" width="16" style="131" customWidth="1"/>
    <col min="5" max="5" width="14.42578125" style="45" customWidth="1"/>
    <col min="6" max="6" width="17" style="45" customWidth="1"/>
    <col min="7" max="7" width="15.42578125" style="45" customWidth="1"/>
    <col min="8" max="8" width="10.42578125" style="45" customWidth="1"/>
    <col min="9" max="9" width="13.7109375" style="39" customWidth="1"/>
    <col min="10" max="10" width="10.28515625" style="45" customWidth="1"/>
    <col min="11" max="11" width="9.85546875" style="45" customWidth="1"/>
    <col min="12" max="12" width="11" style="45" customWidth="1"/>
    <col min="13" max="13" width="47.140625" style="131" customWidth="1"/>
    <col min="14" max="14" width="38.85546875" style="131" customWidth="1"/>
    <col min="15" max="16384" width="9.140625" style="49"/>
  </cols>
  <sheetData>
    <row r="1" spans="1:14" s="48" customFormat="1" ht="48">
      <c r="A1" s="46" t="s">
        <v>0</v>
      </c>
      <c r="B1" s="46" t="s">
        <v>1</v>
      </c>
      <c r="C1" s="46" t="s">
        <v>2</v>
      </c>
      <c r="D1" s="46" t="s">
        <v>3</v>
      </c>
      <c r="E1" s="46" t="s">
        <v>4</v>
      </c>
      <c r="F1" s="46" t="s">
        <v>5</v>
      </c>
      <c r="G1" s="46" t="s">
        <v>6</v>
      </c>
      <c r="H1" s="46" t="s">
        <v>7</v>
      </c>
      <c r="I1" s="15" t="s">
        <v>8</v>
      </c>
      <c r="J1" s="15" t="s">
        <v>9</v>
      </c>
      <c r="K1" s="15" t="s">
        <v>10</v>
      </c>
      <c r="L1" s="47" t="s">
        <v>11</v>
      </c>
      <c r="M1" s="46" t="s">
        <v>12</v>
      </c>
      <c r="N1" s="46" t="s">
        <v>13</v>
      </c>
    </row>
    <row r="2" spans="1:14" ht="33.75">
      <c r="A2" s="9" t="s">
        <v>19</v>
      </c>
      <c r="B2" s="11" t="s">
        <v>20</v>
      </c>
      <c r="C2" s="11" t="s">
        <v>21</v>
      </c>
      <c r="D2" s="11" t="s">
        <v>22</v>
      </c>
      <c r="E2" s="4" t="s">
        <v>23</v>
      </c>
      <c r="F2" s="4" t="s">
        <v>24</v>
      </c>
      <c r="G2" s="4" t="s">
        <v>25</v>
      </c>
      <c r="H2" s="4" t="s">
        <v>26</v>
      </c>
      <c r="I2" s="6">
        <v>325.60000000000002</v>
      </c>
      <c r="J2" s="6" t="s">
        <v>27</v>
      </c>
      <c r="K2" s="6">
        <f>I2/1/40*20</f>
        <v>162.80000000000001</v>
      </c>
      <c r="L2" s="25" t="s">
        <v>18</v>
      </c>
      <c r="M2" s="11"/>
      <c r="N2" s="11"/>
    </row>
    <row r="3" spans="1:14" ht="22.5">
      <c r="A3" s="9" t="s">
        <v>28</v>
      </c>
      <c r="B3" s="11" t="s">
        <v>29</v>
      </c>
      <c r="C3" s="11" t="s">
        <v>30</v>
      </c>
      <c r="D3" s="11" t="s">
        <v>31</v>
      </c>
      <c r="E3" s="4" t="s">
        <v>32</v>
      </c>
      <c r="F3" s="4" t="s">
        <v>24</v>
      </c>
      <c r="G3" s="4" t="s">
        <v>33</v>
      </c>
      <c r="H3" s="4" t="s">
        <v>34</v>
      </c>
      <c r="I3" s="6">
        <v>203.5</v>
      </c>
      <c r="J3" s="6" t="s">
        <v>35</v>
      </c>
      <c r="K3" s="6">
        <f>I3/1/40*40</f>
        <v>203.5</v>
      </c>
      <c r="L3" s="25" t="s">
        <v>18</v>
      </c>
      <c r="M3" s="11"/>
      <c r="N3" s="11"/>
    </row>
    <row r="4" spans="1:14" ht="67.5">
      <c r="A4" s="50" t="s">
        <v>36</v>
      </c>
      <c r="B4" s="11" t="s">
        <v>29</v>
      </c>
      <c r="C4" s="11" t="s">
        <v>30</v>
      </c>
      <c r="D4" s="11" t="s">
        <v>37</v>
      </c>
      <c r="E4" s="4" t="s">
        <v>32</v>
      </c>
      <c r="F4" s="4" t="s">
        <v>38</v>
      </c>
      <c r="G4" s="4" t="s">
        <v>39</v>
      </c>
      <c r="H4" s="4" t="s">
        <v>40</v>
      </c>
      <c r="I4" s="6">
        <v>203.5</v>
      </c>
      <c r="J4" s="6" t="s">
        <v>35</v>
      </c>
      <c r="K4" s="6">
        <f>I4/1/40*40</f>
        <v>203.5</v>
      </c>
      <c r="L4" s="25" t="s">
        <v>18</v>
      </c>
      <c r="M4" s="11"/>
      <c r="N4" s="11"/>
    </row>
    <row r="5" spans="1:14" ht="22.5">
      <c r="A5" s="51" t="s">
        <v>41</v>
      </c>
      <c r="B5" s="13" t="s">
        <v>29</v>
      </c>
      <c r="C5" s="13" t="s">
        <v>30</v>
      </c>
      <c r="D5" s="13" t="s">
        <v>42</v>
      </c>
      <c r="E5" s="17" t="s">
        <v>32</v>
      </c>
      <c r="F5" s="17" t="s">
        <v>43</v>
      </c>
      <c r="G5" s="17" t="s">
        <v>44</v>
      </c>
      <c r="H5" s="17" t="s">
        <v>45</v>
      </c>
      <c r="I5" s="16">
        <v>10174.299999999999</v>
      </c>
      <c r="J5" s="17" t="s">
        <v>35</v>
      </c>
      <c r="K5" s="6">
        <f>I5/50/40*40</f>
        <v>203.48599999999999</v>
      </c>
      <c r="L5" s="25" t="s">
        <v>18</v>
      </c>
      <c r="M5" s="11"/>
      <c r="N5" s="11"/>
    </row>
    <row r="6" spans="1:14" ht="22.5">
      <c r="A6" s="11" t="s">
        <v>46</v>
      </c>
      <c r="B6" s="11" t="s">
        <v>29</v>
      </c>
      <c r="C6" s="11" t="s">
        <v>30</v>
      </c>
      <c r="D6" s="11" t="s">
        <v>47</v>
      </c>
      <c r="E6" s="4" t="s">
        <v>32</v>
      </c>
      <c r="F6" s="4" t="s">
        <v>38</v>
      </c>
      <c r="G6" s="4" t="s">
        <v>48</v>
      </c>
      <c r="H6" s="4" t="s">
        <v>49</v>
      </c>
      <c r="I6" s="16">
        <v>203.5</v>
      </c>
      <c r="J6" s="17" t="s">
        <v>35</v>
      </c>
      <c r="K6" s="6">
        <f>I6/1/40*40</f>
        <v>203.5</v>
      </c>
      <c r="L6" s="25" t="s">
        <v>18</v>
      </c>
      <c r="M6" s="11"/>
      <c r="N6" s="11"/>
    </row>
    <row r="7" spans="1:14" s="52" customFormat="1" ht="33.75">
      <c r="A7" s="12" t="s">
        <v>50</v>
      </c>
      <c r="B7" s="12" t="s">
        <v>29</v>
      </c>
      <c r="C7" s="12" t="s">
        <v>30</v>
      </c>
      <c r="D7" s="11" t="s">
        <v>51</v>
      </c>
      <c r="E7" s="4" t="s">
        <v>32</v>
      </c>
      <c r="F7" s="4" t="s">
        <v>52</v>
      </c>
      <c r="G7" s="4" t="s">
        <v>53</v>
      </c>
      <c r="H7" s="4" t="s">
        <v>54</v>
      </c>
      <c r="I7" s="16">
        <v>2034.8</v>
      </c>
      <c r="J7" s="17" t="s">
        <v>35</v>
      </c>
      <c r="K7" s="6">
        <f>I7/10/40*40</f>
        <v>203.48</v>
      </c>
      <c r="L7" s="25" t="s">
        <v>18</v>
      </c>
      <c r="M7" s="11"/>
      <c r="N7" s="11"/>
    </row>
    <row r="8" spans="1:14" s="52" customFormat="1" ht="22.5">
      <c r="A8" s="12" t="s">
        <v>3581</v>
      </c>
      <c r="B8" s="12" t="s">
        <v>29</v>
      </c>
      <c r="C8" s="12" t="s">
        <v>30</v>
      </c>
      <c r="D8" s="11" t="s">
        <v>3582</v>
      </c>
      <c r="E8" s="4" t="s">
        <v>32</v>
      </c>
      <c r="F8" s="4" t="s">
        <v>38</v>
      </c>
      <c r="G8" s="4" t="s">
        <v>3583</v>
      </c>
      <c r="H8" s="4" t="s">
        <v>45</v>
      </c>
      <c r="I8" s="16">
        <v>203.5</v>
      </c>
      <c r="J8" s="17" t="s">
        <v>35</v>
      </c>
      <c r="K8" s="6">
        <f>I8/1</f>
        <v>203.5</v>
      </c>
      <c r="L8" s="25" t="s">
        <v>18</v>
      </c>
      <c r="M8" s="11"/>
      <c r="N8" s="11"/>
    </row>
    <row r="9" spans="1:14" s="52" customFormat="1" ht="22.5">
      <c r="A9" s="12" t="s">
        <v>3584</v>
      </c>
      <c r="B9" s="12" t="s">
        <v>29</v>
      </c>
      <c r="C9" s="12" t="s">
        <v>30</v>
      </c>
      <c r="D9" s="11" t="s">
        <v>3582</v>
      </c>
      <c r="E9" s="4" t="s">
        <v>32</v>
      </c>
      <c r="F9" s="4" t="s">
        <v>43</v>
      </c>
      <c r="G9" s="4" t="s">
        <v>3583</v>
      </c>
      <c r="H9" s="4" t="s">
        <v>45</v>
      </c>
      <c r="I9" s="16">
        <v>10174.299999999999</v>
      </c>
      <c r="J9" s="17" t="s">
        <v>35</v>
      </c>
      <c r="K9" s="6">
        <f>+I9/50</f>
        <v>203.48599999999999</v>
      </c>
      <c r="L9" s="25" t="s">
        <v>18</v>
      </c>
      <c r="M9" s="11"/>
      <c r="N9" s="11"/>
    </row>
    <row r="10" spans="1:14" s="52" customFormat="1" ht="22.5">
      <c r="A10" s="12" t="s">
        <v>3585</v>
      </c>
      <c r="B10" s="12" t="s">
        <v>29</v>
      </c>
      <c r="C10" s="12" t="s">
        <v>30</v>
      </c>
      <c r="D10" s="11" t="s">
        <v>3586</v>
      </c>
      <c r="E10" s="4" t="s">
        <v>32</v>
      </c>
      <c r="F10" s="4" t="s">
        <v>3587</v>
      </c>
      <c r="G10" s="4" t="s">
        <v>64</v>
      </c>
      <c r="H10" s="4" t="s">
        <v>54</v>
      </c>
      <c r="I10" s="16">
        <v>1017.4</v>
      </c>
      <c r="J10" s="17" t="s">
        <v>35</v>
      </c>
      <c r="K10" s="6">
        <f>I10/5</f>
        <v>203.48</v>
      </c>
      <c r="L10" s="25" t="s">
        <v>18</v>
      </c>
      <c r="M10" s="11"/>
      <c r="N10" s="11"/>
    </row>
    <row r="11" spans="1:14" s="52" customFormat="1" ht="22.5">
      <c r="A11" s="12" t="s">
        <v>3588</v>
      </c>
      <c r="B11" s="12" t="s">
        <v>29</v>
      </c>
      <c r="C11" s="12" t="s">
        <v>30</v>
      </c>
      <c r="D11" s="11" t="s">
        <v>3589</v>
      </c>
      <c r="E11" s="4" t="s">
        <v>32</v>
      </c>
      <c r="F11" s="4" t="s">
        <v>38</v>
      </c>
      <c r="G11" s="4" t="s">
        <v>3590</v>
      </c>
      <c r="H11" s="4" t="s">
        <v>34</v>
      </c>
      <c r="I11" s="16">
        <v>203.5</v>
      </c>
      <c r="J11" s="17" t="s">
        <v>35</v>
      </c>
      <c r="K11" s="6">
        <f>+I11/(1*40)*40</f>
        <v>203.5</v>
      </c>
      <c r="L11" s="25" t="s">
        <v>18</v>
      </c>
      <c r="M11" s="11"/>
      <c r="N11" s="11"/>
    </row>
    <row r="12" spans="1:14" ht="22.5">
      <c r="A12" s="9" t="s">
        <v>55</v>
      </c>
      <c r="B12" s="11" t="s">
        <v>56</v>
      </c>
      <c r="C12" s="1" t="s">
        <v>57</v>
      </c>
      <c r="D12" s="11" t="s">
        <v>58</v>
      </c>
      <c r="E12" s="4" t="s">
        <v>59</v>
      </c>
      <c r="F12" s="4" t="s">
        <v>3524</v>
      </c>
      <c r="G12" s="4" t="s">
        <v>60</v>
      </c>
      <c r="H12" s="4" t="s">
        <v>16</v>
      </c>
      <c r="I12" s="6">
        <v>3237.6</v>
      </c>
      <c r="J12" s="6" t="s">
        <v>61</v>
      </c>
      <c r="K12" s="6">
        <f>I12/40/10*30</f>
        <v>242.82</v>
      </c>
      <c r="L12" s="25" t="s">
        <v>18</v>
      </c>
      <c r="M12" s="11"/>
      <c r="N12" s="11"/>
    </row>
    <row r="13" spans="1:14" ht="22.5">
      <c r="A13" s="53" t="s">
        <v>62</v>
      </c>
      <c r="B13" s="54" t="s">
        <v>56</v>
      </c>
      <c r="C13" s="54" t="s">
        <v>57</v>
      </c>
      <c r="D13" s="54" t="s">
        <v>63</v>
      </c>
      <c r="E13" s="55" t="s">
        <v>59</v>
      </c>
      <c r="F13" s="56" t="s">
        <v>52</v>
      </c>
      <c r="G13" s="55" t="s">
        <v>64</v>
      </c>
      <c r="H13" s="55" t="s">
        <v>54</v>
      </c>
      <c r="I13" s="5">
        <v>3249</v>
      </c>
      <c r="J13" s="8" t="s">
        <v>61</v>
      </c>
      <c r="K13" s="5">
        <f>I13*30/40/10</f>
        <v>243.67500000000001</v>
      </c>
      <c r="L13" s="21" t="s">
        <v>18</v>
      </c>
      <c r="M13" s="54"/>
      <c r="N13" s="54"/>
    </row>
    <row r="14" spans="1:14" ht="33.75">
      <c r="A14" s="50" t="s">
        <v>65</v>
      </c>
      <c r="B14" s="11" t="s">
        <v>56</v>
      </c>
      <c r="C14" s="11" t="s">
        <v>57</v>
      </c>
      <c r="D14" s="11" t="s">
        <v>66</v>
      </c>
      <c r="E14" s="4" t="s">
        <v>59</v>
      </c>
      <c r="F14" s="4" t="s">
        <v>52</v>
      </c>
      <c r="G14" s="4" t="s">
        <v>53</v>
      </c>
      <c r="H14" s="4" t="s">
        <v>54</v>
      </c>
      <c r="I14" s="16">
        <v>3237.6</v>
      </c>
      <c r="J14" s="6" t="s">
        <v>61</v>
      </c>
      <c r="K14" s="6">
        <f>I14/40/10*30</f>
        <v>242.82</v>
      </c>
      <c r="L14" s="7" t="s">
        <v>18</v>
      </c>
      <c r="M14" s="11"/>
      <c r="N14" s="11"/>
    </row>
    <row r="15" spans="1:14" ht="22.5">
      <c r="A15" s="53" t="s">
        <v>67</v>
      </c>
      <c r="B15" s="54" t="s">
        <v>68</v>
      </c>
      <c r="C15" s="54" t="s">
        <v>69</v>
      </c>
      <c r="D15" s="54" t="s">
        <v>70</v>
      </c>
      <c r="E15" s="55" t="s">
        <v>71</v>
      </c>
      <c r="F15" s="55" t="s">
        <v>72</v>
      </c>
      <c r="G15" s="55" t="s">
        <v>73</v>
      </c>
      <c r="H15" s="55" t="s">
        <v>74</v>
      </c>
      <c r="I15" s="6">
        <v>468.5</v>
      </c>
      <c r="J15" s="4" t="s">
        <v>75</v>
      </c>
      <c r="K15" s="6">
        <f>I15/10/1*1.5</f>
        <v>70.275000000000006</v>
      </c>
      <c r="L15" s="57" t="s">
        <v>18</v>
      </c>
      <c r="M15" s="58"/>
      <c r="N15" s="54"/>
    </row>
    <row r="16" spans="1:14" ht="22.5">
      <c r="A16" s="53" t="s">
        <v>76</v>
      </c>
      <c r="B16" s="54" t="s">
        <v>68</v>
      </c>
      <c r="C16" s="54" t="s">
        <v>69</v>
      </c>
      <c r="D16" s="54" t="s">
        <v>70</v>
      </c>
      <c r="E16" s="55" t="s">
        <v>71</v>
      </c>
      <c r="F16" s="55" t="s">
        <v>77</v>
      </c>
      <c r="G16" s="55" t="s">
        <v>73</v>
      </c>
      <c r="H16" s="55" t="s">
        <v>74</v>
      </c>
      <c r="I16" s="6">
        <v>4684.8</v>
      </c>
      <c r="J16" s="4" t="s">
        <v>75</v>
      </c>
      <c r="K16" s="6">
        <f>I16/100/1*1.5</f>
        <v>70.271999999999991</v>
      </c>
      <c r="L16" s="57" t="s">
        <v>18</v>
      </c>
      <c r="M16" s="58"/>
      <c r="N16" s="54"/>
    </row>
    <row r="17" spans="1:14" ht="22.5">
      <c r="A17" s="9" t="s">
        <v>78</v>
      </c>
      <c r="B17" s="11" t="s">
        <v>79</v>
      </c>
      <c r="C17" s="11" t="s">
        <v>80</v>
      </c>
      <c r="D17" s="11" t="s">
        <v>81</v>
      </c>
      <c r="E17" s="4" t="s">
        <v>71</v>
      </c>
      <c r="F17" s="4" t="s">
        <v>82</v>
      </c>
      <c r="G17" s="4" t="s">
        <v>83</v>
      </c>
      <c r="H17" s="4" t="s">
        <v>45</v>
      </c>
      <c r="I17" s="6">
        <v>200.2</v>
      </c>
      <c r="J17" s="6" t="s">
        <v>84</v>
      </c>
      <c r="K17" s="6">
        <f>I17/6/20*60</f>
        <v>100.10000000000001</v>
      </c>
      <c r="L17" s="25" t="s">
        <v>18</v>
      </c>
      <c r="M17" s="11"/>
      <c r="N17" s="11"/>
    </row>
    <row r="18" spans="1:14" ht="22.5">
      <c r="A18" s="9" t="s">
        <v>85</v>
      </c>
      <c r="B18" s="11" t="s">
        <v>86</v>
      </c>
      <c r="C18" s="11" t="s">
        <v>87</v>
      </c>
      <c r="D18" s="11" t="s">
        <v>88</v>
      </c>
      <c r="E18" s="4" t="s">
        <v>71</v>
      </c>
      <c r="F18" s="55" t="s">
        <v>89</v>
      </c>
      <c r="G18" s="4" t="s">
        <v>90</v>
      </c>
      <c r="H18" s="4" t="s">
        <v>16</v>
      </c>
      <c r="I18" s="6">
        <v>207</v>
      </c>
      <c r="J18" s="6" t="s">
        <v>61</v>
      </c>
      <c r="K18" s="6">
        <f>I18/10/10*30</f>
        <v>62.099999999999994</v>
      </c>
      <c r="L18" s="25" t="s">
        <v>18</v>
      </c>
      <c r="M18" s="11"/>
      <c r="N18" s="11"/>
    </row>
    <row r="19" spans="1:14" ht="67.5">
      <c r="A19" s="9" t="s">
        <v>92</v>
      </c>
      <c r="B19" s="11" t="s">
        <v>93</v>
      </c>
      <c r="C19" s="11" t="s">
        <v>94</v>
      </c>
      <c r="D19" s="11" t="s">
        <v>95</v>
      </c>
      <c r="E19" s="4" t="s">
        <v>71</v>
      </c>
      <c r="F19" s="4" t="s">
        <v>96</v>
      </c>
      <c r="G19" s="4" t="s">
        <v>97</v>
      </c>
      <c r="H19" s="4" t="s">
        <v>16</v>
      </c>
      <c r="I19" s="6">
        <v>1355</v>
      </c>
      <c r="J19" s="6" t="s">
        <v>98</v>
      </c>
      <c r="K19" s="6">
        <f>I19/5/4*16</f>
        <v>1084</v>
      </c>
      <c r="L19" s="25" t="s">
        <v>18</v>
      </c>
      <c r="M19" s="11"/>
      <c r="N19" s="11" t="s">
        <v>99</v>
      </c>
    </row>
    <row r="20" spans="1:14" ht="67.5">
      <c r="A20" s="59" t="s">
        <v>100</v>
      </c>
      <c r="B20" s="60" t="s">
        <v>93</v>
      </c>
      <c r="C20" s="60" t="s">
        <v>94</v>
      </c>
      <c r="D20" s="60" t="s">
        <v>101</v>
      </c>
      <c r="E20" s="41" t="s">
        <v>71</v>
      </c>
      <c r="F20" s="41" t="s">
        <v>102</v>
      </c>
      <c r="G20" s="41" t="s">
        <v>103</v>
      </c>
      <c r="H20" s="41" t="s">
        <v>54</v>
      </c>
      <c r="I20" s="6">
        <v>271</v>
      </c>
      <c r="J20" s="6" t="s">
        <v>98</v>
      </c>
      <c r="K20" s="18">
        <f>I20/4*16</f>
        <v>1084</v>
      </c>
      <c r="L20" s="25" t="s">
        <v>18</v>
      </c>
      <c r="M20" s="14"/>
      <c r="N20" s="11" t="s">
        <v>99</v>
      </c>
    </row>
    <row r="21" spans="1:14" ht="67.5">
      <c r="A21" s="59" t="s">
        <v>104</v>
      </c>
      <c r="B21" s="60" t="s">
        <v>93</v>
      </c>
      <c r="C21" s="60" t="s">
        <v>94</v>
      </c>
      <c r="D21" s="60" t="s">
        <v>101</v>
      </c>
      <c r="E21" s="41" t="s">
        <v>71</v>
      </c>
      <c r="F21" s="41" t="s">
        <v>105</v>
      </c>
      <c r="G21" s="41" t="s">
        <v>103</v>
      </c>
      <c r="H21" s="41" t="s">
        <v>54</v>
      </c>
      <c r="I21" s="6">
        <v>606.5</v>
      </c>
      <c r="J21" s="6" t="s">
        <v>98</v>
      </c>
      <c r="K21" s="18">
        <f>I21/8*16</f>
        <v>1213</v>
      </c>
      <c r="L21" s="25" t="s">
        <v>18</v>
      </c>
      <c r="M21" s="14"/>
      <c r="N21" s="11" t="s">
        <v>99</v>
      </c>
    </row>
    <row r="22" spans="1:14" ht="101.25">
      <c r="A22" s="53" t="s">
        <v>106</v>
      </c>
      <c r="B22" s="54" t="s">
        <v>93</v>
      </c>
      <c r="C22" s="54" t="s">
        <v>94</v>
      </c>
      <c r="D22" s="54" t="s">
        <v>107</v>
      </c>
      <c r="E22" s="55" t="s">
        <v>71</v>
      </c>
      <c r="F22" s="55" t="s">
        <v>108</v>
      </c>
      <c r="G22" s="55" t="s">
        <v>109</v>
      </c>
      <c r="H22" s="55" t="s">
        <v>110</v>
      </c>
      <c r="I22" s="6">
        <v>1355</v>
      </c>
      <c r="J22" s="4" t="s">
        <v>98</v>
      </c>
      <c r="K22" s="18">
        <f>I22/5/4*16</f>
        <v>1084</v>
      </c>
      <c r="L22" s="57" t="s">
        <v>18</v>
      </c>
      <c r="M22" s="58"/>
      <c r="N22" s="54" t="s">
        <v>99</v>
      </c>
    </row>
    <row r="23" spans="1:14" ht="56.25">
      <c r="A23" s="9" t="s">
        <v>111</v>
      </c>
      <c r="B23" s="9" t="s">
        <v>112</v>
      </c>
      <c r="C23" s="9" t="s">
        <v>113</v>
      </c>
      <c r="D23" s="9" t="s">
        <v>114</v>
      </c>
      <c r="E23" s="19" t="s">
        <v>71</v>
      </c>
      <c r="F23" s="4" t="s">
        <v>115</v>
      </c>
      <c r="G23" s="4" t="s">
        <v>116</v>
      </c>
      <c r="H23" s="4" t="s">
        <v>117</v>
      </c>
      <c r="I23" s="6">
        <v>1895.8</v>
      </c>
      <c r="J23" s="19" t="s">
        <v>118</v>
      </c>
      <c r="K23" s="20">
        <f>I23/0.25*0.25</f>
        <v>1895.8</v>
      </c>
      <c r="L23" s="25" t="s">
        <v>18</v>
      </c>
      <c r="M23" s="11"/>
      <c r="N23" s="11" t="s">
        <v>119</v>
      </c>
    </row>
    <row r="24" spans="1:14" s="52" customFormat="1" ht="56.25">
      <c r="A24" s="61" t="s">
        <v>121</v>
      </c>
      <c r="B24" s="12" t="s">
        <v>112</v>
      </c>
      <c r="C24" s="11" t="s">
        <v>113</v>
      </c>
      <c r="D24" s="12" t="s">
        <v>122</v>
      </c>
      <c r="E24" s="4" t="s">
        <v>71</v>
      </c>
      <c r="F24" s="4" t="s">
        <v>123</v>
      </c>
      <c r="G24" s="4" t="s">
        <v>124</v>
      </c>
      <c r="H24" s="4" t="s">
        <v>54</v>
      </c>
      <c r="I24" s="6">
        <v>1895.8</v>
      </c>
      <c r="J24" s="19" t="s">
        <v>118</v>
      </c>
      <c r="K24" s="5">
        <f>I24/0.25*0.25</f>
        <v>1895.8</v>
      </c>
      <c r="L24" s="7" t="s">
        <v>18</v>
      </c>
      <c r="M24" s="11"/>
      <c r="N24" s="11" t="s">
        <v>119</v>
      </c>
    </row>
    <row r="25" spans="1:14" s="52" customFormat="1" ht="56.25">
      <c r="A25" s="61" t="s">
        <v>125</v>
      </c>
      <c r="B25" s="12" t="s">
        <v>112</v>
      </c>
      <c r="C25" s="11" t="s">
        <v>113</v>
      </c>
      <c r="D25" s="12" t="s">
        <v>126</v>
      </c>
      <c r="E25" s="4" t="s">
        <v>71</v>
      </c>
      <c r="F25" s="4" t="s">
        <v>127</v>
      </c>
      <c r="G25" s="4" t="s">
        <v>128</v>
      </c>
      <c r="H25" s="4" t="s">
        <v>129</v>
      </c>
      <c r="I25" s="6">
        <v>1895.8</v>
      </c>
      <c r="J25" s="19" t="s">
        <v>118</v>
      </c>
      <c r="K25" s="5">
        <f>I25/0.25*0.25</f>
        <v>1895.8</v>
      </c>
      <c r="L25" s="7" t="s">
        <v>18</v>
      </c>
      <c r="M25" s="11"/>
      <c r="N25" s="11" t="s">
        <v>119</v>
      </c>
    </row>
    <row r="26" spans="1:14" s="52" customFormat="1" ht="56.25">
      <c r="A26" s="61" t="s">
        <v>130</v>
      </c>
      <c r="B26" s="12" t="s">
        <v>112</v>
      </c>
      <c r="C26" s="11" t="s">
        <v>113</v>
      </c>
      <c r="D26" s="11" t="s">
        <v>131</v>
      </c>
      <c r="E26" s="4" t="s">
        <v>71</v>
      </c>
      <c r="F26" s="4" t="s">
        <v>3661</v>
      </c>
      <c r="G26" s="4" t="s">
        <v>132</v>
      </c>
      <c r="H26" s="4" t="s">
        <v>133</v>
      </c>
      <c r="I26" s="5">
        <v>18957.7</v>
      </c>
      <c r="J26" s="6" t="s">
        <v>118</v>
      </c>
      <c r="K26" s="5">
        <f>+(I26/10)/250*250</f>
        <v>1895.77</v>
      </c>
      <c r="L26" s="7" t="s">
        <v>18</v>
      </c>
      <c r="M26" s="11"/>
      <c r="N26" s="11" t="s">
        <v>119</v>
      </c>
    </row>
    <row r="27" spans="1:14" s="52" customFormat="1" ht="56.25">
      <c r="A27" s="50" t="s">
        <v>134</v>
      </c>
      <c r="B27" s="13" t="s">
        <v>112</v>
      </c>
      <c r="C27" s="11" t="s">
        <v>113</v>
      </c>
      <c r="D27" s="11" t="s">
        <v>135</v>
      </c>
      <c r="E27" s="4" t="s">
        <v>71</v>
      </c>
      <c r="F27" s="4" t="s">
        <v>136</v>
      </c>
      <c r="G27" s="4" t="s">
        <v>137</v>
      </c>
      <c r="H27" s="4" t="s">
        <v>138</v>
      </c>
      <c r="I27" s="6">
        <v>1895.8</v>
      </c>
      <c r="J27" s="19" t="s">
        <v>118</v>
      </c>
      <c r="K27" s="5">
        <f>+(I27/1)/250*250</f>
        <v>1895.8</v>
      </c>
      <c r="L27" s="7" t="s">
        <v>18</v>
      </c>
      <c r="M27" s="11"/>
      <c r="N27" s="11" t="s">
        <v>119</v>
      </c>
    </row>
    <row r="28" spans="1:14" ht="78.75">
      <c r="A28" s="62">
        <v>1124588</v>
      </c>
      <c r="B28" s="62" t="s">
        <v>139</v>
      </c>
      <c r="C28" s="54" t="s">
        <v>140</v>
      </c>
      <c r="D28" s="54" t="s">
        <v>141</v>
      </c>
      <c r="E28" s="55" t="s">
        <v>142</v>
      </c>
      <c r="F28" s="55" t="s">
        <v>143</v>
      </c>
      <c r="G28" s="55" t="s">
        <v>144</v>
      </c>
      <c r="H28" s="21" t="s">
        <v>145</v>
      </c>
      <c r="I28" s="6">
        <v>5946.3</v>
      </c>
      <c r="J28" s="21" t="s">
        <v>146</v>
      </c>
      <c r="K28" s="20">
        <f>I28/1</f>
        <v>5946.3</v>
      </c>
      <c r="L28" s="25" t="s">
        <v>18</v>
      </c>
      <c r="M28" s="11" t="s">
        <v>147</v>
      </c>
      <c r="N28" s="11" t="s">
        <v>148</v>
      </c>
    </row>
    <row r="29" spans="1:14" ht="56.25">
      <c r="A29" s="50" t="s">
        <v>149</v>
      </c>
      <c r="B29" s="11" t="s">
        <v>150</v>
      </c>
      <c r="C29" s="11" t="s">
        <v>151</v>
      </c>
      <c r="D29" s="11" t="s">
        <v>152</v>
      </c>
      <c r="E29" s="4" t="s">
        <v>142</v>
      </c>
      <c r="F29" s="4" t="s">
        <v>153</v>
      </c>
      <c r="G29" s="4" t="s">
        <v>154</v>
      </c>
      <c r="H29" s="4" t="s">
        <v>155</v>
      </c>
      <c r="I29" s="16">
        <v>4052.8</v>
      </c>
      <c r="J29" s="6" t="s">
        <v>156</v>
      </c>
      <c r="K29" s="6">
        <f>I29/285*95</f>
        <v>1350.9333333333334</v>
      </c>
      <c r="L29" s="25" t="s">
        <v>18</v>
      </c>
      <c r="M29" s="11"/>
      <c r="N29" s="11" t="s">
        <v>119</v>
      </c>
    </row>
    <row r="30" spans="1:14" s="52" customFormat="1" ht="78.75">
      <c r="A30" s="51" t="s">
        <v>157</v>
      </c>
      <c r="B30" s="13" t="s">
        <v>150</v>
      </c>
      <c r="C30" s="13" t="s">
        <v>151</v>
      </c>
      <c r="D30" s="11" t="s">
        <v>158</v>
      </c>
      <c r="E30" s="4" t="s">
        <v>142</v>
      </c>
      <c r="F30" s="4" t="s">
        <v>153</v>
      </c>
      <c r="G30" s="4" t="s">
        <v>159</v>
      </c>
      <c r="H30" s="4" t="s">
        <v>160</v>
      </c>
      <c r="I30" s="16">
        <v>1967.3</v>
      </c>
      <c r="J30" s="6" t="s">
        <v>156</v>
      </c>
      <c r="K30" s="5">
        <f>I30/285*95</f>
        <v>655.76666666666665</v>
      </c>
      <c r="L30" s="7" t="s">
        <v>18</v>
      </c>
      <c r="M30" s="11"/>
      <c r="N30" s="11" t="s">
        <v>119</v>
      </c>
    </row>
    <row r="31" spans="1:14" ht="22.5">
      <c r="A31" s="9" t="s">
        <v>162</v>
      </c>
      <c r="B31" s="11" t="s">
        <v>163</v>
      </c>
      <c r="C31" s="11" t="s">
        <v>164</v>
      </c>
      <c r="D31" s="11" t="s">
        <v>165</v>
      </c>
      <c r="E31" s="4" t="s">
        <v>166</v>
      </c>
      <c r="F31" s="4" t="s">
        <v>167</v>
      </c>
      <c r="G31" s="4" t="s">
        <v>168</v>
      </c>
      <c r="H31" s="4" t="s">
        <v>34</v>
      </c>
      <c r="I31" s="6">
        <v>6033.9</v>
      </c>
      <c r="J31" s="6" t="s">
        <v>18</v>
      </c>
      <c r="K31" s="6" t="s">
        <v>18</v>
      </c>
      <c r="L31" s="25" t="s">
        <v>18</v>
      </c>
      <c r="M31" s="11"/>
      <c r="N31" s="11" t="s">
        <v>148</v>
      </c>
    </row>
    <row r="32" spans="1:14" ht="56.25">
      <c r="A32" s="11">
        <v>3125300</v>
      </c>
      <c r="B32" s="11" t="s">
        <v>169</v>
      </c>
      <c r="C32" s="11" t="s">
        <v>170</v>
      </c>
      <c r="D32" s="11" t="s">
        <v>171</v>
      </c>
      <c r="E32" s="4" t="s">
        <v>172</v>
      </c>
      <c r="F32" s="4" t="s">
        <v>173</v>
      </c>
      <c r="G32" s="4" t="s">
        <v>174</v>
      </c>
      <c r="H32" s="4" t="s">
        <v>175</v>
      </c>
      <c r="I32" s="6">
        <v>724.1</v>
      </c>
      <c r="J32" s="6" t="s">
        <v>18</v>
      </c>
      <c r="K32" s="6" t="s">
        <v>18</v>
      </c>
      <c r="L32" s="25" t="s">
        <v>18</v>
      </c>
      <c r="M32" s="11"/>
      <c r="N32" s="11" t="s">
        <v>176</v>
      </c>
    </row>
    <row r="33" spans="1:14" s="63" customFormat="1" ht="45">
      <c r="A33" s="12">
        <v>4129930</v>
      </c>
      <c r="B33" s="12" t="s">
        <v>177</v>
      </c>
      <c r="C33" s="11" t="s">
        <v>178</v>
      </c>
      <c r="D33" s="11" t="s">
        <v>179</v>
      </c>
      <c r="E33" s="4" t="s">
        <v>180</v>
      </c>
      <c r="F33" s="4" t="s">
        <v>181</v>
      </c>
      <c r="G33" s="4" t="s">
        <v>182</v>
      </c>
      <c r="H33" s="7" t="s">
        <v>34</v>
      </c>
      <c r="I33" s="6">
        <v>6291.9</v>
      </c>
      <c r="J33" s="22" t="s">
        <v>183</v>
      </c>
      <c r="K33" s="5">
        <f>+I33/14</f>
        <v>449.42142857142852</v>
      </c>
      <c r="L33" s="6" t="s">
        <v>18</v>
      </c>
      <c r="M33" s="12" t="s">
        <v>184</v>
      </c>
      <c r="N33" s="12"/>
    </row>
    <row r="34" spans="1:14" ht="22.5">
      <c r="A34" s="50" t="s">
        <v>185</v>
      </c>
      <c r="B34" s="11" t="s">
        <v>186</v>
      </c>
      <c r="C34" s="11" t="s">
        <v>187</v>
      </c>
      <c r="D34" s="11" t="s">
        <v>188</v>
      </c>
      <c r="E34" s="4" t="s">
        <v>189</v>
      </c>
      <c r="F34" s="4" t="s">
        <v>190</v>
      </c>
      <c r="G34" s="4" t="s">
        <v>191</v>
      </c>
      <c r="H34" s="4" t="s">
        <v>34</v>
      </c>
      <c r="I34" s="6">
        <v>3017.1</v>
      </c>
      <c r="J34" s="6" t="s">
        <v>192</v>
      </c>
      <c r="K34" s="6">
        <f>I34/7/4000*1500</f>
        <v>161.63035714285712</v>
      </c>
      <c r="L34" s="25" t="s">
        <v>18</v>
      </c>
      <c r="M34" s="14" t="s">
        <v>193</v>
      </c>
      <c r="N34" s="11"/>
    </row>
    <row r="35" spans="1:14" s="63" customFormat="1" ht="22.5">
      <c r="A35" s="64" t="s">
        <v>194</v>
      </c>
      <c r="B35" s="65" t="s">
        <v>186</v>
      </c>
      <c r="C35" s="66" t="s">
        <v>187</v>
      </c>
      <c r="D35" s="66" t="s">
        <v>195</v>
      </c>
      <c r="E35" s="67" t="s">
        <v>189</v>
      </c>
      <c r="F35" s="67" t="s">
        <v>196</v>
      </c>
      <c r="G35" s="67" t="s">
        <v>197</v>
      </c>
      <c r="H35" s="67" t="s">
        <v>198</v>
      </c>
      <c r="I35" s="6">
        <v>1789.2</v>
      </c>
      <c r="J35" s="7" t="s">
        <v>192</v>
      </c>
      <c r="K35" s="6">
        <f>+I35/7/1000*1500</f>
        <v>383.4</v>
      </c>
      <c r="L35" s="5" t="s">
        <v>18</v>
      </c>
      <c r="M35" s="12" t="s">
        <v>184</v>
      </c>
      <c r="N35" s="12"/>
    </row>
    <row r="36" spans="1:14" ht="33.75">
      <c r="A36" s="50" t="s">
        <v>199</v>
      </c>
      <c r="B36" s="11" t="s">
        <v>200</v>
      </c>
      <c r="C36" s="11" t="s">
        <v>201</v>
      </c>
      <c r="D36" s="11" t="s">
        <v>202</v>
      </c>
      <c r="E36" s="4" t="s">
        <v>71</v>
      </c>
      <c r="F36" s="4" t="s">
        <v>203</v>
      </c>
      <c r="G36" s="4" t="s">
        <v>204</v>
      </c>
      <c r="H36" s="4" t="s">
        <v>205</v>
      </c>
      <c r="I36" s="6">
        <v>2010.6</v>
      </c>
      <c r="J36" s="6" t="s">
        <v>206</v>
      </c>
      <c r="K36" s="6">
        <f>I36/50/100*50</f>
        <v>20.105999999999998</v>
      </c>
      <c r="L36" s="25" t="s">
        <v>18</v>
      </c>
      <c r="M36" s="11"/>
      <c r="N36" s="11"/>
    </row>
    <row r="37" spans="1:14" ht="101.25">
      <c r="A37" s="50" t="s">
        <v>207</v>
      </c>
      <c r="B37" s="50" t="s">
        <v>208</v>
      </c>
      <c r="C37" s="50" t="s">
        <v>209</v>
      </c>
      <c r="D37" s="50" t="s">
        <v>210</v>
      </c>
      <c r="E37" s="68" t="s">
        <v>71</v>
      </c>
      <c r="F37" s="68" t="s">
        <v>211</v>
      </c>
      <c r="G37" s="68" t="s">
        <v>212</v>
      </c>
      <c r="H37" s="4" t="s">
        <v>34</v>
      </c>
      <c r="I37" s="16">
        <v>356.4</v>
      </c>
      <c r="J37" s="17" t="s">
        <v>18</v>
      </c>
      <c r="K37" s="16" t="s">
        <v>18</v>
      </c>
      <c r="L37" s="7" t="s">
        <v>18</v>
      </c>
      <c r="M37" s="13" t="s">
        <v>213</v>
      </c>
      <c r="N37" s="69"/>
    </row>
    <row r="38" spans="1:14" ht="90">
      <c r="A38" s="9" t="s">
        <v>214</v>
      </c>
      <c r="B38" s="11" t="s">
        <v>215</v>
      </c>
      <c r="C38" s="11" t="s">
        <v>216</v>
      </c>
      <c r="D38" s="11" t="s">
        <v>217</v>
      </c>
      <c r="E38" s="4" t="s">
        <v>218</v>
      </c>
      <c r="F38" s="4" t="s">
        <v>219</v>
      </c>
      <c r="G38" s="4" t="s">
        <v>90</v>
      </c>
      <c r="H38" s="4" t="s">
        <v>16</v>
      </c>
      <c r="I38" s="6">
        <v>601.9</v>
      </c>
      <c r="J38" s="6" t="s">
        <v>18</v>
      </c>
      <c r="K38" s="6" t="s">
        <v>18</v>
      </c>
      <c r="L38" s="25" t="s">
        <v>18</v>
      </c>
      <c r="M38" s="11"/>
      <c r="N38" s="11"/>
    </row>
    <row r="39" spans="1:14" ht="22.5">
      <c r="A39" s="9" t="s">
        <v>220</v>
      </c>
      <c r="B39" s="11" t="s">
        <v>221</v>
      </c>
      <c r="C39" s="11" t="s">
        <v>222</v>
      </c>
      <c r="D39" s="11" t="s">
        <v>223</v>
      </c>
      <c r="E39" s="4" t="s">
        <v>71</v>
      </c>
      <c r="F39" s="4" t="s">
        <v>224</v>
      </c>
      <c r="G39" s="4" t="s">
        <v>225</v>
      </c>
      <c r="H39" s="4" t="s">
        <v>16</v>
      </c>
      <c r="I39" s="6">
        <v>1882.3</v>
      </c>
      <c r="J39" s="6" t="s">
        <v>226</v>
      </c>
      <c r="K39" s="6">
        <f>I39/50/500*200</f>
        <v>15.058399999999999</v>
      </c>
      <c r="L39" s="25" t="s">
        <v>18</v>
      </c>
      <c r="M39" s="11"/>
      <c r="N39" s="11"/>
    </row>
    <row r="40" spans="1:14" ht="22.5">
      <c r="A40" s="61" t="s">
        <v>227</v>
      </c>
      <c r="B40" s="12" t="s">
        <v>221</v>
      </c>
      <c r="C40" s="10" t="s">
        <v>222</v>
      </c>
      <c r="D40" s="10" t="s">
        <v>228</v>
      </c>
      <c r="E40" s="70" t="s">
        <v>14</v>
      </c>
      <c r="F40" s="70" t="s">
        <v>229</v>
      </c>
      <c r="G40" s="4" t="s">
        <v>73</v>
      </c>
      <c r="H40" s="70" t="s">
        <v>74</v>
      </c>
      <c r="I40" s="5">
        <v>338.8</v>
      </c>
      <c r="J40" s="6" t="s">
        <v>226</v>
      </c>
      <c r="K40" s="5">
        <f>I40/10/500*200</f>
        <v>13.552</v>
      </c>
      <c r="L40" s="25" t="s">
        <v>18</v>
      </c>
      <c r="M40" s="11"/>
      <c r="N40" s="11"/>
    </row>
    <row r="41" spans="1:14" ht="22.5">
      <c r="A41" s="9" t="s">
        <v>230</v>
      </c>
      <c r="B41" s="11" t="s">
        <v>231</v>
      </c>
      <c r="C41" s="11" t="s">
        <v>232</v>
      </c>
      <c r="D41" s="11" t="s">
        <v>233</v>
      </c>
      <c r="E41" s="55" t="s">
        <v>71</v>
      </c>
      <c r="F41" s="55" t="s">
        <v>234</v>
      </c>
      <c r="G41" s="4" t="s">
        <v>90</v>
      </c>
      <c r="H41" s="4" t="s">
        <v>16</v>
      </c>
      <c r="I41" s="6">
        <v>1166.9000000000001</v>
      </c>
      <c r="J41" s="23" t="s">
        <v>235</v>
      </c>
      <c r="K41" s="23">
        <f>I41/50/50*160</f>
        <v>74.681600000000003</v>
      </c>
      <c r="L41" s="25" t="s">
        <v>18</v>
      </c>
      <c r="M41" s="11"/>
      <c r="N41" s="11"/>
    </row>
    <row r="42" spans="1:14" ht="180">
      <c r="A42" s="50" t="s">
        <v>236</v>
      </c>
      <c r="B42" s="11" t="s">
        <v>237</v>
      </c>
      <c r="C42" s="11" t="s">
        <v>238</v>
      </c>
      <c r="D42" s="11" t="s">
        <v>239</v>
      </c>
      <c r="E42" s="4" t="s">
        <v>240</v>
      </c>
      <c r="F42" s="4" t="s">
        <v>241</v>
      </c>
      <c r="G42" s="4" t="s">
        <v>242</v>
      </c>
      <c r="H42" s="4" t="s">
        <v>26</v>
      </c>
      <c r="I42" s="6">
        <v>4589</v>
      </c>
      <c r="J42" s="6" t="s">
        <v>18</v>
      </c>
      <c r="K42" s="6" t="s">
        <v>18</v>
      </c>
      <c r="L42" s="25" t="s">
        <v>18</v>
      </c>
      <c r="M42" s="11" t="s">
        <v>243</v>
      </c>
      <c r="N42" s="11"/>
    </row>
    <row r="43" spans="1:14" ht="22.5">
      <c r="A43" s="50" t="s">
        <v>244</v>
      </c>
      <c r="B43" s="11" t="s">
        <v>245</v>
      </c>
      <c r="C43" s="11" t="s">
        <v>246</v>
      </c>
      <c r="D43" s="11" t="s">
        <v>247</v>
      </c>
      <c r="E43" s="4" t="s">
        <v>71</v>
      </c>
      <c r="F43" s="4" t="s">
        <v>248</v>
      </c>
      <c r="G43" s="4" t="s">
        <v>90</v>
      </c>
      <c r="H43" s="4" t="s">
        <v>16</v>
      </c>
      <c r="I43" s="6">
        <v>526.1</v>
      </c>
      <c r="J43" s="6" t="s">
        <v>249</v>
      </c>
      <c r="K43" s="6">
        <f>I43/5/5000*10000</f>
        <v>210.44</v>
      </c>
      <c r="L43" s="25" t="s">
        <v>18</v>
      </c>
      <c r="M43" s="11"/>
      <c r="N43" s="11"/>
    </row>
    <row r="44" spans="1:14" ht="22.5">
      <c r="A44" s="50" t="s">
        <v>250</v>
      </c>
      <c r="B44" s="11" t="s">
        <v>245</v>
      </c>
      <c r="C44" s="11" t="s">
        <v>246</v>
      </c>
      <c r="D44" s="11" t="s">
        <v>247</v>
      </c>
      <c r="E44" s="4" t="s">
        <v>71</v>
      </c>
      <c r="F44" s="4" t="s">
        <v>251</v>
      </c>
      <c r="G44" s="4" t="s">
        <v>90</v>
      </c>
      <c r="H44" s="4" t="s">
        <v>16</v>
      </c>
      <c r="I44" s="6">
        <v>3976.8</v>
      </c>
      <c r="J44" s="6" t="s">
        <v>249</v>
      </c>
      <c r="K44" s="6">
        <f>I44/10/25000*10000</f>
        <v>159.072</v>
      </c>
      <c r="L44" s="25" t="s">
        <v>18</v>
      </c>
      <c r="M44" s="11"/>
      <c r="N44" s="11"/>
    </row>
    <row r="45" spans="1:14" ht="56.25">
      <c r="A45" s="50" t="s">
        <v>252</v>
      </c>
      <c r="B45" s="11" t="s">
        <v>253</v>
      </c>
      <c r="C45" s="11" t="s">
        <v>254</v>
      </c>
      <c r="D45" s="11" t="s">
        <v>255</v>
      </c>
      <c r="E45" s="4" t="s">
        <v>256</v>
      </c>
      <c r="F45" s="4" t="s">
        <v>257</v>
      </c>
      <c r="G45" s="4" t="s">
        <v>258</v>
      </c>
      <c r="H45" s="4" t="s">
        <v>133</v>
      </c>
      <c r="I45" s="6">
        <v>25506.5</v>
      </c>
      <c r="J45" s="6" t="s">
        <v>259</v>
      </c>
      <c r="K45" s="6">
        <f>I45/500*2100</f>
        <v>107127.3</v>
      </c>
      <c r="L45" s="25" t="s">
        <v>18</v>
      </c>
      <c r="M45" s="11" t="s">
        <v>260</v>
      </c>
      <c r="N45" s="11"/>
    </row>
    <row r="46" spans="1:14" ht="33.75">
      <c r="A46" s="50" t="s">
        <v>261</v>
      </c>
      <c r="B46" s="11" t="s">
        <v>253</v>
      </c>
      <c r="C46" s="11" t="s">
        <v>254</v>
      </c>
      <c r="D46" s="11" t="s">
        <v>255</v>
      </c>
      <c r="E46" s="4" t="s">
        <v>256</v>
      </c>
      <c r="F46" s="4" t="s">
        <v>262</v>
      </c>
      <c r="G46" s="4" t="s">
        <v>258</v>
      </c>
      <c r="H46" s="4" t="s">
        <v>133</v>
      </c>
      <c r="I46" s="6">
        <v>51012.800000000003</v>
      </c>
      <c r="J46" s="6" t="s">
        <v>259</v>
      </c>
      <c r="K46" s="6">
        <f>I46/1000*2100</f>
        <v>107126.88000000002</v>
      </c>
      <c r="L46" s="25" t="s">
        <v>18</v>
      </c>
      <c r="M46" s="11" t="s">
        <v>263</v>
      </c>
      <c r="N46" s="11"/>
    </row>
    <row r="47" spans="1:14" ht="56.25">
      <c r="A47" s="50" t="s">
        <v>264</v>
      </c>
      <c r="B47" s="11" t="s">
        <v>253</v>
      </c>
      <c r="C47" s="11" t="s">
        <v>254</v>
      </c>
      <c r="D47" s="11" t="s">
        <v>265</v>
      </c>
      <c r="E47" s="4" t="s">
        <v>266</v>
      </c>
      <c r="F47" s="4" t="s">
        <v>267</v>
      </c>
      <c r="G47" s="4" t="s">
        <v>268</v>
      </c>
      <c r="H47" s="4" t="s">
        <v>34</v>
      </c>
      <c r="I47" s="6">
        <v>25506.5</v>
      </c>
      <c r="J47" s="6" t="s">
        <v>259</v>
      </c>
      <c r="K47" s="6">
        <f>I47/500*2100</f>
        <v>107127.3</v>
      </c>
      <c r="L47" s="25" t="s">
        <v>18</v>
      </c>
      <c r="M47" s="11" t="s">
        <v>260</v>
      </c>
      <c r="N47" s="11"/>
    </row>
    <row r="48" spans="1:14" ht="45">
      <c r="A48" s="71" t="s">
        <v>269</v>
      </c>
      <c r="B48" s="72" t="s">
        <v>253</v>
      </c>
      <c r="C48" s="72" t="s">
        <v>254</v>
      </c>
      <c r="D48" s="72" t="s">
        <v>270</v>
      </c>
      <c r="E48" s="35" t="s">
        <v>256</v>
      </c>
      <c r="F48" s="35" t="s">
        <v>271</v>
      </c>
      <c r="G48" s="35" t="s">
        <v>272</v>
      </c>
      <c r="H48" s="35" t="s">
        <v>273</v>
      </c>
      <c r="I48" s="6">
        <v>25506.5</v>
      </c>
      <c r="J48" s="41" t="s">
        <v>259</v>
      </c>
      <c r="K48" s="18">
        <f>I48/500*2100</f>
        <v>107127.3</v>
      </c>
      <c r="L48" s="25" t="s">
        <v>18</v>
      </c>
      <c r="M48" s="11" t="s">
        <v>263</v>
      </c>
      <c r="N48" s="11"/>
    </row>
    <row r="49" spans="1:14" ht="45">
      <c r="A49" s="71" t="s">
        <v>274</v>
      </c>
      <c r="B49" s="72" t="s">
        <v>253</v>
      </c>
      <c r="C49" s="72" t="s">
        <v>254</v>
      </c>
      <c r="D49" s="72" t="s">
        <v>275</v>
      </c>
      <c r="E49" s="35" t="s">
        <v>256</v>
      </c>
      <c r="F49" s="35" t="s">
        <v>276</v>
      </c>
      <c r="G49" s="35" t="s">
        <v>272</v>
      </c>
      <c r="H49" s="35" t="s">
        <v>273</v>
      </c>
      <c r="I49" s="6">
        <v>51012.800000000003</v>
      </c>
      <c r="J49" s="41" t="s">
        <v>259</v>
      </c>
      <c r="K49" s="18">
        <f>I49/1000*2100</f>
        <v>107126.88000000002</v>
      </c>
      <c r="L49" s="25" t="s">
        <v>18</v>
      </c>
      <c r="M49" s="11" t="s">
        <v>263</v>
      </c>
      <c r="N49" s="11"/>
    </row>
    <row r="50" spans="1:14" ht="191.25">
      <c r="A50" s="50" t="s">
        <v>277</v>
      </c>
      <c r="B50" s="11" t="s">
        <v>278</v>
      </c>
      <c r="C50" s="11" t="s">
        <v>279</v>
      </c>
      <c r="D50" s="11" t="s">
        <v>280</v>
      </c>
      <c r="E50" s="4" t="s">
        <v>281</v>
      </c>
      <c r="F50" s="4" t="s">
        <v>282</v>
      </c>
      <c r="G50" s="4" t="s">
        <v>283</v>
      </c>
      <c r="H50" s="4" t="s">
        <v>284</v>
      </c>
      <c r="I50" s="6">
        <v>2783.6</v>
      </c>
      <c r="J50" s="6" t="s">
        <v>285</v>
      </c>
      <c r="K50" s="6">
        <f>I50/10/2500*2500</f>
        <v>278.36</v>
      </c>
      <c r="L50" s="25" t="s">
        <v>18</v>
      </c>
      <c r="M50" s="11" t="s">
        <v>286</v>
      </c>
      <c r="N50" s="11"/>
    </row>
    <row r="51" spans="1:14" ht="191.25">
      <c r="A51" s="50" t="s">
        <v>287</v>
      </c>
      <c r="B51" s="11" t="s">
        <v>278</v>
      </c>
      <c r="C51" s="11" t="s">
        <v>279</v>
      </c>
      <c r="D51" s="11" t="s">
        <v>280</v>
      </c>
      <c r="E51" s="4" t="s">
        <v>281</v>
      </c>
      <c r="F51" s="4" t="s">
        <v>288</v>
      </c>
      <c r="G51" s="4" t="s">
        <v>283</v>
      </c>
      <c r="H51" s="4" t="s">
        <v>284</v>
      </c>
      <c r="I51" s="6">
        <v>4035.6</v>
      </c>
      <c r="J51" s="6" t="s">
        <v>285</v>
      </c>
      <c r="K51" s="6">
        <f>I51/10/5000*2500</f>
        <v>201.78</v>
      </c>
      <c r="L51" s="25" t="s">
        <v>18</v>
      </c>
      <c r="M51" s="11" t="s">
        <v>286</v>
      </c>
      <c r="N51" s="11"/>
    </row>
    <row r="52" spans="1:14" ht="213.75">
      <c r="A52" s="50" t="s">
        <v>289</v>
      </c>
      <c r="B52" s="11" t="s">
        <v>290</v>
      </c>
      <c r="C52" s="11" t="s">
        <v>291</v>
      </c>
      <c r="D52" s="11" t="s">
        <v>292</v>
      </c>
      <c r="E52" s="4" t="s">
        <v>281</v>
      </c>
      <c r="F52" s="4" t="s">
        <v>293</v>
      </c>
      <c r="G52" s="4" t="s">
        <v>294</v>
      </c>
      <c r="H52" s="4" t="s">
        <v>295</v>
      </c>
      <c r="I52" s="6">
        <v>2055.6999999999998</v>
      </c>
      <c r="J52" s="6" t="s">
        <v>296</v>
      </c>
      <c r="K52" s="6">
        <f>I52/10/2000*2000</f>
        <v>205.57</v>
      </c>
      <c r="L52" s="25" t="s">
        <v>18</v>
      </c>
      <c r="M52" s="11" t="s">
        <v>297</v>
      </c>
      <c r="N52" s="11"/>
    </row>
    <row r="53" spans="1:14" ht="213.75">
      <c r="A53" s="50" t="s">
        <v>298</v>
      </c>
      <c r="B53" s="11" t="s">
        <v>290</v>
      </c>
      <c r="C53" s="11" t="s">
        <v>291</v>
      </c>
      <c r="D53" s="11" t="s">
        <v>292</v>
      </c>
      <c r="E53" s="4" t="s">
        <v>281</v>
      </c>
      <c r="F53" s="4" t="s">
        <v>299</v>
      </c>
      <c r="G53" s="4" t="s">
        <v>294</v>
      </c>
      <c r="H53" s="4" t="s">
        <v>295</v>
      </c>
      <c r="I53" s="6">
        <v>3777.4</v>
      </c>
      <c r="J53" s="6" t="s">
        <v>296</v>
      </c>
      <c r="K53" s="6">
        <f>I53/10/4000*2000</f>
        <v>188.87</v>
      </c>
      <c r="L53" s="25" t="s">
        <v>18</v>
      </c>
      <c r="M53" s="11" t="s">
        <v>297</v>
      </c>
      <c r="N53" s="11"/>
    </row>
    <row r="54" spans="1:14" ht="213.75">
      <c r="A54" s="50" t="s">
        <v>300</v>
      </c>
      <c r="B54" s="11" t="s">
        <v>290</v>
      </c>
      <c r="C54" s="11" t="s">
        <v>291</v>
      </c>
      <c r="D54" s="11" t="s">
        <v>292</v>
      </c>
      <c r="E54" s="4" t="s">
        <v>281</v>
      </c>
      <c r="F54" s="4" t="s">
        <v>301</v>
      </c>
      <c r="G54" s="4" t="s">
        <v>294</v>
      </c>
      <c r="H54" s="4" t="s">
        <v>295</v>
      </c>
      <c r="I54" s="6">
        <v>4970.3999999999996</v>
      </c>
      <c r="J54" s="6" t="s">
        <v>296</v>
      </c>
      <c r="K54" s="6">
        <f>I54/10/6000*2000</f>
        <v>165.68</v>
      </c>
      <c r="L54" s="25" t="s">
        <v>18</v>
      </c>
      <c r="M54" s="11" t="s">
        <v>297</v>
      </c>
      <c r="N54" s="11"/>
    </row>
    <row r="55" spans="1:14" ht="213.75">
      <c r="A55" s="50" t="s">
        <v>302</v>
      </c>
      <c r="B55" s="11" t="s">
        <v>290</v>
      </c>
      <c r="C55" s="11" t="s">
        <v>291</v>
      </c>
      <c r="D55" s="11" t="s">
        <v>292</v>
      </c>
      <c r="E55" s="4" t="s">
        <v>281</v>
      </c>
      <c r="F55" s="4" t="s">
        <v>303</v>
      </c>
      <c r="G55" s="4" t="s">
        <v>294</v>
      </c>
      <c r="H55" s="4" t="s">
        <v>295</v>
      </c>
      <c r="I55" s="6">
        <v>5645.4</v>
      </c>
      <c r="J55" s="6" t="s">
        <v>296</v>
      </c>
      <c r="K55" s="6">
        <f>I55/10/8000*2000</f>
        <v>141.13499999999999</v>
      </c>
      <c r="L55" s="25" t="s">
        <v>18</v>
      </c>
      <c r="M55" s="11" t="s">
        <v>297</v>
      </c>
      <c r="N55" s="11"/>
    </row>
    <row r="56" spans="1:14" ht="213.75">
      <c r="A56" s="50" t="s">
        <v>304</v>
      </c>
      <c r="B56" s="11" t="s">
        <v>290</v>
      </c>
      <c r="C56" s="11" t="s">
        <v>305</v>
      </c>
      <c r="D56" s="11" t="s">
        <v>306</v>
      </c>
      <c r="E56" s="4" t="s">
        <v>281</v>
      </c>
      <c r="F56" s="4" t="s">
        <v>307</v>
      </c>
      <c r="G56" s="4" t="s">
        <v>3749</v>
      </c>
      <c r="H56" s="4" t="s">
        <v>138</v>
      </c>
      <c r="I56" s="16">
        <v>1748.3000000000002</v>
      </c>
      <c r="J56" s="6" t="s">
        <v>296</v>
      </c>
      <c r="K56" s="16">
        <f>(I56/10)/2000*2000</f>
        <v>174.83</v>
      </c>
      <c r="L56" s="25" t="s">
        <v>18</v>
      </c>
      <c r="M56" s="11" t="s">
        <v>297</v>
      </c>
      <c r="N56" s="11"/>
    </row>
    <row r="57" spans="1:14" ht="213.75">
      <c r="A57" s="50" t="s">
        <v>308</v>
      </c>
      <c r="B57" s="11" t="s">
        <v>290</v>
      </c>
      <c r="C57" s="11" t="s">
        <v>305</v>
      </c>
      <c r="D57" s="11" t="s">
        <v>306</v>
      </c>
      <c r="E57" s="4" t="s">
        <v>281</v>
      </c>
      <c r="F57" s="4" t="s">
        <v>309</v>
      </c>
      <c r="G57" s="4" t="s">
        <v>3749</v>
      </c>
      <c r="H57" s="4" t="s">
        <v>138</v>
      </c>
      <c r="I57" s="16">
        <v>1748.3000000000002</v>
      </c>
      <c r="J57" s="6" t="s">
        <v>296</v>
      </c>
      <c r="K57" s="16">
        <f>(I57/10)/2000*2000</f>
        <v>174.83</v>
      </c>
      <c r="L57" s="25" t="s">
        <v>18</v>
      </c>
      <c r="M57" s="11" t="s">
        <v>297</v>
      </c>
      <c r="N57" s="11"/>
    </row>
    <row r="58" spans="1:14" ht="213.75">
      <c r="A58" s="50" t="s">
        <v>310</v>
      </c>
      <c r="B58" s="11" t="s">
        <v>290</v>
      </c>
      <c r="C58" s="11" t="s">
        <v>305</v>
      </c>
      <c r="D58" s="11" t="s">
        <v>306</v>
      </c>
      <c r="E58" s="4" t="s">
        <v>281</v>
      </c>
      <c r="F58" s="4" t="s">
        <v>311</v>
      </c>
      <c r="G58" s="4" t="s">
        <v>3749</v>
      </c>
      <c r="H58" s="4" t="s">
        <v>138</v>
      </c>
      <c r="I58" s="16">
        <v>3401.4</v>
      </c>
      <c r="J58" s="6" t="s">
        <v>296</v>
      </c>
      <c r="K58" s="16">
        <f>(I58/10)/4000*2000</f>
        <v>170.07</v>
      </c>
      <c r="L58" s="25" t="s">
        <v>18</v>
      </c>
      <c r="M58" s="11" t="s">
        <v>297</v>
      </c>
      <c r="N58" s="11"/>
    </row>
    <row r="59" spans="1:14" ht="213.75">
      <c r="A59" s="50" t="s">
        <v>312</v>
      </c>
      <c r="B59" s="11" t="s">
        <v>290</v>
      </c>
      <c r="C59" s="11" t="s">
        <v>305</v>
      </c>
      <c r="D59" s="11" t="s">
        <v>306</v>
      </c>
      <c r="E59" s="4" t="s">
        <v>281</v>
      </c>
      <c r="F59" s="4" t="s">
        <v>313</v>
      </c>
      <c r="G59" s="4" t="s">
        <v>3749</v>
      </c>
      <c r="H59" s="4" t="s">
        <v>138</v>
      </c>
      <c r="I59" s="16">
        <v>3401.4</v>
      </c>
      <c r="J59" s="6" t="s">
        <v>296</v>
      </c>
      <c r="K59" s="16">
        <f>(I59/10)/4000*2000</f>
        <v>170.07</v>
      </c>
      <c r="L59" s="25" t="s">
        <v>18</v>
      </c>
      <c r="M59" s="11" t="s">
        <v>297</v>
      </c>
      <c r="N59" s="11"/>
    </row>
    <row r="60" spans="1:14" ht="213.75">
      <c r="A60" s="50" t="s">
        <v>314</v>
      </c>
      <c r="B60" s="11" t="s">
        <v>290</v>
      </c>
      <c r="C60" s="11" t="s">
        <v>305</v>
      </c>
      <c r="D60" s="11" t="s">
        <v>306</v>
      </c>
      <c r="E60" s="4" t="s">
        <v>281</v>
      </c>
      <c r="F60" s="4" t="s">
        <v>315</v>
      </c>
      <c r="G60" s="4" t="s">
        <v>3749</v>
      </c>
      <c r="H60" s="4" t="s">
        <v>138</v>
      </c>
      <c r="I60" s="16">
        <v>4279.7999999999993</v>
      </c>
      <c r="J60" s="6" t="s">
        <v>296</v>
      </c>
      <c r="K60" s="16">
        <f>(I60/10)/6000*2000</f>
        <v>142.65999999999997</v>
      </c>
      <c r="L60" s="25" t="s">
        <v>18</v>
      </c>
      <c r="M60" s="11" t="s">
        <v>297</v>
      </c>
      <c r="N60" s="11"/>
    </row>
    <row r="61" spans="1:14" ht="213.75">
      <c r="A61" s="50" t="s">
        <v>316</v>
      </c>
      <c r="B61" s="11" t="s">
        <v>290</v>
      </c>
      <c r="C61" s="11" t="s">
        <v>305</v>
      </c>
      <c r="D61" s="11" t="s">
        <v>306</v>
      </c>
      <c r="E61" s="4" t="s">
        <v>281</v>
      </c>
      <c r="F61" s="4" t="s">
        <v>317</v>
      </c>
      <c r="G61" s="4" t="s">
        <v>3749</v>
      </c>
      <c r="H61" s="4" t="s">
        <v>138</v>
      </c>
      <c r="I61" s="16">
        <v>4279.7999999999993</v>
      </c>
      <c r="J61" s="6" t="s">
        <v>296</v>
      </c>
      <c r="K61" s="16">
        <f>(I61/10)/6000*2000</f>
        <v>142.65999999999997</v>
      </c>
      <c r="L61" s="25" t="s">
        <v>18</v>
      </c>
      <c r="M61" s="11" t="s">
        <v>297</v>
      </c>
      <c r="N61" s="11"/>
    </row>
    <row r="62" spans="1:14" ht="213.75">
      <c r="A62" s="50" t="s">
        <v>318</v>
      </c>
      <c r="B62" s="11" t="s">
        <v>290</v>
      </c>
      <c r="C62" s="11" t="s">
        <v>305</v>
      </c>
      <c r="D62" s="11" t="s">
        <v>306</v>
      </c>
      <c r="E62" s="4" t="s">
        <v>281</v>
      </c>
      <c r="F62" s="4" t="s">
        <v>319</v>
      </c>
      <c r="G62" s="4" t="s">
        <v>3749</v>
      </c>
      <c r="H62" s="4" t="s">
        <v>138</v>
      </c>
      <c r="I62" s="16">
        <v>4952.5999999999995</v>
      </c>
      <c r="J62" s="6" t="s">
        <v>296</v>
      </c>
      <c r="K62" s="16">
        <f>(I62/10)/8000*2000</f>
        <v>123.81499999999998</v>
      </c>
      <c r="L62" s="25" t="s">
        <v>18</v>
      </c>
      <c r="M62" s="11" t="s">
        <v>297</v>
      </c>
      <c r="N62" s="11"/>
    </row>
    <row r="63" spans="1:14" ht="213.75">
      <c r="A63" s="50" t="s">
        <v>320</v>
      </c>
      <c r="B63" s="11" t="s">
        <v>290</v>
      </c>
      <c r="C63" s="11" t="s">
        <v>305</v>
      </c>
      <c r="D63" s="11" t="s">
        <v>306</v>
      </c>
      <c r="E63" s="4" t="s">
        <v>281</v>
      </c>
      <c r="F63" s="4" t="s">
        <v>321</v>
      </c>
      <c r="G63" s="4" t="s">
        <v>3749</v>
      </c>
      <c r="H63" s="4" t="s">
        <v>138</v>
      </c>
      <c r="I63" s="16">
        <v>4952.5999999999995</v>
      </c>
      <c r="J63" s="6" t="s">
        <v>296</v>
      </c>
      <c r="K63" s="16">
        <f>(I63/10)/8000*2000</f>
        <v>123.81499999999998</v>
      </c>
      <c r="L63" s="25" t="s">
        <v>18</v>
      </c>
      <c r="M63" s="11" t="s">
        <v>297</v>
      </c>
      <c r="N63" s="11"/>
    </row>
    <row r="64" spans="1:14" ht="191.25">
      <c r="A64" s="50" t="s">
        <v>322</v>
      </c>
      <c r="B64" s="11" t="s">
        <v>323</v>
      </c>
      <c r="C64" s="11" t="s">
        <v>324</v>
      </c>
      <c r="D64" s="11" t="s">
        <v>325</v>
      </c>
      <c r="E64" s="4" t="s">
        <v>71</v>
      </c>
      <c r="F64" s="4" t="s">
        <v>326</v>
      </c>
      <c r="G64" s="4" t="s">
        <v>327</v>
      </c>
      <c r="H64" s="4" t="s">
        <v>175</v>
      </c>
      <c r="I64" s="6">
        <v>2714.5</v>
      </c>
      <c r="J64" s="6" t="s">
        <v>328</v>
      </c>
      <c r="K64" s="6">
        <f>I64/10/2850*2850</f>
        <v>271.45</v>
      </c>
      <c r="L64" s="25" t="s">
        <v>18</v>
      </c>
      <c r="M64" s="11" t="s">
        <v>286</v>
      </c>
      <c r="N64" s="11"/>
    </row>
    <row r="65" spans="1:14" ht="191.25">
      <c r="A65" s="50" t="s">
        <v>329</v>
      </c>
      <c r="B65" s="11" t="s">
        <v>323</v>
      </c>
      <c r="C65" s="11" t="s">
        <v>324</v>
      </c>
      <c r="D65" s="11" t="s">
        <v>325</v>
      </c>
      <c r="E65" s="4" t="s">
        <v>71</v>
      </c>
      <c r="F65" s="4" t="s">
        <v>330</v>
      </c>
      <c r="G65" s="4" t="s">
        <v>327</v>
      </c>
      <c r="H65" s="4" t="s">
        <v>175</v>
      </c>
      <c r="I65" s="6">
        <v>3337</v>
      </c>
      <c r="J65" s="6" t="s">
        <v>328</v>
      </c>
      <c r="K65" s="6">
        <f>I65/10/3800*2850</f>
        <v>250.27500000000001</v>
      </c>
      <c r="L65" s="25" t="s">
        <v>18</v>
      </c>
      <c r="M65" s="11" t="s">
        <v>286</v>
      </c>
      <c r="N65" s="11"/>
    </row>
    <row r="66" spans="1:14" ht="191.25">
      <c r="A66" s="50" t="s">
        <v>331</v>
      </c>
      <c r="B66" s="11" t="s">
        <v>323</v>
      </c>
      <c r="C66" s="11" t="s">
        <v>324</v>
      </c>
      <c r="D66" s="11" t="s">
        <v>325</v>
      </c>
      <c r="E66" s="4" t="s">
        <v>71</v>
      </c>
      <c r="F66" s="4" t="s">
        <v>332</v>
      </c>
      <c r="G66" s="4" t="s">
        <v>327</v>
      </c>
      <c r="H66" s="4" t="s">
        <v>175</v>
      </c>
      <c r="I66" s="6">
        <v>4181.8999999999996</v>
      </c>
      <c r="J66" s="6" t="s">
        <v>328</v>
      </c>
      <c r="K66" s="6">
        <f>I66/10/5700*2850</f>
        <v>209.09499999999994</v>
      </c>
      <c r="L66" s="25" t="s">
        <v>18</v>
      </c>
      <c r="M66" s="11" t="s">
        <v>286</v>
      </c>
      <c r="N66" s="11"/>
    </row>
    <row r="67" spans="1:14" ht="33.75">
      <c r="A67" s="50" t="s">
        <v>333</v>
      </c>
      <c r="B67" s="11" t="s">
        <v>334</v>
      </c>
      <c r="C67" s="11" t="s">
        <v>335</v>
      </c>
      <c r="D67" s="11" t="s">
        <v>336</v>
      </c>
      <c r="E67" s="4" t="s">
        <v>266</v>
      </c>
      <c r="F67" s="4" t="s">
        <v>337</v>
      </c>
      <c r="G67" s="4" t="s">
        <v>338</v>
      </c>
      <c r="H67" s="4" t="s">
        <v>34</v>
      </c>
      <c r="I67" s="6">
        <v>38017.4</v>
      </c>
      <c r="J67" s="6" t="s">
        <v>339</v>
      </c>
      <c r="K67" s="6">
        <f>I67/1/50*100</f>
        <v>76034.8</v>
      </c>
      <c r="L67" s="25" t="s">
        <v>18</v>
      </c>
      <c r="M67" s="11"/>
      <c r="N67" s="11" t="s">
        <v>340</v>
      </c>
    </row>
    <row r="68" spans="1:14" ht="45">
      <c r="A68" s="50" t="s">
        <v>341</v>
      </c>
      <c r="B68" s="11" t="s">
        <v>342</v>
      </c>
      <c r="C68" s="11" t="s">
        <v>343</v>
      </c>
      <c r="D68" s="11" t="s">
        <v>344</v>
      </c>
      <c r="E68" s="4" t="s">
        <v>345</v>
      </c>
      <c r="F68" s="4" t="s">
        <v>346</v>
      </c>
      <c r="G68" s="4" t="s">
        <v>338</v>
      </c>
      <c r="H68" s="4" t="s">
        <v>34</v>
      </c>
      <c r="I68" s="6">
        <v>78474.2</v>
      </c>
      <c r="J68" s="6" t="s">
        <v>35</v>
      </c>
      <c r="K68" s="6">
        <f>I68/50*40</f>
        <v>62779.360000000001</v>
      </c>
      <c r="L68" s="25" t="s">
        <v>18</v>
      </c>
      <c r="M68" s="11"/>
      <c r="N68" s="11"/>
    </row>
    <row r="69" spans="1:14" s="52" customFormat="1" ht="33.75">
      <c r="A69" s="12" t="s">
        <v>347</v>
      </c>
      <c r="B69" s="12" t="s">
        <v>348</v>
      </c>
      <c r="C69" s="12" t="s">
        <v>349</v>
      </c>
      <c r="D69" s="12" t="s">
        <v>350</v>
      </c>
      <c r="E69" s="7" t="s">
        <v>142</v>
      </c>
      <c r="F69" s="7" t="s">
        <v>351</v>
      </c>
      <c r="G69" s="4" t="s">
        <v>352</v>
      </c>
      <c r="H69" s="7" t="s">
        <v>34</v>
      </c>
      <c r="I69" s="6">
        <v>1324</v>
      </c>
      <c r="J69" s="6" t="s">
        <v>362</v>
      </c>
      <c r="K69" s="6">
        <f>I69/30/75*300</f>
        <v>176.53333333333333</v>
      </c>
      <c r="L69" s="25" t="s">
        <v>18</v>
      </c>
      <c r="M69" s="11" t="s">
        <v>353</v>
      </c>
      <c r="N69" s="11" t="s">
        <v>354</v>
      </c>
    </row>
    <row r="70" spans="1:14" s="52" customFormat="1" ht="33.75">
      <c r="A70" s="12" t="s">
        <v>355</v>
      </c>
      <c r="B70" s="12" t="s">
        <v>348</v>
      </c>
      <c r="C70" s="12" t="s">
        <v>349</v>
      </c>
      <c r="D70" s="12" t="s">
        <v>350</v>
      </c>
      <c r="E70" s="7" t="s">
        <v>142</v>
      </c>
      <c r="F70" s="7" t="s">
        <v>356</v>
      </c>
      <c r="G70" s="4" t="s">
        <v>352</v>
      </c>
      <c r="H70" s="7" t="s">
        <v>34</v>
      </c>
      <c r="I70" s="6">
        <v>1058.5999999999999</v>
      </c>
      <c r="J70" s="6" t="s">
        <v>362</v>
      </c>
      <c r="K70" s="6">
        <f>I70/30/110*300</f>
        <v>96.23636363636362</v>
      </c>
      <c r="L70" s="25" t="s">
        <v>18</v>
      </c>
      <c r="M70" s="11" t="s">
        <v>353</v>
      </c>
      <c r="N70" s="11" t="s">
        <v>354</v>
      </c>
    </row>
    <row r="71" spans="1:14" s="52" customFormat="1" ht="33.75">
      <c r="A71" s="12" t="s">
        <v>357</v>
      </c>
      <c r="B71" s="12" t="s">
        <v>348</v>
      </c>
      <c r="C71" s="12" t="s">
        <v>349</v>
      </c>
      <c r="D71" s="12" t="s">
        <v>358</v>
      </c>
      <c r="E71" s="7" t="s">
        <v>142</v>
      </c>
      <c r="F71" s="7" t="s">
        <v>359</v>
      </c>
      <c r="G71" s="4" t="s">
        <v>360</v>
      </c>
      <c r="H71" s="7" t="s">
        <v>361</v>
      </c>
      <c r="I71" s="6">
        <v>2117.1999999999998</v>
      </c>
      <c r="J71" s="5" t="s">
        <v>362</v>
      </c>
      <c r="K71" s="6">
        <f>(I71/60)/110*300</f>
        <v>96.23636363636362</v>
      </c>
      <c r="L71" s="25" t="s">
        <v>18</v>
      </c>
      <c r="M71" s="11" t="s">
        <v>353</v>
      </c>
      <c r="N71" s="11" t="s">
        <v>354</v>
      </c>
    </row>
    <row r="72" spans="1:14" s="52" customFormat="1" ht="45">
      <c r="A72" s="12" t="s">
        <v>3640</v>
      </c>
      <c r="B72" s="12" t="s">
        <v>348</v>
      </c>
      <c r="C72" s="12" t="s">
        <v>349</v>
      </c>
      <c r="D72" s="12" t="s">
        <v>3641</v>
      </c>
      <c r="E72" s="7" t="s">
        <v>142</v>
      </c>
      <c r="F72" s="7" t="s">
        <v>351</v>
      </c>
      <c r="G72" s="4" t="s">
        <v>3642</v>
      </c>
      <c r="H72" s="4" t="s">
        <v>3643</v>
      </c>
      <c r="I72" s="6">
        <v>1324</v>
      </c>
      <c r="J72" s="5" t="s">
        <v>362</v>
      </c>
      <c r="K72" s="6">
        <f>+I72/(30*75)*300</f>
        <v>176.53333333333333</v>
      </c>
      <c r="L72" s="25" t="s">
        <v>18</v>
      </c>
      <c r="M72" s="11" t="s">
        <v>353</v>
      </c>
      <c r="N72" s="11" t="s">
        <v>354</v>
      </c>
    </row>
    <row r="73" spans="1:14" s="52" customFormat="1" ht="45">
      <c r="A73" s="12" t="s">
        <v>3644</v>
      </c>
      <c r="B73" s="12" t="s">
        <v>348</v>
      </c>
      <c r="C73" s="12" t="s">
        <v>349</v>
      </c>
      <c r="D73" s="12" t="s">
        <v>3641</v>
      </c>
      <c r="E73" s="7" t="s">
        <v>142</v>
      </c>
      <c r="F73" s="7" t="s">
        <v>359</v>
      </c>
      <c r="G73" s="4" t="s">
        <v>3642</v>
      </c>
      <c r="H73" s="4" t="s">
        <v>3643</v>
      </c>
      <c r="I73" s="6">
        <v>2117.1999999999998</v>
      </c>
      <c r="J73" s="5" t="s">
        <v>362</v>
      </c>
      <c r="K73" s="6">
        <f>+I73/(60*110)*300</f>
        <v>96.23636363636362</v>
      </c>
      <c r="L73" s="25" t="s">
        <v>18</v>
      </c>
      <c r="M73" s="11" t="s">
        <v>353</v>
      </c>
      <c r="N73" s="11" t="s">
        <v>354</v>
      </c>
    </row>
    <row r="74" spans="1:14" s="52" customFormat="1" ht="33.75">
      <c r="A74" s="12" t="s">
        <v>3750</v>
      </c>
      <c r="B74" s="12" t="s">
        <v>348</v>
      </c>
      <c r="C74" s="12" t="s">
        <v>349</v>
      </c>
      <c r="D74" s="12" t="s">
        <v>3751</v>
      </c>
      <c r="E74" s="7" t="s">
        <v>142</v>
      </c>
      <c r="F74" s="4" t="s">
        <v>3752</v>
      </c>
      <c r="G74" s="4" t="s">
        <v>3753</v>
      </c>
      <c r="H74" s="4" t="s">
        <v>618</v>
      </c>
      <c r="I74" s="6">
        <v>2117.1999999999998</v>
      </c>
      <c r="J74" s="5" t="s">
        <v>3754</v>
      </c>
      <c r="K74" s="6">
        <f>+I74/(60*110)*300</f>
        <v>96.23636363636362</v>
      </c>
      <c r="L74" s="25" t="s">
        <v>18</v>
      </c>
      <c r="M74" s="11" t="s">
        <v>353</v>
      </c>
      <c r="N74" s="11" t="s">
        <v>354</v>
      </c>
    </row>
    <row r="75" spans="1:14" ht="67.5">
      <c r="A75" s="50" t="s">
        <v>363</v>
      </c>
      <c r="B75" s="11" t="s">
        <v>364</v>
      </c>
      <c r="C75" s="11" t="s">
        <v>365</v>
      </c>
      <c r="D75" s="11" t="s">
        <v>366</v>
      </c>
      <c r="E75" s="4" t="s">
        <v>71</v>
      </c>
      <c r="F75" s="4" t="s">
        <v>367</v>
      </c>
      <c r="G75" s="4" t="s">
        <v>368</v>
      </c>
      <c r="H75" s="4" t="s">
        <v>175</v>
      </c>
      <c r="I75" s="6">
        <v>3911.1</v>
      </c>
      <c r="J75" s="6" t="s">
        <v>369</v>
      </c>
      <c r="K75" s="6">
        <f>I75/10/2.5*2.5</f>
        <v>391.11</v>
      </c>
      <c r="L75" s="25" t="s">
        <v>18</v>
      </c>
      <c r="M75" s="11" t="s">
        <v>370</v>
      </c>
      <c r="N75" s="11"/>
    </row>
    <row r="76" spans="1:14" ht="45">
      <c r="A76" s="50" t="s">
        <v>371</v>
      </c>
      <c r="B76" s="11" t="s">
        <v>372</v>
      </c>
      <c r="C76" s="11" t="s">
        <v>373</v>
      </c>
      <c r="D76" s="11" t="s">
        <v>374</v>
      </c>
      <c r="E76" s="4" t="s">
        <v>240</v>
      </c>
      <c r="F76" s="4" t="s">
        <v>375</v>
      </c>
      <c r="G76" s="4" t="s">
        <v>376</v>
      </c>
      <c r="H76" s="4" t="s">
        <v>377</v>
      </c>
      <c r="I76" s="6">
        <v>1307.5999999999999</v>
      </c>
      <c r="J76" s="6" t="s">
        <v>27</v>
      </c>
      <c r="K76" s="6">
        <f>I76/10/10*20</f>
        <v>261.52</v>
      </c>
      <c r="L76" s="25" t="s">
        <v>18</v>
      </c>
      <c r="M76" s="11" t="s">
        <v>353</v>
      </c>
      <c r="N76" s="11" t="s">
        <v>378</v>
      </c>
    </row>
    <row r="77" spans="1:14" ht="33.75">
      <c r="A77" s="50" t="s">
        <v>379</v>
      </c>
      <c r="B77" s="11" t="s">
        <v>372</v>
      </c>
      <c r="C77" s="11" t="s">
        <v>373</v>
      </c>
      <c r="D77" s="11" t="s">
        <v>380</v>
      </c>
      <c r="E77" s="4" t="s">
        <v>240</v>
      </c>
      <c r="F77" s="4" t="s">
        <v>375</v>
      </c>
      <c r="G77" s="4" t="s">
        <v>381</v>
      </c>
      <c r="H77" s="4" t="s">
        <v>382</v>
      </c>
      <c r="I77" s="6">
        <v>1010.5</v>
      </c>
      <c r="J77" s="6" t="s">
        <v>27</v>
      </c>
      <c r="K77" s="6">
        <f>(I77/10)/10*20</f>
        <v>202.10000000000002</v>
      </c>
      <c r="L77" s="25" t="s">
        <v>18</v>
      </c>
      <c r="M77" s="11" t="s">
        <v>353</v>
      </c>
      <c r="N77" s="11" t="s">
        <v>378</v>
      </c>
    </row>
    <row r="78" spans="1:14" ht="33.75">
      <c r="A78" s="50" t="s">
        <v>383</v>
      </c>
      <c r="B78" s="11" t="s">
        <v>372</v>
      </c>
      <c r="C78" s="11" t="s">
        <v>373</v>
      </c>
      <c r="D78" s="11" t="s">
        <v>384</v>
      </c>
      <c r="E78" s="4" t="s">
        <v>240</v>
      </c>
      <c r="F78" s="4" t="s">
        <v>385</v>
      </c>
      <c r="G78" s="4" t="s">
        <v>386</v>
      </c>
      <c r="H78" s="4" t="s">
        <v>34</v>
      </c>
      <c r="I78" s="6">
        <v>2151.8000000000002</v>
      </c>
      <c r="J78" s="6" t="s">
        <v>27</v>
      </c>
      <c r="K78" s="6">
        <f>(I78/28)/10*20</f>
        <v>153.70000000000002</v>
      </c>
      <c r="L78" s="25" t="s">
        <v>18</v>
      </c>
      <c r="M78" s="11" t="s">
        <v>353</v>
      </c>
      <c r="N78" s="11" t="s">
        <v>378</v>
      </c>
    </row>
    <row r="79" spans="1:14" ht="33.75">
      <c r="A79" s="50">
        <v>1068061</v>
      </c>
      <c r="B79" s="11" t="s">
        <v>372</v>
      </c>
      <c r="C79" s="11" t="s">
        <v>373</v>
      </c>
      <c r="D79" s="11" t="s">
        <v>387</v>
      </c>
      <c r="E79" s="4" t="s">
        <v>388</v>
      </c>
      <c r="F79" s="4" t="s">
        <v>375</v>
      </c>
      <c r="G79" s="4" t="s">
        <v>60</v>
      </c>
      <c r="H79" s="4" t="s">
        <v>16</v>
      </c>
      <c r="I79" s="6">
        <v>1010.5</v>
      </c>
      <c r="J79" s="6" t="s">
        <v>27</v>
      </c>
      <c r="K79" s="6">
        <f>(I79/10)/10*20</f>
        <v>202.10000000000002</v>
      </c>
      <c r="L79" s="25" t="s">
        <v>18</v>
      </c>
      <c r="M79" s="11" t="s">
        <v>353</v>
      </c>
      <c r="N79" s="11" t="s">
        <v>378</v>
      </c>
    </row>
    <row r="80" spans="1:14" ht="33.75">
      <c r="A80" s="50">
        <v>1068062</v>
      </c>
      <c r="B80" s="11" t="s">
        <v>372</v>
      </c>
      <c r="C80" s="11" t="s">
        <v>373</v>
      </c>
      <c r="D80" s="11" t="s">
        <v>387</v>
      </c>
      <c r="E80" s="4" t="s">
        <v>388</v>
      </c>
      <c r="F80" s="4" t="s">
        <v>389</v>
      </c>
      <c r="G80" s="4" t="s">
        <v>60</v>
      </c>
      <c r="H80" s="4" t="s">
        <v>16</v>
      </c>
      <c r="I80" s="6">
        <v>3031.5</v>
      </c>
      <c r="J80" s="6" t="s">
        <v>27</v>
      </c>
      <c r="K80" s="6">
        <f>(I80/30)/10*20</f>
        <v>202.10000000000002</v>
      </c>
      <c r="L80" s="25" t="s">
        <v>18</v>
      </c>
      <c r="M80" s="11" t="s">
        <v>353</v>
      </c>
      <c r="N80" s="11" t="s">
        <v>378</v>
      </c>
    </row>
    <row r="81" spans="1:14" ht="33.75">
      <c r="A81" s="50">
        <v>1068055</v>
      </c>
      <c r="B81" s="11" t="s">
        <v>372</v>
      </c>
      <c r="C81" s="11" t="s">
        <v>373</v>
      </c>
      <c r="D81" s="11" t="s">
        <v>390</v>
      </c>
      <c r="E81" s="4" t="s">
        <v>240</v>
      </c>
      <c r="F81" s="4" t="s">
        <v>391</v>
      </c>
      <c r="G81" s="4" t="s">
        <v>392</v>
      </c>
      <c r="H81" s="4" t="s">
        <v>393</v>
      </c>
      <c r="I81" s="6">
        <v>1414.7</v>
      </c>
      <c r="J81" s="6" t="s">
        <v>27</v>
      </c>
      <c r="K81" s="6">
        <f>(I81/14)/10*20</f>
        <v>202.10000000000002</v>
      </c>
      <c r="L81" s="25" t="s">
        <v>18</v>
      </c>
      <c r="M81" s="11" t="s">
        <v>353</v>
      </c>
      <c r="N81" s="11" t="s">
        <v>378</v>
      </c>
    </row>
    <row r="82" spans="1:14" ht="33.75">
      <c r="A82" s="50">
        <v>1068053</v>
      </c>
      <c r="B82" s="11" t="s">
        <v>372</v>
      </c>
      <c r="C82" s="11" t="s">
        <v>373</v>
      </c>
      <c r="D82" s="11" t="s">
        <v>394</v>
      </c>
      <c r="E82" s="4" t="s">
        <v>240</v>
      </c>
      <c r="F82" s="4" t="s">
        <v>395</v>
      </c>
      <c r="G82" s="4" t="s">
        <v>91</v>
      </c>
      <c r="H82" s="4" t="s">
        <v>396</v>
      </c>
      <c r="I82" s="6">
        <v>1010.5</v>
      </c>
      <c r="J82" s="6" t="s">
        <v>27</v>
      </c>
      <c r="K82" s="6">
        <f>(I82/10)/10*20</f>
        <v>202.10000000000002</v>
      </c>
      <c r="L82" s="25" t="s">
        <v>18</v>
      </c>
      <c r="M82" s="11" t="s">
        <v>353</v>
      </c>
      <c r="N82" s="11" t="s">
        <v>378</v>
      </c>
    </row>
    <row r="83" spans="1:14" ht="45">
      <c r="A83" s="50">
        <v>1068100</v>
      </c>
      <c r="B83" s="11" t="s">
        <v>372</v>
      </c>
      <c r="C83" s="11" t="s">
        <v>373</v>
      </c>
      <c r="D83" s="11" t="s">
        <v>397</v>
      </c>
      <c r="E83" s="4" t="s">
        <v>240</v>
      </c>
      <c r="F83" s="4" t="s">
        <v>389</v>
      </c>
      <c r="G83" s="4" t="s">
        <v>3695</v>
      </c>
      <c r="H83" s="4" t="s">
        <v>3696</v>
      </c>
      <c r="I83" s="6">
        <v>2305.5</v>
      </c>
      <c r="J83" s="6" t="s">
        <v>27</v>
      </c>
      <c r="K83" s="6">
        <f>(I83/30)/10*20</f>
        <v>153.69999999999999</v>
      </c>
      <c r="L83" s="25" t="s">
        <v>18</v>
      </c>
      <c r="M83" s="11" t="s">
        <v>353</v>
      </c>
      <c r="N83" s="11" t="s">
        <v>378</v>
      </c>
    </row>
    <row r="84" spans="1:14" ht="33.75">
      <c r="A84" s="50" t="s">
        <v>398</v>
      </c>
      <c r="B84" s="11" t="s">
        <v>372</v>
      </c>
      <c r="C84" s="11" t="s">
        <v>373</v>
      </c>
      <c r="D84" s="11" t="s">
        <v>399</v>
      </c>
      <c r="E84" s="4" t="s">
        <v>240</v>
      </c>
      <c r="F84" s="4" t="s">
        <v>375</v>
      </c>
      <c r="G84" s="4" t="s">
        <v>400</v>
      </c>
      <c r="H84" s="4" t="s">
        <v>205</v>
      </c>
      <c r="I84" s="6">
        <v>1010.5</v>
      </c>
      <c r="J84" s="6" t="s">
        <v>27</v>
      </c>
      <c r="K84" s="6">
        <f>(I84/10)/10*20</f>
        <v>202.10000000000002</v>
      </c>
      <c r="L84" s="25" t="s">
        <v>18</v>
      </c>
      <c r="M84" s="11" t="s">
        <v>353</v>
      </c>
      <c r="N84" s="11" t="s">
        <v>378</v>
      </c>
    </row>
    <row r="85" spans="1:14" ht="33.75">
      <c r="A85" s="50" t="s">
        <v>401</v>
      </c>
      <c r="B85" s="11" t="s">
        <v>372</v>
      </c>
      <c r="C85" s="11" t="s">
        <v>373</v>
      </c>
      <c r="D85" s="11" t="s">
        <v>399</v>
      </c>
      <c r="E85" s="4" t="s">
        <v>240</v>
      </c>
      <c r="F85" s="4" t="s">
        <v>389</v>
      </c>
      <c r="G85" s="4" t="s">
        <v>400</v>
      </c>
      <c r="H85" s="4" t="s">
        <v>205</v>
      </c>
      <c r="I85" s="6">
        <v>3031.5</v>
      </c>
      <c r="J85" s="6" t="s">
        <v>27</v>
      </c>
      <c r="K85" s="6">
        <f>(I85/30)/10*20</f>
        <v>202.10000000000002</v>
      </c>
      <c r="L85" s="25" t="s">
        <v>18</v>
      </c>
      <c r="M85" s="11" t="s">
        <v>353</v>
      </c>
      <c r="N85" s="11" t="s">
        <v>378</v>
      </c>
    </row>
    <row r="86" spans="1:14" ht="33.75">
      <c r="A86" s="50" t="s">
        <v>3593</v>
      </c>
      <c r="B86" s="11" t="s">
        <v>372</v>
      </c>
      <c r="C86" s="11" t="s">
        <v>373</v>
      </c>
      <c r="D86" s="11" t="s">
        <v>3594</v>
      </c>
      <c r="E86" s="4" t="s">
        <v>240</v>
      </c>
      <c r="F86" s="4" t="s">
        <v>375</v>
      </c>
      <c r="G86" s="4" t="s">
        <v>3595</v>
      </c>
      <c r="H86" s="4" t="s">
        <v>49</v>
      </c>
      <c r="I86" s="6">
        <v>1010.5</v>
      </c>
      <c r="J86" s="6" t="s">
        <v>27</v>
      </c>
      <c r="K86" s="6">
        <f>I86/100*20</f>
        <v>202.10000000000002</v>
      </c>
      <c r="L86" s="25" t="s">
        <v>18</v>
      </c>
      <c r="M86" s="11" t="s">
        <v>353</v>
      </c>
      <c r="N86" s="11" t="s">
        <v>378</v>
      </c>
    </row>
    <row r="87" spans="1:14" ht="33.75">
      <c r="A87" s="50" t="s">
        <v>3654</v>
      </c>
      <c r="B87" s="11" t="s">
        <v>372</v>
      </c>
      <c r="C87" s="11" t="s">
        <v>373</v>
      </c>
      <c r="D87" s="11" t="s">
        <v>3651</v>
      </c>
      <c r="E87" s="4" t="s">
        <v>240</v>
      </c>
      <c r="F87" s="4" t="s">
        <v>375</v>
      </c>
      <c r="G87" s="4" t="s">
        <v>3652</v>
      </c>
      <c r="H87" s="4" t="s">
        <v>3653</v>
      </c>
      <c r="I87" s="6">
        <v>1010.5</v>
      </c>
      <c r="J87" s="6" t="s">
        <v>27</v>
      </c>
      <c r="K87" s="6">
        <f>I87/100*20</f>
        <v>202.10000000000002</v>
      </c>
      <c r="L87" s="25" t="s">
        <v>18</v>
      </c>
      <c r="M87" s="11" t="s">
        <v>353</v>
      </c>
      <c r="N87" s="11" t="s">
        <v>378</v>
      </c>
    </row>
    <row r="88" spans="1:14" ht="45">
      <c r="A88" s="50" t="s">
        <v>3755</v>
      </c>
      <c r="B88" s="11" t="s">
        <v>372</v>
      </c>
      <c r="C88" s="11" t="s">
        <v>373</v>
      </c>
      <c r="D88" s="11" t="s">
        <v>3756</v>
      </c>
      <c r="E88" s="4" t="s">
        <v>240</v>
      </c>
      <c r="F88" s="4" t="s">
        <v>375</v>
      </c>
      <c r="G88" s="4" t="s">
        <v>3757</v>
      </c>
      <c r="H88" s="4" t="s">
        <v>3758</v>
      </c>
      <c r="I88" s="6">
        <v>768.5</v>
      </c>
      <c r="J88" s="6" t="s">
        <v>3759</v>
      </c>
      <c r="K88" s="6">
        <f t="shared" ref="K88:K89" si="0">I88/100*20</f>
        <v>153.69999999999999</v>
      </c>
      <c r="L88" s="25" t="s">
        <v>18</v>
      </c>
      <c r="M88" s="11" t="s">
        <v>353</v>
      </c>
      <c r="N88" s="11" t="s">
        <v>378</v>
      </c>
    </row>
    <row r="89" spans="1:14" ht="56.25">
      <c r="A89" s="50" t="s">
        <v>3760</v>
      </c>
      <c r="B89" s="11" t="s">
        <v>372</v>
      </c>
      <c r="C89" s="11" t="s">
        <v>373</v>
      </c>
      <c r="D89" s="11" t="s">
        <v>3761</v>
      </c>
      <c r="E89" s="4" t="s">
        <v>240</v>
      </c>
      <c r="F89" s="4" t="s">
        <v>375</v>
      </c>
      <c r="G89" s="4" t="s">
        <v>3762</v>
      </c>
      <c r="H89" s="4" t="s">
        <v>3763</v>
      </c>
      <c r="I89" s="6">
        <v>768.5</v>
      </c>
      <c r="J89" s="6" t="s">
        <v>27</v>
      </c>
      <c r="K89" s="6">
        <f t="shared" si="0"/>
        <v>153.69999999999999</v>
      </c>
      <c r="L89" s="25" t="s">
        <v>18</v>
      </c>
      <c r="M89" s="11" t="s">
        <v>353</v>
      </c>
      <c r="N89" s="11" t="s">
        <v>378</v>
      </c>
    </row>
    <row r="90" spans="1:14" ht="157.5">
      <c r="A90" s="50" t="s">
        <v>402</v>
      </c>
      <c r="B90" s="11" t="s">
        <v>403</v>
      </c>
      <c r="C90" s="11" t="s">
        <v>404</v>
      </c>
      <c r="D90" s="11" t="s">
        <v>405</v>
      </c>
      <c r="E90" s="4" t="s">
        <v>406</v>
      </c>
      <c r="F90" s="4" t="s">
        <v>407</v>
      </c>
      <c r="G90" s="4" t="s">
        <v>3742</v>
      </c>
      <c r="H90" s="4" t="s">
        <v>3743</v>
      </c>
      <c r="I90" s="6">
        <v>994.2</v>
      </c>
      <c r="J90" s="6" t="s">
        <v>1223</v>
      </c>
      <c r="K90" s="6">
        <f>I90/10/2.5*10</f>
        <v>397.68</v>
      </c>
      <c r="L90" s="25" t="s">
        <v>18</v>
      </c>
      <c r="M90" s="11" t="s">
        <v>353</v>
      </c>
      <c r="N90" s="11" t="s">
        <v>148</v>
      </c>
    </row>
    <row r="91" spans="1:14" ht="157.5">
      <c r="A91" s="50">
        <v>1068026</v>
      </c>
      <c r="B91" s="11" t="s">
        <v>403</v>
      </c>
      <c r="C91" s="11" t="s">
        <v>404</v>
      </c>
      <c r="D91" s="11" t="s">
        <v>405</v>
      </c>
      <c r="E91" s="4" t="s">
        <v>406</v>
      </c>
      <c r="F91" s="4" t="s">
        <v>408</v>
      </c>
      <c r="G91" s="4" t="s">
        <v>3742</v>
      </c>
      <c r="H91" s="4" t="s">
        <v>3743</v>
      </c>
      <c r="I91" s="6">
        <v>5965.2</v>
      </c>
      <c r="J91" s="6" t="s">
        <v>1223</v>
      </c>
      <c r="K91" s="6">
        <f>I91/60/2.5*10</f>
        <v>397.68</v>
      </c>
      <c r="L91" s="25" t="s">
        <v>18</v>
      </c>
      <c r="M91" s="11" t="s">
        <v>353</v>
      </c>
      <c r="N91" s="11" t="s">
        <v>148</v>
      </c>
    </row>
    <row r="92" spans="1:14" ht="90">
      <c r="A92" s="50" t="s">
        <v>409</v>
      </c>
      <c r="B92" s="11" t="s">
        <v>410</v>
      </c>
      <c r="C92" s="11" t="s">
        <v>411</v>
      </c>
      <c r="D92" s="11" t="s">
        <v>412</v>
      </c>
      <c r="E92" s="4" t="s">
        <v>14</v>
      </c>
      <c r="F92" s="4" t="s">
        <v>413</v>
      </c>
      <c r="G92" s="55" t="s">
        <v>414</v>
      </c>
      <c r="H92" s="4" t="s">
        <v>129</v>
      </c>
      <c r="I92" s="6">
        <v>1055.0999999999999</v>
      </c>
      <c r="J92" s="31" t="s">
        <v>415</v>
      </c>
      <c r="K92" s="31">
        <f>I92/10/500*2000</f>
        <v>422.03999999999996</v>
      </c>
      <c r="L92" s="25" t="s">
        <v>18</v>
      </c>
      <c r="M92" s="11" t="s">
        <v>416</v>
      </c>
      <c r="N92" s="11"/>
    </row>
    <row r="93" spans="1:14" ht="22.5">
      <c r="A93" s="50" t="s">
        <v>417</v>
      </c>
      <c r="B93" s="11" t="s">
        <v>418</v>
      </c>
      <c r="C93" s="11" t="s">
        <v>419</v>
      </c>
      <c r="D93" s="11" t="s">
        <v>420</v>
      </c>
      <c r="E93" s="4" t="s">
        <v>71</v>
      </c>
      <c r="F93" s="4" t="s">
        <v>421</v>
      </c>
      <c r="G93" s="4" t="s">
        <v>422</v>
      </c>
      <c r="H93" s="4" t="s">
        <v>423</v>
      </c>
      <c r="I93" s="6">
        <v>697</v>
      </c>
      <c r="J93" s="6" t="s">
        <v>27</v>
      </c>
      <c r="K93" s="31">
        <f>I93/5/10*20</f>
        <v>278.8</v>
      </c>
      <c r="L93" s="25" t="s">
        <v>18</v>
      </c>
      <c r="M93" s="11"/>
      <c r="N93" s="11"/>
    </row>
    <row r="94" spans="1:14" ht="22.5">
      <c r="A94" s="50" t="s">
        <v>424</v>
      </c>
      <c r="B94" s="11" t="s">
        <v>418</v>
      </c>
      <c r="C94" s="11" t="s">
        <v>419</v>
      </c>
      <c r="D94" s="11" t="s">
        <v>420</v>
      </c>
      <c r="E94" s="4" t="s">
        <v>71</v>
      </c>
      <c r="F94" s="4" t="s">
        <v>425</v>
      </c>
      <c r="G94" s="4" t="s">
        <v>422</v>
      </c>
      <c r="H94" s="4" t="s">
        <v>423</v>
      </c>
      <c r="I94" s="6">
        <v>929.2</v>
      </c>
      <c r="J94" s="6" t="s">
        <v>27</v>
      </c>
      <c r="K94" s="31">
        <f>I94/5/2*20</f>
        <v>1858.4</v>
      </c>
      <c r="L94" s="25" t="s">
        <v>18</v>
      </c>
      <c r="M94" s="11"/>
      <c r="N94" s="11"/>
    </row>
    <row r="95" spans="1:14" ht="56.25">
      <c r="A95" s="50" t="s">
        <v>426</v>
      </c>
      <c r="B95" s="11" t="s">
        <v>427</v>
      </c>
      <c r="C95" s="11" t="s">
        <v>428</v>
      </c>
      <c r="D95" s="11" t="s">
        <v>429</v>
      </c>
      <c r="E95" s="4" t="s">
        <v>430</v>
      </c>
      <c r="F95" s="4" t="s">
        <v>431</v>
      </c>
      <c r="G95" s="4" t="s">
        <v>268</v>
      </c>
      <c r="H95" s="4" t="s">
        <v>34</v>
      </c>
      <c r="I95" s="6">
        <v>11123.9</v>
      </c>
      <c r="J95" s="6" t="s">
        <v>18</v>
      </c>
      <c r="K95" s="6" t="s">
        <v>18</v>
      </c>
      <c r="L95" s="25" t="s">
        <v>18</v>
      </c>
      <c r="M95" s="11"/>
      <c r="N95" s="11" t="s">
        <v>340</v>
      </c>
    </row>
    <row r="96" spans="1:14" ht="56.25">
      <c r="A96" s="50">
        <v>9067082</v>
      </c>
      <c r="B96" s="11" t="s">
        <v>427</v>
      </c>
      <c r="C96" s="11" t="s">
        <v>428</v>
      </c>
      <c r="D96" s="11" t="s">
        <v>432</v>
      </c>
      <c r="E96" s="4" t="s">
        <v>430</v>
      </c>
      <c r="F96" s="4" t="s">
        <v>433</v>
      </c>
      <c r="G96" s="4" t="s">
        <v>268</v>
      </c>
      <c r="H96" s="4" t="s">
        <v>34</v>
      </c>
      <c r="I96" s="6">
        <v>32630.400000000001</v>
      </c>
      <c r="J96" s="6" t="s">
        <v>18</v>
      </c>
      <c r="K96" s="6" t="s">
        <v>18</v>
      </c>
      <c r="L96" s="25" t="s">
        <v>18</v>
      </c>
      <c r="M96" s="11"/>
      <c r="N96" s="11" t="s">
        <v>340</v>
      </c>
    </row>
    <row r="97" spans="1:14" ht="67.5">
      <c r="A97" s="50" t="s">
        <v>434</v>
      </c>
      <c r="B97" s="11" t="s">
        <v>435</v>
      </c>
      <c r="C97" s="11" t="s">
        <v>436</v>
      </c>
      <c r="D97" s="11" t="s">
        <v>437</v>
      </c>
      <c r="E97" s="4" t="s">
        <v>345</v>
      </c>
      <c r="F97" s="4" t="s">
        <v>438</v>
      </c>
      <c r="G97" s="4" t="s">
        <v>439</v>
      </c>
      <c r="H97" s="4" t="s">
        <v>440</v>
      </c>
      <c r="I97" s="6">
        <v>14538.4</v>
      </c>
      <c r="J97" s="6" t="s">
        <v>441</v>
      </c>
      <c r="K97" s="6">
        <f>I97/5/50*500</f>
        <v>29076.799999999999</v>
      </c>
      <c r="L97" s="25" t="s">
        <v>18</v>
      </c>
      <c r="M97" s="11"/>
      <c r="N97" s="11"/>
    </row>
    <row r="98" spans="1:14" ht="67.5">
      <c r="A98" s="50" t="s">
        <v>442</v>
      </c>
      <c r="B98" s="11" t="s">
        <v>435</v>
      </c>
      <c r="C98" s="11" t="s">
        <v>443</v>
      </c>
      <c r="D98" s="11" t="s">
        <v>444</v>
      </c>
      <c r="E98" s="4" t="s">
        <v>345</v>
      </c>
      <c r="F98" s="4" t="s">
        <v>445</v>
      </c>
      <c r="G98" s="4" t="s">
        <v>446</v>
      </c>
      <c r="H98" s="4" t="s">
        <v>447</v>
      </c>
      <c r="I98" s="6">
        <v>25778.799999999999</v>
      </c>
      <c r="J98" s="6" t="s">
        <v>441</v>
      </c>
      <c r="K98" s="6">
        <f>I98/1/500*500</f>
        <v>25778.799999999999</v>
      </c>
      <c r="L98" s="25" t="s">
        <v>18</v>
      </c>
      <c r="M98" s="11"/>
      <c r="N98" s="11"/>
    </row>
    <row r="99" spans="1:14" ht="67.5">
      <c r="A99" s="50" t="s">
        <v>448</v>
      </c>
      <c r="B99" s="11" t="s">
        <v>435</v>
      </c>
      <c r="C99" s="11" t="s">
        <v>436</v>
      </c>
      <c r="D99" s="11" t="s">
        <v>449</v>
      </c>
      <c r="E99" s="4" t="s">
        <v>345</v>
      </c>
      <c r="F99" s="4" t="s">
        <v>450</v>
      </c>
      <c r="G99" s="4" t="s">
        <v>439</v>
      </c>
      <c r="H99" s="4" t="s">
        <v>440</v>
      </c>
      <c r="I99" s="6">
        <v>51557.5</v>
      </c>
      <c r="J99" s="6" t="s">
        <v>441</v>
      </c>
      <c r="K99" s="6">
        <f>I99/10/100*500</f>
        <v>25778.75</v>
      </c>
      <c r="L99" s="25" t="s">
        <v>18</v>
      </c>
      <c r="M99" s="11"/>
      <c r="N99" s="11"/>
    </row>
    <row r="100" spans="1:14" ht="45">
      <c r="A100" s="50" t="s">
        <v>451</v>
      </c>
      <c r="B100" s="11" t="s">
        <v>435</v>
      </c>
      <c r="C100" s="11" t="s">
        <v>452</v>
      </c>
      <c r="D100" s="11" t="s">
        <v>453</v>
      </c>
      <c r="E100" s="4" t="s">
        <v>266</v>
      </c>
      <c r="F100" s="4" t="s">
        <v>454</v>
      </c>
      <c r="G100" s="4" t="s">
        <v>268</v>
      </c>
      <c r="H100" s="4" t="s">
        <v>34</v>
      </c>
      <c r="I100" s="6">
        <v>14538.4</v>
      </c>
      <c r="J100" s="6" t="s">
        <v>441</v>
      </c>
      <c r="K100" s="6">
        <f>I100/1/250*500</f>
        <v>29076.799999999999</v>
      </c>
      <c r="L100" s="25" t="s">
        <v>18</v>
      </c>
      <c r="M100" s="11"/>
      <c r="N100" s="11"/>
    </row>
    <row r="101" spans="1:14" ht="45">
      <c r="A101" s="50" t="s">
        <v>455</v>
      </c>
      <c r="B101" s="11" t="s">
        <v>435</v>
      </c>
      <c r="C101" s="11" t="s">
        <v>452</v>
      </c>
      <c r="D101" s="11" t="s">
        <v>453</v>
      </c>
      <c r="E101" s="4" t="s">
        <v>266</v>
      </c>
      <c r="F101" s="4" t="s">
        <v>456</v>
      </c>
      <c r="G101" s="4" t="s">
        <v>268</v>
      </c>
      <c r="H101" s="4" t="s">
        <v>34</v>
      </c>
      <c r="I101" s="6">
        <v>25778.799999999999</v>
      </c>
      <c r="J101" s="6" t="s">
        <v>441</v>
      </c>
      <c r="K101" s="6">
        <f>I101/1/500*500</f>
        <v>25778.799999999999</v>
      </c>
      <c r="L101" s="25" t="s">
        <v>18</v>
      </c>
      <c r="M101" s="11"/>
      <c r="N101" s="11"/>
    </row>
    <row r="102" spans="1:14" ht="45">
      <c r="A102" s="50" t="s">
        <v>457</v>
      </c>
      <c r="B102" s="11" t="s">
        <v>435</v>
      </c>
      <c r="C102" s="11" t="s">
        <v>452</v>
      </c>
      <c r="D102" s="11" t="s">
        <v>453</v>
      </c>
      <c r="E102" s="4" t="s">
        <v>266</v>
      </c>
      <c r="F102" s="4" t="s">
        <v>458</v>
      </c>
      <c r="G102" s="4" t="s">
        <v>459</v>
      </c>
      <c r="H102" s="4" t="s">
        <v>34</v>
      </c>
      <c r="I102" s="6">
        <v>51557.5</v>
      </c>
      <c r="J102" s="6" t="s">
        <v>441</v>
      </c>
      <c r="K102" s="6">
        <f>I102/1/1000*500</f>
        <v>25778.75</v>
      </c>
      <c r="L102" s="25" t="s">
        <v>18</v>
      </c>
      <c r="M102" s="11"/>
      <c r="N102" s="11"/>
    </row>
    <row r="103" spans="1:14" ht="33.75">
      <c r="A103" s="50" t="s">
        <v>460</v>
      </c>
      <c r="B103" s="11" t="s">
        <v>435</v>
      </c>
      <c r="C103" s="11" t="s">
        <v>443</v>
      </c>
      <c r="D103" s="11" t="s">
        <v>461</v>
      </c>
      <c r="E103" s="4" t="s">
        <v>345</v>
      </c>
      <c r="F103" s="4" t="s">
        <v>462</v>
      </c>
      <c r="G103" s="4" t="s">
        <v>463</v>
      </c>
      <c r="H103" s="4" t="s">
        <v>34</v>
      </c>
      <c r="I103" s="6">
        <v>14538.4</v>
      </c>
      <c r="J103" s="6" t="s">
        <v>441</v>
      </c>
      <c r="K103" s="6">
        <f>I103/1/250*500</f>
        <v>29076.799999999999</v>
      </c>
      <c r="L103" s="25" t="s">
        <v>18</v>
      </c>
      <c r="M103" s="11"/>
      <c r="N103" s="11"/>
    </row>
    <row r="104" spans="1:14" ht="33.75">
      <c r="A104" s="50" t="s">
        <v>464</v>
      </c>
      <c r="B104" s="11" t="s">
        <v>435</v>
      </c>
      <c r="C104" s="11" t="s">
        <v>443</v>
      </c>
      <c r="D104" s="11" t="s">
        <v>461</v>
      </c>
      <c r="E104" s="4" t="s">
        <v>345</v>
      </c>
      <c r="F104" s="4" t="s">
        <v>465</v>
      </c>
      <c r="G104" s="4" t="s">
        <v>463</v>
      </c>
      <c r="H104" s="4" t="s">
        <v>34</v>
      </c>
      <c r="I104" s="6">
        <v>25778.799999999999</v>
      </c>
      <c r="J104" s="6" t="s">
        <v>441</v>
      </c>
      <c r="K104" s="6">
        <f>I104/1/500*500</f>
        <v>25778.799999999999</v>
      </c>
      <c r="L104" s="25" t="s">
        <v>18</v>
      </c>
      <c r="M104" s="11"/>
      <c r="N104" s="11"/>
    </row>
    <row r="105" spans="1:14" ht="33.75">
      <c r="A105" s="50" t="s">
        <v>466</v>
      </c>
      <c r="B105" s="11" t="s">
        <v>435</v>
      </c>
      <c r="C105" s="11" t="s">
        <v>443</v>
      </c>
      <c r="D105" s="11" t="s">
        <v>461</v>
      </c>
      <c r="E105" s="4" t="s">
        <v>345</v>
      </c>
      <c r="F105" s="4" t="s">
        <v>467</v>
      </c>
      <c r="G105" s="4" t="s">
        <v>463</v>
      </c>
      <c r="H105" s="4" t="s">
        <v>34</v>
      </c>
      <c r="I105" s="6">
        <v>51557.5</v>
      </c>
      <c r="J105" s="6" t="s">
        <v>441</v>
      </c>
      <c r="K105" s="6">
        <f>I105/1/1000*500</f>
        <v>25778.75</v>
      </c>
      <c r="L105" s="25" t="s">
        <v>18</v>
      </c>
      <c r="M105" s="11"/>
      <c r="N105" s="11"/>
    </row>
    <row r="106" spans="1:14" ht="45">
      <c r="A106" s="53" t="s">
        <v>468</v>
      </c>
      <c r="B106" s="54" t="s">
        <v>435</v>
      </c>
      <c r="C106" s="54" t="s">
        <v>436</v>
      </c>
      <c r="D106" s="54" t="s">
        <v>3525</v>
      </c>
      <c r="E106" s="55" t="s">
        <v>256</v>
      </c>
      <c r="F106" s="55" t="s">
        <v>469</v>
      </c>
      <c r="G106" s="55" t="s">
        <v>470</v>
      </c>
      <c r="H106" s="55" t="s">
        <v>471</v>
      </c>
      <c r="I106" s="6">
        <v>25778.799999999999</v>
      </c>
      <c r="J106" s="4" t="s">
        <v>472</v>
      </c>
      <c r="K106" s="6">
        <f>I106/500*500</f>
        <v>25778.799999999999</v>
      </c>
      <c r="L106" s="57" t="s">
        <v>18</v>
      </c>
      <c r="M106" s="54"/>
      <c r="N106" s="54"/>
    </row>
    <row r="107" spans="1:14" ht="45">
      <c r="A107" s="53" t="s">
        <v>473</v>
      </c>
      <c r="B107" s="54" t="s">
        <v>435</v>
      </c>
      <c r="C107" s="54" t="s">
        <v>436</v>
      </c>
      <c r="D107" s="54" t="s">
        <v>3525</v>
      </c>
      <c r="E107" s="55" t="s">
        <v>256</v>
      </c>
      <c r="F107" s="55" t="s">
        <v>474</v>
      </c>
      <c r="G107" s="55" t="s">
        <v>470</v>
      </c>
      <c r="H107" s="55" t="s">
        <v>471</v>
      </c>
      <c r="I107" s="6">
        <v>51557.5</v>
      </c>
      <c r="J107" s="4" t="s">
        <v>475</v>
      </c>
      <c r="K107" s="6">
        <f>I107/1000*500</f>
        <v>25778.75</v>
      </c>
      <c r="L107" s="57" t="s">
        <v>18</v>
      </c>
      <c r="M107" s="54"/>
      <c r="N107" s="54"/>
    </row>
    <row r="108" spans="1:14" s="52" customFormat="1" ht="45">
      <c r="A108" s="50" t="s">
        <v>478</v>
      </c>
      <c r="B108" s="11" t="s">
        <v>435</v>
      </c>
      <c r="C108" s="11" t="s">
        <v>476</v>
      </c>
      <c r="D108" s="11" t="s">
        <v>479</v>
      </c>
      <c r="E108" s="4" t="s">
        <v>345</v>
      </c>
      <c r="F108" s="4" t="s">
        <v>480</v>
      </c>
      <c r="G108" s="4" t="s">
        <v>477</v>
      </c>
      <c r="H108" s="4" t="s">
        <v>284</v>
      </c>
      <c r="I108" s="6">
        <v>11818</v>
      </c>
      <c r="J108" s="6" t="s">
        <v>441</v>
      </c>
      <c r="K108" s="6">
        <f>I108/250/1*500</f>
        <v>23636</v>
      </c>
      <c r="L108" s="25" t="s">
        <v>18</v>
      </c>
      <c r="M108" s="11"/>
      <c r="N108" s="73"/>
    </row>
    <row r="109" spans="1:14" s="52" customFormat="1" ht="45">
      <c r="A109" s="50" t="s">
        <v>481</v>
      </c>
      <c r="B109" s="11" t="s">
        <v>435</v>
      </c>
      <c r="C109" s="11" t="s">
        <v>476</v>
      </c>
      <c r="D109" s="11" t="s">
        <v>479</v>
      </c>
      <c r="E109" s="4" t="s">
        <v>345</v>
      </c>
      <c r="F109" s="4" t="s">
        <v>482</v>
      </c>
      <c r="G109" s="4" t="s">
        <v>477</v>
      </c>
      <c r="H109" s="4" t="s">
        <v>284</v>
      </c>
      <c r="I109" s="6">
        <v>25216.799999999999</v>
      </c>
      <c r="J109" s="6" t="s">
        <v>441</v>
      </c>
      <c r="K109" s="6">
        <f>I109/1/500*500</f>
        <v>25216.799999999999</v>
      </c>
      <c r="L109" s="25" t="s">
        <v>18</v>
      </c>
      <c r="M109" s="11"/>
      <c r="N109" s="73"/>
    </row>
    <row r="110" spans="1:14" s="52" customFormat="1" ht="45">
      <c r="A110" s="50" t="s">
        <v>483</v>
      </c>
      <c r="B110" s="11" t="s">
        <v>435</v>
      </c>
      <c r="C110" s="11" t="s">
        <v>476</v>
      </c>
      <c r="D110" s="11" t="s">
        <v>479</v>
      </c>
      <c r="E110" s="4" t="s">
        <v>345</v>
      </c>
      <c r="F110" s="4" t="s">
        <v>484</v>
      </c>
      <c r="G110" s="4" t="s">
        <v>477</v>
      </c>
      <c r="H110" s="4" t="s">
        <v>284</v>
      </c>
      <c r="I110" s="6">
        <v>46591.1</v>
      </c>
      <c r="J110" s="6" t="s">
        <v>472</v>
      </c>
      <c r="K110" s="6">
        <f>I110/1/1000*500</f>
        <v>23295.55</v>
      </c>
      <c r="L110" s="25" t="s">
        <v>18</v>
      </c>
      <c r="M110" s="11"/>
      <c r="N110" s="73"/>
    </row>
    <row r="111" spans="1:14" ht="45">
      <c r="A111" s="50" t="s">
        <v>485</v>
      </c>
      <c r="B111" s="11" t="s">
        <v>435</v>
      </c>
      <c r="C111" s="11" t="s">
        <v>486</v>
      </c>
      <c r="D111" s="11" t="s">
        <v>487</v>
      </c>
      <c r="E111" s="4" t="s">
        <v>345</v>
      </c>
      <c r="F111" s="4" t="s">
        <v>488</v>
      </c>
      <c r="G111" s="4" t="s">
        <v>489</v>
      </c>
      <c r="H111" s="4" t="s">
        <v>45</v>
      </c>
      <c r="I111" s="6">
        <v>11818</v>
      </c>
      <c r="J111" s="6" t="s">
        <v>441</v>
      </c>
      <c r="K111" s="6">
        <f>I111/250/1*500</f>
        <v>23636</v>
      </c>
      <c r="L111" s="25" t="s">
        <v>18</v>
      </c>
      <c r="M111" s="11"/>
      <c r="N111" s="11"/>
    </row>
    <row r="112" spans="1:14" ht="45">
      <c r="A112" s="50" t="s">
        <v>490</v>
      </c>
      <c r="B112" s="11" t="s">
        <v>435</v>
      </c>
      <c r="C112" s="11" t="s">
        <v>486</v>
      </c>
      <c r="D112" s="11" t="s">
        <v>487</v>
      </c>
      <c r="E112" s="4" t="s">
        <v>345</v>
      </c>
      <c r="F112" s="4" t="s">
        <v>491</v>
      </c>
      <c r="G112" s="4" t="s">
        <v>489</v>
      </c>
      <c r="H112" s="4" t="s">
        <v>45</v>
      </c>
      <c r="I112" s="6">
        <v>25216.799999999999</v>
      </c>
      <c r="J112" s="6" t="s">
        <v>441</v>
      </c>
      <c r="K112" s="6">
        <f>I112/500*500</f>
        <v>25216.799999999999</v>
      </c>
      <c r="L112" s="25" t="s">
        <v>18</v>
      </c>
      <c r="M112" s="11"/>
      <c r="N112" s="11"/>
    </row>
    <row r="113" spans="1:14" ht="56.25">
      <c r="A113" s="50" t="s">
        <v>492</v>
      </c>
      <c r="B113" s="11" t="s">
        <v>435</v>
      </c>
      <c r="C113" s="11" t="s">
        <v>486</v>
      </c>
      <c r="D113" s="11" t="s">
        <v>487</v>
      </c>
      <c r="E113" s="4" t="s">
        <v>345</v>
      </c>
      <c r="F113" s="4" t="s">
        <v>493</v>
      </c>
      <c r="G113" s="4" t="s">
        <v>489</v>
      </c>
      <c r="H113" s="4" t="s">
        <v>45</v>
      </c>
      <c r="I113" s="6">
        <v>46591.1</v>
      </c>
      <c r="J113" s="6" t="s">
        <v>441</v>
      </c>
      <c r="K113" s="6">
        <f>I113/1000*500</f>
        <v>23295.55</v>
      </c>
      <c r="L113" s="25" t="s">
        <v>18</v>
      </c>
      <c r="M113" s="11"/>
      <c r="N113" s="11"/>
    </row>
    <row r="114" spans="1:14" ht="56.25">
      <c r="A114" s="50" t="s">
        <v>494</v>
      </c>
      <c r="B114" s="11" t="s">
        <v>435</v>
      </c>
      <c r="C114" s="11" t="s">
        <v>486</v>
      </c>
      <c r="D114" s="11" t="s">
        <v>487</v>
      </c>
      <c r="E114" s="4" t="s">
        <v>345</v>
      </c>
      <c r="F114" s="55" t="s">
        <v>495</v>
      </c>
      <c r="G114" s="4" t="s">
        <v>489</v>
      </c>
      <c r="H114" s="4" t="s">
        <v>45</v>
      </c>
      <c r="I114" s="6">
        <v>106161.9</v>
      </c>
      <c r="J114" s="6" t="s">
        <v>441</v>
      </c>
      <c r="K114" s="6">
        <f>I114/2000/1*500</f>
        <v>26540.474999999999</v>
      </c>
      <c r="L114" s="25" t="s">
        <v>18</v>
      </c>
      <c r="M114" s="11"/>
      <c r="N114" s="11"/>
    </row>
    <row r="115" spans="1:14" ht="56.25">
      <c r="A115" s="11" t="s">
        <v>496</v>
      </c>
      <c r="B115" s="11" t="s">
        <v>435</v>
      </c>
      <c r="C115" s="11" t="s">
        <v>497</v>
      </c>
      <c r="D115" s="11" t="s">
        <v>498</v>
      </c>
      <c r="E115" s="4" t="s">
        <v>345</v>
      </c>
      <c r="F115" s="4" t="s">
        <v>499</v>
      </c>
      <c r="G115" s="4" t="s">
        <v>272</v>
      </c>
      <c r="H115" s="4" t="s">
        <v>273</v>
      </c>
      <c r="I115" s="6">
        <v>11818</v>
      </c>
      <c r="J115" s="4" t="s">
        <v>441</v>
      </c>
      <c r="K115" s="6">
        <f>I115/250/1*500</f>
        <v>23636</v>
      </c>
      <c r="L115" s="25" t="s">
        <v>18</v>
      </c>
      <c r="M115" s="11"/>
      <c r="N115" s="11"/>
    </row>
    <row r="116" spans="1:14" ht="56.25">
      <c r="A116" s="50" t="s">
        <v>500</v>
      </c>
      <c r="B116" s="11" t="s">
        <v>435</v>
      </c>
      <c r="C116" s="11" t="s">
        <v>497</v>
      </c>
      <c r="D116" s="11" t="s">
        <v>498</v>
      </c>
      <c r="E116" s="4" t="s">
        <v>345</v>
      </c>
      <c r="F116" s="4" t="s">
        <v>501</v>
      </c>
      <c r="G116" s="4" t="s">
        <v>272</v>
      </c>
      <c r="H116" s="4" t="s">
        <v>273</v>
      </c>
      <c r="I116" s="6">
        <v>25216.799999999999</v>
      </c>
      <c r="J116" s="4" t="s">
        <v>441</v>
      </c>
      <c r="K116" s="6">
        <f>I116/500*500</f>
        <v>25216.799999999999</v>
      </c>
      <c r="L116" s="25" t="s">
        <v>18</v>
      </c>
      <c r="M116" s="11"/>
      <c r="N116" s="11"/>
    </row>
    <row r="117" spans="1:14" ht="56.25">
      <c r="A117" s="50" t="s">
        <v>502</v>
      </c>
      <c r="B117" s="11" t="s">
        <v>435</v>
      </c>
      <c r="C117" s="11" t="s">
        <v>497</v>
      </c>
      <c r="D117" s="11" t="s">
        <v>498</v>
      </c>
      <c r="E117" s="4" t="s">
        <v>345</v>
      </c>
      <c r="F117" s="4" t="s">
        <v>503</v>
      </c>
      <c r="G117" s="4" t="s">
        <v>272</v>
      </c>
      <c r="H117" s="4" t="s">
        <v>273</v>
      </c>
      <c r="I117" s="6">
        <v>46591.1</v>
      </c>
      <c r="J117" s="4" t="s">
        <v>441</v>
      </c>
      <c r="K117" s="6">
        <f>I117/1000*500</f>
        <v>23295.55</v>
      </c>
      <c r="L117" s="25" t="s">
        <v>18</v>
      </c>
      <c r="M117" s="11"/>
      <c r="N117" s="11"/>
    </row>
    <row r="118" spans="1:14" ht="56.25">
      <c r="A118" s="53" t="s">
        <v>504</v>
      </c>
      <c r="B118" s="54" t="s">
        <v>435</v>
      </c>
      <c r="C118" s="54" t="s">
        <v>497</v>
      </c>
      <c r="D118" s="54" t="s">
        <v>498</v>
      </c>
      <c r="E118" s="55" t="s">
        <v>345</v>
      </c>
      <c r="F118" s="55" t="s">
        <v>505</v>
      </c>
      <c r="G118" s="55" t="s">
        <v>272</v>
      </c>
      <c r="H118" s="55" t="s">
        <v>273</v>
      </c>
      <c r="I118" s="6">
        <v>106161.9</v>
      </c>
      <c r="J118" s="4" t="s">
        <v>441</v>
      </c>
      <c r="K118" s="6">
        <f>I118/2000/1*500</f>
        <v>26540.474999999999</v>
      </c>
      <c r="L118" s="57" t="s">
        <v>18</v>
      </c>
      <c r="M118" s="54"/>
      <c r="N118" s="54"/>
    </row>
    <row r="119" spans="1:14" ht="45">
      <c r="A119" s="53" t="s">
        <v>506</v>
      </c>
      <c r="B119" s="54" t="s">
        <v>435</v>
      </c>
      <c r="C119" s="54" t="s">
        <v>507</v>
      </c>
      <c r="D119" s="54" t="s">
        <v>508</v>
      </c>
      <c r="E119" s="55" t="s">
        <v>345</v>
      </c>
      <c r="F119" s="55" t="s">
        <v>509</v>
      </c>
      <c r="G119" s="55" t="s">
        <v>510</v>
      </c>
      <c r="H119" s="55" t="s">
        <v>511</v>
      </c>
      <c r="I119" s="6">
        <v>11818</v>
      </c>
      <c r="J119" s="4" t="s">
        <v>441</v>
      </c>
      <c r="K119" s="6">
        <f>I119/250*500</f>
        <v>23636</v>
      </c>
      <c r="L119" s="57" t="s">
        <v>18</v>
      </c>
      <c r="M119" s="54"/>
      <c r="N119" s="54"/>
    </row>
    <row r="120" spans="1:14" ht="45">
      <c r="A120" s="53" t="s">
        <v>512</v>
      </c>
      <c r="B120" s="54" t="s">
        <v>435</v>
      </c>
      <c r="C120" s="54" t="s">
        <v>507</v>
      </c>
      <c r="D120" s="54" t="s">
        <v>508</v>
      </c>
      <c r="E120" s="55" t="s">
        <v>345</v>
      </c>
      <c r="F120" s="55" t="s">
        <v>513</v>
      </c>
      <c r="G120" s="55" t="s">
        <v>510</v>
      </c>
      <c r="H120" s="55" t="s">
        <v>511</v>
      </c>
      <c r="I120" s="6">
        <v>25216.799999999999</v>
      </c>
      <c r="J120" s="4" t="s">
        <v>441</v>
      </c>
      <c r="K120" s="6">
        <f>I120/500*500</f>
        <v>25216.799999999999</v>
      </c>
      <c r="L120" s="57" t="s">
        <v>18</v>
      </c>
      <c r="M120" s="54"/>
      <c r="N120" s="54"/>
    </row>
    <row r="121" spans="1:14" ht="45">
      <c r="A121" s="53" t="s">
        <v>514</v>
      </c>
      <c r="B121" s="54" t="s">
        <v>435</v>
      </c>
      <c r="C121" s="54" t="s">
        <v>507</v>
      </c>
      <c r="D121" s="54" t="s">
        <v>508</v>
      </c>
      <c r="E121" s="55" t="s">
        <v>345</v>
      </c>
      <c r="F121" s="55" t="s">
        <v>515</v>
      </c>
      <c r="G121" s="55" t="s">
        <v>510</v>
      </c>
      <c r="H121" s="55" t="s">
        <v>511</v>
      </c>
      <c r="I121" s="6">
        <v>46591.1</v>
      </c>
      <c r="J121" s="4" t="s">
        <v>441</v>
      </c>
      <c r="K121" s="6">
        <f>I121/1000*500</f>
        <v>23295.55</v>
      </c>
      <c r="L121" s="57" t="s">
        <v>18</v>
      </c>
      <c r="M121" s="54"/>
      <c r="N121" s="54"/>
    </row>
    <row r="122" spans="1:14" ht="45">
      <c r="A122" s="74" t="s">
        <v>516</v>
      </c>
      <c r="B122" s="74" t="s">
        <v>435</v>
      </c>
      <c r="C122" s="75" t="s">
        <v>517</v>
      </c>
      <c r="D122" s="74" t="s">
        <v>518</v>
      </c>
      <c r="E122" s="76" t="s">
        <v>345</v>
      </c>
      <c r="F122" s="76" t="s">
        <v>519</v>
      </c>
      <c r="G122" s="76" t="s">
        <v>510</v>
      </c>
      <c r="H122" s="76" t="s">
        <v>511</v>
      </c>
      <c r="I122" s="5">
        <v>27065.9</v>
      </c>
      <c r="J122" s="25" t="s">
        <v>18</v>
      </c>
      <c r="K122" s="25" t="s">
        <v>18</v>
      </c>
      <c r="L122" s="7" t="s">
        <v>18</v>
      </c>
      <c r="M122" s="77"/>
      <c r="N122" s="11"/>
    </row>
    <row r="123" spans="1:14" ht="56.25">
      <c r="A123" s="78" t="s">
        <v>520</v>
      </c>
      <c r="B123" s="74" t="s">
        <v>435</v>
      </c>
      <c r="C123" s="75" t="s">
        <v>517</v>
      </c>
      <c r="D123" s="74" t="s">
        <v>518</v>
      </c>
      <c r="E123" s="76" t="s">
        <v>345</v>
      </c>
      <c r="F123" s="76" t="s">
        <v>521</v>
      </c>
      <c r="G123" s="76" t="s">
        <v>510</v>
      </c>
      <c r="H123" s="76" t="s">
        <v>511</v>
      </c>
      <c r="I123" s="5">
        <v>54132.9</v>
      </c>
      <c r="J123" s="25" t="s">
        <v>18</v>
      </c>
      <c r="K123" s="25" t="s">
        <v>18</v>
      </c>
      <c r="L123" s="7" t="s">
        <v>18</v>
      </c>
      <c r="M123" s="77"/>
      <c r="N123" s="11"/>
    </row>
    <row r="124" spans="1:14" ht="56.25">
      <c r="A124" s="74" t="s">
        <v>522</v>
      </c>
      <c r="B124" s="74" t="s">
        <v>435</v>
      </c>
      <c r="C124" s="75" t="s">
        <v>517</v>
      </c>
      <c r="D124" s="74" t="s">
        <v>518</v>
      </c>
      <c r="E124" s="76" t="s">
        <v>345</v>
      </c>
      <c r="F124" s="76" t="s">
        <v>523</v>
      </c>
      <c r="G124" s="76" t="s">
        <v>510</v>
      </c>
      <c r="H124" s="76" t="s">
        <v>511</v>
      </c>
      <c r="I124" s="5">
        <v>108265.7</v>
      </c>
      <c r="J124" s="25" t="s">
        <v>18</v>
      </c>
      <c r="K124" s="25" t="s">
        <v>18</v>
      </c>
      <c r="L124" s="7" t="s">
        <v>18</v>
      </c>
      <c r="M124" s="77"/>
      <c r="N124" s="11"/>
    </row>
    <row r="125" spans="1:14" ht="45">
      <c r="A125" s="11" t="s">
        <v>3744</v>
      </c>
      <c r="B125" s="11" t="s">
        <v>524</v>
      </c>
      <c r="C125" s="11" t="s">
        <v>525</v>
      </c>
      <c r="D125" s="11" t="s">
        <v>526</v>
      </c>
      <c r="E125" s="4" t="s">
        <v>256</v>
      </c>
      <c r="F125" s="4" t="s">
        <v>3745</v>
      </c>
      <c r="G125" s="4" t="s">
        <v>258</v>
      </c>
      <c r="H125" s="4" t="s">
        <v>133</v>
      </c>
      <c r="I125" s="6">
        <v>49503.4</v>
      </c>
      <c r="J125" s="6" t="s">
        <v>18</v>
      </c>
      <c r="K125" s="6" t="s">
        <v>18</v>
      </c>
      <c r="L125" s="25" t="s">
        <v>18</v>
      </c>
      <c r="M125" s="11" t="s">
        <v>527</v>
      </c>
      <c r="N125" s="11"/>
    </row>
    <row r="126" spans="1:14" ht="45">
      <c r="A126" s="50" t="s">
        <v>528</v>
      </c>
      <c r="B126" s="11" t="s">
        <v>529</v>
      </c>
      <c r="C126" s="11" t="s">
        <v>530</v>
      </c>
      <c r="D126" s="11" t="s">
        <v>531</v>
      </c>
      <c r="E126" s="4" t="s">
        <v>532</v>
      </c>
      <c r="F126" s="4" t="s">
        <v>456</v>
      </c>
      <c r="G126" s="4" t="s">
        <v>533</v>
      </c>
      <c r="H126" s="4" t="s">
        <v>133</v>
      </c>
      <c r="I126" s="6">
        <v>24091.7</v>
      </c>
      <c r="J126" s="6" t="s">
        <v>534</v>
      </c>
      <c r="K126" s="6">
        <f>I126/1/500*350</f>
        <v>16864.189999999999</v>
      </c>
      <c r="L126" s="25" t="s">
        <v>18</v>
      </c>
      <c r="M126" s="11"/>
      <c r="N126" s="11"/>
    </row>
    <row r="127" spans="1:14" ht="45">
      <c r="A127" s="50" t="s">
        <v>535</v>
      </c>
      <c r="B127" s="11" t="s">
        <v>529</v>
      </c>
      <c r="C127" s="54" t="s">
        <v>530</v>
      </c>
      <c r="D127" s="11" t="s">
        <v>536</v>
      </c>
      <c r="E127" s="4" t="s">
        <v>266</v>
      </c>
      <c r="F127" s="4" t="s">
        <v>537</v>
      </c>
      <c r="G127" s="4" t="s">
        <v>538</v>
      </c>
      <c r="H127" s="4" t="s">
        <v>539</v>
      </c>
      <c r="I127" s="6">
        <v>27463.8</v>
      </c>
      <c r="J127" s="6" t="s">
        <v>534</v>
      </c>
      <c r="K127" s="6">
        <f>I127/1/600*350</f>
        <v>16020.55</v>
      </c>
      <c r="L127" s="25" t="s">
        <v>18</v>
      </c>
      <c r="M127" s="11"/>
      <c r="N127" s="11"/>
    </row>
    <row r="128" spans="1:14" ht="45">
      <c r="A128" s="50" t="s">
        <v>540</v>
      </c>
      <c r="B128" s="11" t="s">
        <v>529</v>
      </c>
      <c r="C128" s="11" t="s">
        <v>530</v>
      </c>
      <c r="D128" s="11" t="s">
        <v>541</v>
      </c>
      <c r="E128" s="4" t="s">
        <v>345</v>
      </c>
      <c r="F128" s="4" t="s">
        <v>542</v>
      </c>
      <c r="G128" s="4" t="s">
        <v>463</v>
      </c>
      <c r="H128" s="4" t="s">
        <v>34</v>
      </c>
      <c r="I128" s="6">
        <v>24091.7</v>
      </c>
      <c r="J128" s="6" t="s">
        <v>534</v>
      </c>
      <c r="K128" s="6">
        <f>I128/500*350</f>
        <v>16864.189999999999</v>
      </c>
      <c r="L128" s="25" t="s">
        <v>18</v>
      </c>
      <c r="M128" s="11"/>
      <c r="N128" s="11"/>
    </row>
    <row r="129" spans="1:14" ht="45">
      <c r="A129" s="50" t="s">
        <v>543</v>
      </c>
      <c r="B129" s="11" t="s">
        <v>529</v>
      </c>
      <c r="C129" s="11" t="s">
        <v>530</v>
      </c>
      <c r="D129" s="11" t="s">
        <v>544</v>
      </c>
      <c r="E129" s="4" t="s">
        <v>345</v>
      </c>
      <c r="F129" s="4" t="s">
        <v>450</v>
      </c>
      <c r="G129" s="4" t="s">
        <v>463</v>
      </c>
      <c r="H129" s="4" t="s">
        <v>34</v>
      </c>
      <c r="I129" s="6">
        <v>48183.5</v>
      </c>
      <c r="J129" s="6" t="s">
        <v>534</v>
      </c>
      <c r="K129" s="6">
        <f>I129/100/10*350</f>
        <v>16864.224999999999</v>
      </c>
      <c r="L129" s="25" t="s">
        <v>18</v>
      </c>
      <c r="M129" s="11"/>
      <c r="N129" s="11"/>
    </row>
    <row r="130" spans="1:14" ht="45">
      <c r="A130" s="50" t="s">
        <v>545</v>
      </c>
      <c r="B130" s="11" t="s">
        <v>529</v>
      </c>
      <c r="C130" s="11" t="s">
        <v>546</v>
      </c>
      <c r="D130" s="11" t="s">
        <v>547</v>
      </c>
      <c r="E130" s="4" t="s">
        <v>256</v>
      </c>
      <c r="F130" s="4" t="s">
        <v>469</v>
      </c>
      <c r="G130" s="4" t="s">
        <v>470</v>
      </c>
      <c r="H130" s="4" t="s">
        <v>471</v>
      </c>
      <c r="I130" s="6">
        <v>24091.7</v>
      </c>
      <c r="J130" s="6" t="s">
        <v>548</v>
      </c>
      <c r="K130" s="6">
        <f>I130/500*350</f>
        <v>16864.189999999999</v>
      </c>
      <c r="L130" s="25" t="s">
        <v>18</v>
      </c>
      <c r="M130" s="11"/>
      <c r="N130" s="11"/>
    </row>
    <row r="131" spans="1:14" ht="45">
      <c r="A131" s="50" t="s">
        <v>549</v>
      </c>
      <c r="B131" s="11" t="s">
        <v>529</v>
      </c>
      <c r="C131" s="11" t="s">
        <v>550</v>
      </c>
      <c r="D131" s="11" t="s">
        <v>551</v>
      </c>
      <c r="E131" s="4" t="s">
        <v>345</v>
      </c>
      <c r="F131" s="4" t="s">
        <v>552</v>
      </c>
      <c r="G131" s="4" t="s">
        <v>489</v>
      </c>
      <c r="H131" s="4" t="s">
        <v>45</v>
      </c>
      <c r="I131" s="6">
        <v>12122.9</v>
      </c>
      <c r="J131" s="6" t="s">
        <v>548</v>
      </c>
      <c r="K131" s="6">
        <f>+I131/250*350</f>
        <v>16972.059999999998</v>
      </c>
      <c r="L131" s="25" t="s">
        <v>18</v>
      </c>
      <c r="M131" s="11"/>
      <c r="N131" s="11"/>
    </row>
    <row r="132" spans="1:14" ht="45">
      <c r="A132" s="50" t="s">
        <v>553</v>
      </c>
      <c r="B132" s="11" t="s">
        <v>529</v>
      </c>
      <c r="C132" s="11" t="s">
        <v>550</v>
      </c>
      <c r="D132" s="11" t="s">
        <v>551</v>
      </c>
      <c r="E132" s="4" t="s">
        <v>345</v>
      </c>
      <c r="F132" s="4" t="s">
        <v>554</v>
      </c>
      <c r="G132" s="4" t="s">
        <v>489</v>
      </c>
      <c r="H132" s="4" t="s">
        <v>45</v>
      </c>
      <c r="I132" s="6">
        <v>24245.9</v>
      </c>
      <c r="J132" s="6" t="s">
        <v>548</v>
      </c>
      <c r="K132" s="6">
        <f>+I132/500*350</f>
        <v>16972.13</v>
      </c>
      <c r="L132" s="25" t="s">
        <v>18</v>
      </c>
      <c r="M132" s="11"/>
      <c r="N132" s="11"/>
    </row>
    <row r="133" spans="1:14" ht="45">
      <c r="A133" s="50" t="s">
        <v>555</v>
      </c>
      <c r="B133" s="11" t="s">
        <v>529</v>
      </c>
      <c r="C133" s="11" t="s">
        <v>550</v>
      </c>
      <c r="D133" s="11" t="s">
        <v>551</v>
      </c>
      <c r="E133" s="4" t="s">
        <v>345</v>
      </c>
      <c r="F133" s="4" t="s">
        <v>556</v>
      </c>
      <c r="G133" s="4" t="s">
        <v>489</v>
      </c>
      <c r="H133" s="4" t="s">
        <v>45</v>
      </c>
      <c r="I133" s="6">
        <v>48491.8</v>
      </c>
      <c r="J133" s="6" t="s">
        <v>548</v>
      </c>
      <c r="K133" s="6">
        <f>+I133/1000*350</f>
        <v>16972.13</v>
      </c>
      <c r="L133" s="25" t="s">
        <v>18</v>
      </c>
      <c r="M133" s="11"/>
      <c r="N133" s="11"/>
    </row>
    <row r="134" spans="1:14" ht="45">
      <c r="A134" s="50" t="s">
        <v>557</v>
      </c>
      <c r="B134" s="11" t="s">
        <v>529</v>
      </c>
      <c r="C134" s="11" t="s">
        <v>550</v>
      </c>
      <c r="D134" s="11" t="s">
        <v>551</v>
      </c>
      <c r="E134" s="4" t="s">
        <v>345</v>
      </c>
      <c r="F134" s="4" t="s">
        <v>558</v>
      </c>
      <c r="G134" s="4" t="s">
        <v>489</v>
      </c>
      <c r="H134" s="4" t="s">
        <v>45</v>
      </c>
      <c r="I134" s="6">
        <v>96983.7</v>
      </c>
      <c r="J134" s="6" t="s">
        <v>548</v>
      </c>
      <c r="K134" s="6">
        <f>+I134/2000*350</f>
        <v>16972.147499999999</v>
      </c>
      <c r="L134" s="25" t="s">
        <v>18</v>
      </c>
      <c r="M134" s="11"/>
      <c r="N134" s="11"/>
    </row>
    <row r="135" spans="1:14" ht="45">
      <c r="A135" s="11" t="s">
        <v>559</v>
      </c>
      <c r="B135" s="11" t="s">
        <v>529</v>
      </c>
      <c r="C135" s="11" t="s">
        <v>560</v>
      </c>
      <c r="D135" s="11" t="s">
        <v>561</v>
      </c>
      <c r="E135" s="4" t="s">
        <v>345</v>
      </c>
      <c r="F135" s="4" t="s">
        <v>519</v>
      </c>
      <c r="G135" s="4" t="s">
        <v>510</v>
      </c>
      <c r="H135" s="4" t="s">
        <v>511</v>
      </c>
      <c r="I135" s="6">
        <v>48491.7</v>
      </c>
      <c r="J135" s="26" t="s">
        <v>18</v>
      </c>
      <c r="K135" s="26" t="s">
        <v>18</v>
      </c>
      <c r="L135" s="26" t="s">
        <v>18</v>
      </c>
      <c r="M135" s="13"/>
      <c r="N135" s="13"/>
    </row>
    <row r="136" spans="1:14" ht="56.25">
      <c r="A136" s="11" t="s">
        <v>562</v>
      </c>
      <c r="B136" s="11" t="s">
        <v>529</v>
      </c>
      <c r="C136" s="11" t="s">
        <v>560</v>
      </c>
      <c r="D136" s="11" t="s">
        <v>561</v>
      </c>
      <c r="E136" s="4" t="s">
        <v>345</v>
      </c>
      <c r="F136" s="4" t="s">
        <v>521</v>
      </c>
      <c r="G136" s="4" t="s">
        <v>510</v>
      </c>
      <c r="H136" s="4" t="s">
        <v>511</v>
      </c>
      <c r="I136" s="6">
        <v>96983.4</v>
      </c>
      <c r="J136" s="26" t="s">
        <v>18</v>
      </c>
      <c r="K136" s="26" t="s">
        <v>18</v>
      </c>
      <c r="L136" s="26" t="s">
        <v>18</v>
      </c>
      <c r="M136" s="13"/>
      <c r="N136" s="13"/>
    </row>
    <row r="137" spans="1:14" ht="56.25">
      <c r="A137" s="50" t="s">
        <v>563</v>
      </c>
      <c r="B137" s="11" t="s">
        <v>564</v>
      </c>
      <c r="C137" s="54" t="s">
        <v>565</v>
      </c>
      <c r="D137" s="11" t="s">
        <v>566</v>
      </c>
      <c r="E137" s="4" t="s">
        <v>266</v>
      </c>
      <c r="F137" s="4" t="s">
        <v>567</v>
      </c>
      <c r="G137" s="4" t="s">
        <v>268</v>
      </c>
      <c r="H137" s="4" t="s">
        <v>34</v>
      </c>
      <c r="I137" s="6">
        <v>19129.900000000001</v>
      </c>
      <c r="J137" s="6" t="s">
        <v>568</v>
      </c>
      <c r="K137" s="6">
        <f>I137/250*7200</f>
        <v>550941.12000000011</v>
      </c>
      <c r="L137" s="25" t="s">
        <v>18</v>
      </c>
      <c r="M137" s="11" t="s">
        <v>569</v>
      </c>
      <c r="N137" s="11"/>
    </row>
    <row r="138" spans="1:14" ht="67.5">
      <c r="A138" s="50" t="s">
        <v>570</v>
      </c>
      <c r="B138" s="11" t="s">
        <v>564</v>
      </c>
      <c r="C138" s="54" t="s">
        <v>565</v>
      </c>
      <c r="D138" s="11" t="s">
        <v>571</v>
      </c>
      <c r="E138" s="4" t="s">
        <v>266</v>
      </c>
      <c r="F138" s="4" t="s">
        <v>572</v>
      </c>
      <c r="G138" s="4" t="s">
        <v>268</v>
      </c>
      <c r="H138" s="4" t="s">
        <v>34</v>
      </c>
      <c r="I138" s="6">
        <v>38259.599999999999</v>
      </c>
      <c r="J138" s="6" t="s">
        <v>568</v>
      </c>
      <c r="K138" s="6">
        <f>I138/500*7200</f>
        <v>550938.24</v>
      </c>
      <c r="L138" s="25" t="s">
        <v>18</v>
      </c>
      <c r="M138" s="11" t="s">
        <v>569</v>
      </c>
      <c r="N138" s="11"/>
    </row>
    <row r="139" spans="1:14" ht="67.5">
      <c r="A139" s="50" t="s">
        <v>573</v>
      </c>
      <c r="B139" s="11" t="s">
        <v>564</v>
      </c>
      <c r="C139" s="54" t="s">
        <v>565</v>
      </c>
      <c r="D139" s="11" t="s">
        <v>574</v>
      </c>
      <c r="E139" s="4" t="s">
        <v>266</v>
      </c>
      <c r="F139" s="4" t="s">
        <v>575</v>
      </c>
      <c r="G139" s="4" t="s">
        <v>268</v>
      </c>
      <c r="H139" s="4" t="s">
        <v>34</v>
      </c>
      <c r="I139" s="6">
        <v>76519.199999999997</v>
      </c>
      <c r="J139" s="6" t="s">
        <v>568</v>
      </c>
      <c r="K139" s="6">
        <f>I139/1000*7200</f>
        <v>550938.24</v>
      </c>
      <c r="L139" s="25" t="s">
        <v>18</v>
      </c>
      <c r="M139" s="11" t="s">
        <v>569</v>
      </c>
      <c r="N139" s="11"/>
    </row>
    <row r="140" spans="1:14" ht="67.5">
      <c r="A140" s="50" t="s">
        <v>576</v>
      </c>
      <c r="B140" s="11" t="s">
        <v>564</v>
      </c>
      <c r="C140" s="11" t="s">
        <v>577</v>
      </c>
      <c r="D140" s="11" t="s">
        <v>578</v>
      </c>
      <c r="E140" s="4" t="s">
        <v>345</v>
      </c>
      <c r="F140" s="4" t="s">
        <v>579</v>
      </c>
      <c r="G140" s="4" t="s">
        <v>580</v>
      </c>
      <c r="H140" s="4" t="s">
        <v>539</v>
      </c>
      <c r="I140" s="6">
        <v>13269.2</v>
      </c>
      <c r="J140" s="6" t="s">
        <v>568</v>
      </c>
      <c r="K140" s="6">
        <f>I140/250*7200</f>
        <v>382152.96000000002</v>
      </c>
      <c r="L140" s="25" t="s">
        <v>18</v>
      </c>
      <c r="M140" s="11" t="s">
        <v>569</v>
      </c>
      <c r="N140" s="11"/>
    </row>
    <row r="141" spans="1:14" ht="67.5">
      <c r="A141" s="50" t="s">
        <v>581</v>
      </c>
      <c r="B141" s="11" t="s">
        <v>564</v>
      </c>
      <c r="C141" s="11" t="s">
        <v>577</v>
      </c>
      <c r="D141" s="11" t="s">
        <v>578</v>
      </c>
      <c r="E141" s="4" t="s">
        <v>345</v>
      </c>
      <c r="F141" s="4" t="s">
        <v>582</v>
      </c>
      <c r="G141" s="4" t="s">
        <v>580</v>
      </c>
      <c r="H141" s="4" t="s">
        <v>539</v>
      </c>
      <c r="I141" s="6">
        <v>26538.400000000001</v>
      </c>
      <c r="J141" s="6" t="s">
        <v>568</v>
      </c>
      <c r="K141" s="6">
        <f>I141/500*7200</f>
        <v>382152.96000000002</v>
      </c>
      <c r="L141" s="25" t="s">
        <v>18</v>
      </c>
      <c r="M141" s="11" t="s">
        <v>569</v>
      </c>
      <c r="N141" s="11"/>
    </row>
    <row r="142" spans="1:14" ht="67.5">
      <c r="A142" s="50" t="s">
        <v>583</v>
      </c>
      <c r="B142" s="11" t="s">
        <v>564</v>
      </c>
      <c r="C142" s="11" t="s">
        <v>577</v>
      </c>
      <c r="D142" s="11" t="s">
        <v>578</v>
      </c>
      <c r="E142" s="4" t="s">
        <v>345</v>
      </c>
      <c r="F142" s="4" t="s">
        <v>584</v>
      </c>
      <c r="G142" s="4" t="s">
        <v>580</v>
      </c>
      <c r="H142" s="4" t="s">
        <v>539</v>
      </c>
      <c r="I142" s="6">
        <v>53076.9</v>
      </c>
      <c r="J142" s="6" t="s">
        <v>568</v>
      </c>
      <c r="K142" s="6">
        <f>I142/1000*7200</f>
        <v>382153.68</v>
      </c>
      <c r="L142" s="25" t="s">
        <v>18</v>
      </c>
      <c r="M142" s="11" t="s">
        <v>569</v>
      </c>
      <c r="N142" s="11"/>
    </row>
    <row r="143" spans="1:14" s="52" customFormat="1" ht="56.25">
      <c r="A143" s="50" t="s">
        <v>585</v>
      </c>
      <c r="B143" s="11" t="s">
        <v>564</v>
      </c>
      <c r="C143" s="11" t="s">
        <v>586</v>
      </c>
      <c r="D143" s="11" t="s">
        <v>587</v>
      </c>
      <c r="E143" s="4" t="s">
        <v>266</v>
      </c>
      <c r="F143" s="4" t="s">
        <v>588</v>
      </c>
      <c r="G143" s="4" t="s">
        <v>589</v>
      </c>
      <c r="H143" s="4" t="s">
        <v>133</v>
      </c>
      <c r="I143" s="6">
        <v>38259.599999999999</v>
      </c>
      <c r="J143" s="6" t="s">
        <v>590</v>
      </c>
      <c r="K143" s="6">
        <f>I143/1/500*7200</f>
        <v>550938.24</v>
      </c>
      <c r="L143" s="25" t="s">
        <v>18</v>
      </c>
      <c r="M143" s="11" t="s">
        <v>569</v>
      </c>
      <c r="N143" s="73"/>
    </row>
    <row r="144" spans="1:14" s="52" customFormat="1" ht="56.25">
      <c r="A144" s="50" t="s">
        <v>591</v>
      </c>
      <c r="B144" s="11" t="s">
        <v>564</v>
      </c>
      <c r="C144" s="11" t="s">
        <v>586</v>
      </c>
      <c r="D144" s="11" t="s">
        <v>592</v>
      </c>
      <c r="E144" s="4" t="s">
        <v>266</v>
      </c>
      <c r="F144" s="4" t="s">
        <v>593</v>
      </c>
      <c r="G144" s="4" t="s">
        <v>589</v>
      </c>
      <c r="H144" s="4" t="s">
        <v>133</v>
      </c>
      <c r="I144" s="6">
        <v>76519.199999999997</v>
      </c>
      <c r="J144" s="6" t="s">
        <v>590</v>
      </c>
      <c r="K144" s="6">
        <f>I144/1/1000*7200</f>
        <v>550938.24</v>
      </c>
      <c r="L144" s="25" t="s">
        <v>18</v>
      </c>
      <c r="M144" s="11" t="s">
        <v>569</v>
      </c>
      <c r="N144" s="73"/>
    </row>
    <row r="145" spans="1:14" s="52" customFormat="1" ht="67.5">
      <c r="A145" s="50" t="s">
        <v>594</v>
      </c>
      <c r="B145" s="11" t="s">
        <v>564</v>
      </c>
      <c r="C145" s="11" t="s">
        <v>595</v>
      </c>
      <c r="D145" s="11" t="s">
        <v>596</v>
      </c>
      <c r="E145" s="4" t="s">
        <v>345</v>
      </c>
      <c r="F145" s="4" t="s">
        <v>597</v>
      </c>
      <c r="G145" s="4" t="s">
        <v>598</v>
      </c>
      <c r="H145" s="4" t="s">
        <v>45</v>
      </c>
      <c r="I145" s="6">
        <v>14310.4</v>
      </c>
      <c r="J145" s="4" t="s">
        <v>590</v>
      </c>
      <c r="K145" s="6">
        <f>+I145/250*7200</f>
        <v>412139.51999999996</v>
      </c>
      <c r="L145" s="4" t="s">
        <v>18</v>
      </c>
      <c r="M145" s="11" t="s">
        <v>569</v>
      </c>
      <c r="N145" s="50"/>
    </row>
    <row r="146" spans="1:14" s="52" customFormat="1" ht="67.5">
      <c r="A146" s="50" t="s">
        <v>599</v>
      </c>
      <c r="B146" s="11" t="s">
        <v>564</v>
      </c>
      <c r="C146" s="11" t="s">
        <v>595</v>
      </c>
      <c r="D146" s="11" t="s">
        <v>596</v>
      </c>
      <c r="E146" s="4" t="s">
        <v>345</v>
      </c>
      <c r="F146" s="4" t="s">
        <v>600</v>
      </c>
      <c r="G146" s="4" t="s">
        <v>598</v>
      </c>
      <c r="H146" s="4" t="s">
        <v>45</v>
      </c>
      <c r="I146" s="6">
        <v>28620.9</v>
      </c>
      <c r="J146" s="4" t="s">
        <v>590</v>
      </c>
      <c r="K146" s="6">
        <f>+I146/500*7200</f>
        <v>412140.96</v>
      </c>
      <c r="L146" s="4" t="s">
        <v>18</v>
      </c>
      <c r="M146" s="11" t="s">
        <v>569</v>
      </c>
      <c r="N146" s="50"/>
    </row>
    <row r="147" spans="1:14" s="52" customFormat="1" ht="67.5">
      <c r="A147" s="50" t="s">
        <v>601</v>
      </c>
      <c r="B147" s="11" t="s">
        <v>564</v>
      </c>
      <c r="C147" s="11" t="s">
        <v>595</v>
      </c>
      <c r="D147" s="11" t="s">
        <v>596</v>
      </c>
      <c r="E147" s="4" t="s">
        <v>345</v>
      </c>
      <c r="F147" s="4" t="s">
        <v>602</v>
      </c>
      <c r="G147" s="4" t="s">
        <v>598</v>
      </c>
      <c r="H147" s="4" t="s">
        <v>45</v>
      </c>
      <c r="I147" s="6">
        <v>57237.599999999999</v>
      </c>
      <c r="J147" s="4" t="s">
        <v>590</v>
      </c>
      <c r="K147" s="6">
        <f>+I147/1000*7200</f>
        <v>412110.72000000003</v>
      </c>
      <c r="L147" s="4" t="s">
        <v>18</v>
      </c>
      <c r="M147" s="11" t="s">
        <v>569</v>
      </c>
      <c r="N147" s="50"/>
    </row>
    <row r="148" spans="1:14" s="52" customFormat="1" ht="67.5">
      <c r="A148" s="50" t="s">
        <v>603</v>
      </c>
      <c r="B148" s="11" t="s">
        <v>564</v>
      </c>
      <c r="C148" s="11" t="s">
        <v>595</v>
      </c>
      <c r="D148" s="11" t="s">
        <v>596</v>
      </c>
      <c r="E148" s="4" t="s">
        <v>345</v>
      </c>
      <c r="F148" s="4" t="s">
        <v>604</v>
      </c>
      <c r="G148" s="4" t="s">
        <v>598</v>
      </c>
      <c r="H148" s="4" t="s">
        <v>45</v>
      </c>
      <c r="I148" s="6">
        <v>85857</v>
      </c>
      <c r="J148" s="4" t="s">
        <v>590</v>
      </c>
      <c r="K148" s="6">
        <f>+I148/1500*7200</f>
        <v>412113.6</v>
      </c>
      <c r="L148" s="4" t="s">
        <v>18</v>
      </c>
      <c r="M148" s="11" t="s">
        <v>569</v>
      </c>
      <c r="N148" s="50"/>
    </row>
    <row r="149" spans="1:14" ht="67.5">
      <c r="A149" s="50" t="s">
        <v>605</v>
      </c>
      <c r="B149" s="11" t="s">
        <v>606</v>
      </c>
      <c r="C149" s="11" t="s">
        <v>607</v>
      </c>
      <c r="D149" s="11" t="s">
        <v>608</v>
      </c>
      <c r="E149" s="4" t="s">
        <v>345</v>
      </c>
      <c r="F149" s="4" t="s">
        <v>609</v>
      </c>
      <c r="G149" s="4" t="s">
        <v>510</v>
      </c>
      <c r="H149" s="4" t="s">
        <v>511</v>
      </c>
      <c r="I149" s="6">
        <v>65774.399999999994</v>
      </c>
      <c r="J149" s="6" t="s">
        <v>610</v>
      </c>
      <c r="K149" s="6">
        <f>I149/50000*2500000</f>
        <v>3288720</v>
      </c>
      <c r="L149" s="24" t="s">
        <v>18</v>
      </c>
      <c r="M149" s="54" t="s">
        <v>611</v>
      </c>
      <c r="N149" s="79"/>
    </row>
    <row r="150" spans="1:14" ht="22.5">
      <c r="A150" s="9" t="s">
        <v>612</v>
      </c>
      <c r="B150" s="11" t="s">
        <v>613</v>
      </c>
      <c r="C150" s="1" t="s">
        <v>614</v>
      </c>
      <c r="D150" s="11" t="s">
        <v>615</v>
      </c>
      <c r="E150" s="4" t="s">
        <v>71</v>
      </c>
      <c r="F150" s="4" t="s">
        <v>616</v>
      </c>
      <c r="G150" s="4" t="s">
        <v>617</v>
      </c>
      <c r="H150" s="4" t="s">
        <v>618</v>
      </c>
      <c r="I150" s="6">
        <v>1171.5999999999999</v>
      </c>
      <c r="J150" s="6" t="s">
        <v>18</v>
      </c>
      <c r="K150" s="6" t="s">
        <v>18</v>
      </c>
      <c r="L150" s="25" t="s">
        <v>18</v>
      </c>
      <c r="M150" s="11"/>
      <c r="N150" s="11"/>
    </row>
    <row r="151" spans="1:14" ht="22.5">
      <c r="A151" s="54">
        <v>1066072</v>
      </c>
      <c r="B151" s="54" t="s">
        <v>613</v>
      </c>
      <c r="C151" s="54" t="s">
        <v>614</v>
      </c>
      <c r="D151" s="54" t="s">
        <v>615</v>
      </c>
      <c r="E151" s="55" t="s">
        <v>619</v>
      </c>
      <c r="F151" s="55" t="s">
        <v>620</v>
      </c>
      <c r="G151" s="55" t="s">
        <v>617</v>
      </c>
      <c r="H151" s="55" t="s">
        <v>618</v>
      </c>
      <c r="I151" s="6">
        <v>1042.8</v>
      </c>
      <c r="J151" s="43" t="s">
        <v>18</v>
      </c>
      <c r="K151" s="43" t="s">
        <v>18</v>
      </c>
      <c r="L151" s="80" t="s">
        <v>18</v>
      </c>
      <c r="M151" s="54"/>
      <c r="N151" s="54"/>
    </row>
    <row r="152" spans="1:14" ht="168.75">
      <c r="A152" s="81" t="s">
        <v>621</v>
      </c>
      <c r="B152" s="82" t="s">
        <v>622</v>
      </c>
      <c r="C152" s="82" t="s">
        <v>623</v>
      </c>
      <c r="D152" s="82" t="s">
        <v>624</v>
      </c>
      <c r="E152" s="83" t="s">
        <v>71</v>
      </c>
      <c r="F152" s="56" t="s">
        <v>625</v>
      </c>
      <c r="G152" s="83" t="s">
        <v>422</v>
      </c>
      <c r="H152" s="83" t="s">
        <v>423</v>
      </c>
      <c r="I152" s="27">
        <v>128071.7</v>
      </c>
      <c r="J152" s="8" t="s">
        <v>626</v>
      </c>
      <c r="K152" s="27">
        <f>I152/30*15</f>
        <v>64035.85</v>
      </c>
      <c r="L152" s="57" t="s">
        <v>18</v>
      </c>
      <c r="M152" s="84" t="s">
        <v>627</v>
      </c>
      <c r="N152" s="62"/>
    </row>
    <row r="153" spans="1:14" ht="168.75">
      <c r="A153" s="81" t="s">
        <v>628</v>
      </c>
      <c r="B153" s="82" t="s">
        <v>622</v>
      </c>
      <c r="C153" s="82" t="s">
        <v>623</v>
      </c>
      <c r="D153" s="82" t="s">
        <v>624</v>
      </c>
      <c r="E153" s="83" t="s">
        <v>71</v>
      </c>
      <c r="F153" s="56" t="s">
        <v>629</v>
      </c>
      <c r="G153" s="83" t="s">
        <v>422</v>
      </c>
      <c r="H153" s="83" t="s">
        <v>423</v>
      </c>
      <c r="I153" s="27">
        <v>256143.3</v>
      </c>
      <c r="J153" s="8" t="s">
        <v>626</v>
      </c>
      <c r="K153" s="27">
        <f>I153/60*15</f>
        <v>64035.82499999999</v>
      </c>
      <c r="L153" s="57" t="s">
        <v>18</v>
      </c>
      <c r="M153" s="84" t="s">
        <v>627</v>
      </c>
      <c r="N153" s="62"/>
    </row>
    <row r="154" spans="1:14" ht="168.75">
      <c r="A154" s="81" t="s">
        <v>630</v>
      </c>
      <c r="B154" s="82" t="s">
        <v>622</v>
      </c>
      <c r="C154" s="82" t="s">
        <v>623</v>
      </c>
      <c r="D154" s="82" t="s">
        <v>624</v>
      </c>
      <c r="E154" s="83" t="s">
        <v>71</v>
      </c>
      <c r="F154" s="56" t="s">
        <v>631</v>
      </c>
      <c r="G154" s="83" t="s">
        <v>422</v>
      </c>
      <c r="H154" s="83" t="s">
        <v>423</v>
      </c>
      <c r="I154" s="27">
        <v>448250.9</v>
      </c>
      <c r="J154" s="8" t="s">
        <v>626</v>
      </c>
      <c r="K154" s="27">
        <f>I154/105*15</f>
        <v>64035.842857142859</v>
      </c>
      <c r="L154" s="57" t="s">
        <v>18</v>
      </c>
      <c r="M154" s="84" t="s">
        <v>627</v>
      </c>
      <c r="N154" s="62"/>
    </row>
    <row r="155" spans="1:14" ht="168.75">
      <c r="A155" s="81" t="s">
        <v>632</v>
      </c>
      <c r="B155" s="82" t="s">
        <v>622</v>
      </c>
      <c r="C155" s="82" t="s">
        <v>623</v>
      </c>
      <c r="D155" s="82" t="s">
        <v>624</v>
      </c>
      <c r="E155" s="83" t="s">
        <v>71</v>
      </c>
      <c r="F155" s="56" t="s">
        <v>633</v>
      </c>
      <c r="G155" s="83" t="s">
        <v>422</v>
      </c>
      <c r="H155" s="83" t="s">
        <v>423</v>
      </c>
      <c r="I155" s="27">
        <v>640358.5</v>
      </c>
      <c r="J155" s="8" t="s">
        <v>626</v>
      </c>
      <c r="K155" s="27">
        <f>I155/150*15</f>
        <v>64035.85</v>
      </c>
      <c r="L155" s="57" t="s">
        <v>18</v>
      </c>
      <c r="M155" s="84" t="s">
        <v>627</v>
      </c>
      <c r="N155" s="62"/>
    </row>
    <row r="156" spans="1:14" ht="45">
      <c r="A156" s="50" t="s">
        <v>634</v>
      </c>
      <c r="B156" s="11" t="s">
        <v>635</v>
      </c>
      <c r="C156" s="11" t="s">
        <v>636</v>
      </c>
      <c r="D156" s="11" t="s">
        <v>637</v>
      </c>
      <c r="E156" s="4" t="s">
        <v>638</v>
      </c>
      <c r="F156" s="4" t="s">
        <v>3663</v>
      </c>
      <c r="G156" s="4" t="s">
        <v>639</v>
      </c>
      <c r="H156" s="4" t="s">
        <v>54</v>
      </c>
      <c r="I156" s="6">
        <v>3000</v>
      </c>
      <c r="J156" s="4" t="s">
        <v>339</v>
      </c>
      <c r="K156" s="27">
        <f>I156/5/100*100</f>
        <v>600</v>
      </c>
      <c r="L156" s="25" t="s">
        <v>18</v>
      </c>
      <c r="M156" s="11"/>
      <c r="N156" s="11" t="s">
        <v>148</v>
      </c>
    </row>
    <row r="157" spans="1:14" ht="45">
      <c r="A157" s="71" t="s">
        <v>640</v>
      </c>
      <c r="B157" s="72" t="s">
        <v>641</v>
      </c>
      <c r="C157" s="72" t="s">
        <v>642</v>
      </c>
      <c r="D157" s="72" t="s">
        <v>643</v>
      </c>
      <c r="E157" s="35" t="s">
        <v>644</v>
      </c>
      <c r="F157" s="35" t="s">
        <v>645</v>
      </c>
      <c r="G157" s="35" t="s">
        <v>646</v>
      </c>
      <c r="H157" s="35" t="s">
        <v>34</v>
      </c>
      <c r="I157" s="6">
        <v>2880.9</v>
      </c>
      <c r="J157" s="4" t="s">
        <v>339</v>
      </c>
      <c r="K157" s="28">
        <f>I157/5/100*100</f>
        <v>576.18000000000006</v>
      </c>
      <c r="L157" s="25" t="s">
        <v>18</v>
      </c>
      <c r="M157" s="11"/>
      <c r="N157" s="11" t="s">
        <v>148</v>
      </c>
    </row>
    <row r="158" spans="1:14" ht="22.5">
      <c r="A158" s="50" t="s">
        <v>647</v>
      </c>
      <c r="B158" s="11" t="s">
        <v>648</v>
      </c>
      <c r="C158" s="11" t="s">
        <v>649</v>
      </c>
      <c r="D158" s="11" t="s">
        <v>650</v>
      </c>
      <c r="E158" s="4" t="s">
        <v>71</v>
      </c>
      <c r="F158" s="4" t="s">
        <v>651</v>
      </c>
      <c r="G158" s="4" t="s">
        <v>90</v>
      </c>
      <c r="H158" s="4" t="s">
        <v>16</v>
      </c>
      <c r="I158" s="6">
        <v>422</v>
      </c>
      <c r="J158" s="6" t="s">
        <v>652</v>
      </c>
      <c r="K158" s="6">
        <f>I158/5/2500*20</f>
        <v>0.67520000000000013</v>
      </c>
      <c r="L158" s="25" t="s">
        <v>18</v>
      </c>
      <c r="M158" s="11"/>
      <c r="N158" s="11"/>
    </row>
    <row r="159" spans="1:14" ht="33.75">
      <c r="A159" s="50" t="s">
        <v>653</v>
      </c>
      <c r="B159" s="11" t="s">
        <v>654</v>
      </c>
      <c r="C159" s="11" t="s">
        <v>655</v>
      </c>
      <c r="D159" s="11" t="s">
        <v>656</v>
      </c>
      <c r="E159" s="4" t="s">
        <v>166</v>
      </c>
      <c r="F159" s="4" t="s">
        <v>657</v>
      </c>
      <c r="G159" s="4" t="s">
        <v>580</v>
      </c>
      <c r="H159" s="4" t="s">
        <v>539</v>
      </c>
      <c r="I159" s="6">
        <v>5521.1</v>
      </c>
      <c r="J159" s="6" t="s">
        <v>18</v>
      </c>
      <c r="K159" s="6" t="s">
        <v>18</v>
      </c>
      <c r="L159" s="25" t="s">
        <v>18</v>
      </c>
      <c r="M159" s="11"/>
      <c r="N159" s="11" t="s">
        <v>148</v>
      </c>
    </row>
    <row r="160" spans="1:14" ht="22.5">
      <c r="A160" s="50" t="s">
        <v>659</v>
      </c>
      <c r="B160" s="11" t="s">
        <v>654</v>
      </c>
      <c r="C160" s="11" t="s">
        <v>660</v>
      </c>
      <c r="D160" s="11" t="s">
        <v>661</v>
      </c>
      <c r="E160" s="4" t="s">
        <v>166</v>
      </c>
      <c r="F160" s="4" t="s">
        <v>658</v>
      </c>
      <c r="G160" s="4" t="s">
        <v>268</v>
      </c>
      <c r="H160" s="4" t="s">
        <v>34</v>
      </c>
      <c r="I160" s="6">
        <v>5488.9</v>
      </c>
      <c r="J160" s="6" t="s">
        <v>18</v>
      </c>
      <c r="K160" s="6" t="s">
        <v>18</v>
      </c>
      <c r="L160" s="25" t="s">
        <v>18</v>
      </c>
      <c r="M160" s="11"/>
      <c r="N160" s="11" t="s">
        <v>148</v>
      </c>
    </row>
    <row r="161" spans="1:14" ht="22.5">
      <c r="A161" s="50" t="s">
        <v>662</v>
      </c>
      <c r="B161" s="11" t="s">
        <v>654</v>
      </c>
      <c r="C161" s="11" t="s">
        <v>655</v>
      </c>
      <c r="D161" s="11" t="s">
        <v>663</v>
      </c>
      <c r="E161" s="4" t="s">
        <v>166</v>
      </c>
      <c r="F161" s="4" t="s">
        <v>664</v>
      </c>
      <c r="G161" s="4" t="s">
        <v>463</v>
      </c>
      <c r="H161" s="4" t="s">
        <v>34</v>
      </c>
      <c r="I161" s="6">
        <v>5521.1</v>
      </c>
      <c r="J161" s="6" t="s">
        <v>18</v>
      </c>
      <c r="K161" s="6" t="s">
        <v>18</v>
      </c>
      <c r="L161" s="25" t="s">
        <v>18</v>
      </c>
      <c r="M161" s="11"/>
      <c r="N161" s="11" t="s">
        <v>148</v>
      </c>
    </row>
    <row r="162" spans="1:14" ht="33.75">
      <c r="A162" s="71" t="s">
        <v>665</v>
      </c>
      <c r="B162" s="72" t="s">
        <v>654</v>
      </c>
      <c r="C162" s="11" t="s">
        <v>655</v>
      </c>
      <c r="D162" s="72" t="s">
        <v>666</v>
      </c>
      <c r="E162" s="35" t="s">
        <v>166</v>
      </c>
      <c r="F162" s="35" t="s">
        <v>667</v>
      </c>
      <c r="G162" s="4" t="s">
        <v>258</v>
      </c>
      <c r="H162" s="35" t="s">
        <v>133</v>
      </c>
      <c r="I162" s="6">
        <v>126588.5</v>
      </c>
      <c r="J162" s="6" t="s">
        <v>18</v>
      </c>
      <c r="K162" s="6" t="s">
        <v>18</v>
      </c>
      <c r="L162" s="25" t="s">
        <v>18</v>
      </c>
      <c r="M162" s="72"/>
      <c r="N162" s="11" t="s">
        <v>148</v>
      </c>
    </row>
    <row r="163" spans="1:14" ht="33.75">
      <c r="A163" s="71" t="s">
        <v>668</v>
      </c>
      <c r="B163" s="72" t="s">
        <v>654</v>
      </c>
      <c r="C163" s="11" t="s">
        <v>655</v>
      </c>
      <c r="D163" s="72" t="s">
        <v>666</v>
      </c>
      <c r="E163" s="35" t="s">
        <v>166</v>
      </c>
      <c r="F163" s="35" t="s">
        <v>669</v>
      </c>
      <c r="G163" s="4" t="s">
        <v>258</v>
      </c>
      <c r="H163" s="35" t="s">
        <v>133</v>
      </c>
      <c r="I163" s="6">
        <v>126588.5</v>
      </c>
      <c r="J163" s="6" t="s">
        <v>18</v>
      </c>
      <c r="K163" s="6" t="s">
        <v>18</v>
      </c>
      <c r="L163" s="25" t="s">
        <v>18</v>
      </c>
      <c r="M163" s="72"/>
      <c r="N163" s="11" t="s">
        <v>148</v>
      </c>
    </row>
    <row r="164" spans="1:14" s="52" customFormat="1" ht="101.25">
      <c r="A164" s="85" t="s">
        <v>670</v>
      </c>
      <c r="B164" s="86" t="s">
        <v>654</v>
      </c>
      <c r="C164" s="11" t="s">
        <v>655</v>
      </c>
      <c r="D164" s="86" t="s">
        <v>671</v>
      </c>
      <c r="E164" s="87" t="s">
        <v>166</v>
      </c>
      <c r="F164" s="87" t="s">
        <v>3559</v>
      </c>
      <c r="G164" s="87" t="s">
        <v>672</v>
      </c>
      <c r="H164" s="87" t="s">
        <v>673</v>
      </c>
      <c r="I164" s="6">
        <v>5521.1</v>
      </c>
      <c r="J164" s="6" t="s">
        <v>18</v>
      </c>
      <c r="K164" s="6" t="s">
        <v>18</v>
      </c>
      <c r="L164" s="25" t="s">
        <v>18</v>
      </c>
      <c r="M164" s="86"/>
      <c r="N164" s="11" t="s">
        <v>148</v>
      </c>
    </row>
    <row r="165" spans="1:14" s="52" customFormat="1" ht="101.25">
      <c r="A165" s="85" t="s">
        <v>674</v>
      </c>
      <c r="B165" s="86" t="s">
        <v>654</v>
      </c>
      <c r="C165" s="11" t="s">
        <v>655</v>
      </c>
      <c r="D165" s="86" t="s">
        <v>671</v>
      </c>
      <c r="E165" s="87" t="s">
        <v>166</v>
      </c>
      <c r="F165" s="87" t="s">
        <v>3558</v>
      </c>
      <c r="G165" s="87" t="s">
        <v>672</v>
      </c>
      <c r="H165" s="87" t="s">
        <v>673</v>
      </c>
      <c r="I165" s="6">
        <v>10960.3</v>
      </c>
      <c r="J165" s="6" t="s">
        <v>18</v>
      </c>
      <c r="K165" s="6" t="s">
        <v>18</v>
      </c>
      <c r="L165" s="25" t="s">
        <v>18</v>
      </c>
      <c r="M165" s="86"/>
      <c r="N165" s="11" t="s">
        <v>148</v>
      </c>
    </row>
    <row r="166" spans="1:14" s="52" customFormat="1" ht="101.25">
      <c r="A166" s="85" t="s">
        <v>675</v>
      </c>
      <c r="B166" s="86" t="s">
        <v>654</v>
      </c>
      <c r="C166" s="11" t="s">
        <v>655</v>
      </c>
      <c r="D166" s="86" t="s">
        <v>676</v>
      </c>
      <c r="E166" s="87" t="s">
        <v>166</v>
      </c>
      <c r="F166" s="87" t="s">
        <v>3560</v>
      </c>
      <c r="G166" s="87" t="s">
        <v>672</v>
      </c>
      <c r="H166" s="87" t="s">
        <v>673</v>
      </c>
      <c r="I166" s="6">
        <v>2753.8</v>
      </c>
      <c r="J166" s="6" t="s">
        <v>18</v>
      </c>
      <c r="K166" s="6" t="s">
        <v>18</v>
      </c>
      <c r="L166" s="25" t="s">
        <v>18</v>
      </c>
      <c r="M166" s="86"/>
      <c r="N166" s="11" t="s">
        <v>148</v>
      </c>
    </row>
    <row r="167" spans="1:14" s="52" customFormat="1" ht="101.25">
      <c r="A167" s="85" t="s">
        <v>677</v>
      </c>
      <c r="B167" s="86" t="s">
        <v>654</v>
      </c>
      <c r="C167" s="11" t="s">
        <v>655</v>
      </c>
      <c r="D167" s="86" t="s">
        <v>676</v>
      </c>
      <c r="E167" s="87" t="s">
        <v>166</v>
      </c>
      <c r="F167" s="87" t="s">
        <v>3561</v>
      </c>
      <c r="G167" s="87" t="s">
        <v>672</v>
      </c>
      <c r="H167" s="87" t="s">
        <v>673</v>
      </c>
      <c r="I167" s="6">
        <v>6884.7</v>
      </c>
      <c r="J167" s="6" t="s">
        <v>18</v>
      </c>
      <c r="K167" s="6" t="s">
        <v>18</v>
      </c>
      <c r="L167" s="25" t="s">
        <v>18</v>
      </c>
      <c r="M167" s="86"/>
      <c r="N167" s="11" t="s">
        <v>148</v>
      </c>
    </row>
    <row r="168" spans="1:14" s="52" customFormat="1" ht="101.25">
      <c r="A168" s="85" t="s">
        <v>678</v>
      </c>
      <c r="B168" s="86" t="s">
        <v>654</v>
      </c>
      <c r="C168" s="11" t="s">
        <v>655</v>
      </c>
      <c r="D168" s="86" t="s">
        <v>676</v>
      </c>
      <c r="E168" s="87" t="s">
        <v>166</v>
      </c>
      <c r="F168" s="87" t="s">
        <v>3562</v>
      </c>
      <c r="G168" s="87" t="s">
        <v>672</v>
      </c>
      <c r="H168" s="87" t="s">
        <v>673</v>
      </c>
      <c r="I168" s="6">
        <v>13727.4</v>
      </c>
      <c r="J168" s="6" t="s">
        <v>18</v>
      </c>
      <c r="K168" s="6" t="s">
        <v>18</v>
      </c>
      <c r="L168" s="25" t="s">
        <v>18</v>
      </c>
      <c r="M168" s="86"/>
      <c r="N168" s="11" t="s">
        <v>148</v>
      </c>
    </row>
    <row r="169" spans="1:14" s="52" customFormat="1" ht="22.5">
      <c r="A169" s="88" t="s">
        <v>679</v>
      </c>
      <c r="B169" s="62" t="s">
        <v>654</v>
      </c>
      <c r="C169" s="11" t="s">
        <v>655</v>
      </c>
      <c r="D169" s="86" t="s">
        <v>680</v>
      </c>
      <c r="E169" s="87" t="s">
        <v>166</v>
      </c>
      <c r="F169" s="4" t="s">
        <v>3697</v>
      </c>
      <c r="G169" s="55" t="s">
        <v>682</v>
      </c>
      <c r="H169" s="55" t="s">
        <v>45</v>
      </c>
      <c r="I169" s="6">
        <v>5521.1</v>
      </c>
      <c r="J169" s="21" t="s">
        <v>18</v>
      </c>
      <c r="K169" s="6" t="s">
        <v>18</v>
      </c>
      <c r="L169" s="57" t="s">
        <v>18</v>
      </c>
      <c r="M169" s="54"/>
      <c r="N169" s="54" t="s">
        <v>148</v>
      </c>
    </row>
    <row r="170" spans="1:14" s="52" customFormat="1" ht="22.5">
      <c r="A170" s="88" t="s">
        <v>683</v>
      </c>
      <c r="B170" s="62" t="s">
        <v>654</v>
      </c>
      <c r="C170" s="11" t="s">
        <v>655</v>
      </c>
      <c r="D170" s="86" t="s">
        <v>680</v>
      </c>
      <c r="E170" s="87" t="s">
        <v>166</v>
      </c>
      <c r="F170" s="4" t="s">
        <v>3698</v>
      </c>
      <c r="G170" s="55" t="s">
        <v>682</v>
      </c>
      <c r="H170" s="55" t="s">
        <v>45</v>
      </c>
      <c r="I170" s="6">
        <v>10960.3</v>
      </c>
      <c r="J170" s="21" t="s">
        <v>18</v>
      </c>
      <c r="K170" s="6" t="s">
        <v>18</v>
      </c>
      <c r="L170" s="57" t="s">
        <v>18</v>
      </c>
      <c r="M170" s="54"/>
      <c r="N170" s="54" t="s">
        <v>148</v>
      </c>
    </row>
    <row r="171" spans="1:14" s="52" customFormat="1" ht="22.5">
      <c r="A171" s="53" t="s">
        <v>685</v>
      </c>
      <c r="B171" s="54" t="s">
        <v>654</v>
      </c>
      <c r="C171" s="11" t="s">
        <v>655</v>
      </c>
      <c r="D171" s="86" t="s">
        <v>686</v>
      </c>
      <c r="E171" s="87" t="s">
        <v>166</v>
      </c>
      <c r="F171" s="87" t="s">
        <v>681</v>
      </c>
      <c r="G171" s="55" t="s">
        <v>687</v>
      </c>
      <c r="H171" s="55" t="s">
        <v>471</v>
      </c>
      <c r="I171" s="6">
        <v>5521.1</v>
      </c>
      <c r="J171" s="55" t="s">
        <v>18</v>
      </c>
      <c r="K171" s="6" t="s">
        <v>18</v>
      </c>
      <c r="L171" s="57" t="s">
        <v>18</v>
      </c>
      <c r="M171" s="58"/>
      <c r="N171" s="54" t="s">
        <v>148</v>
      </c>
    </row>
    <row r="172" spans="1:14" s="52" customFormat="1" ht="22.5">
      <c r="A172" s="53" t="s">
        <v>688</v>
      </c>
      <c r="B172" s="54" t="s">
        <v>654</v>
      </c>
      <c r="C172" s="11" t="s">
        <v>655</v>
      </c>
      <c r="D172" s="86" t="s">
        <v>686</v>
      </c>
      <c r="E172" s="87" t="s">
        <v>166</v>
      </c>
      <c r="F172" s="87" t="s">
        <v>684</v>
      </c>
      <c r="G172" s="55" t="s">
        <v>687</v>
      </c>
      <c r="H172" s="55" t="s">
        <v>471</v>
      </c>
      <c r="I172" s="6">
        <v>10960.3</v>
      </c>
      <c r="J172" s="55" t="s">
        <v>18</v>
      </c>
      <c r="K172" s="6" t="s">
        <v>18</v>
      </c>
      <c r="L172" s="57" t="s">
        <v>18</v>
      </c>
      <c r="M172" s="58"/>
      <c r="N172" s="54" t="s">
        <v>148</v>
      </c>
    </row>
    <row r="173" spans="1:14" ht="101.25">
      <c r="A173" s="50" t="s">
        <v>690</v>
      </c>
      <c r="B173" s="11" t="s">
        <v>691</v>
      </c>
      <c r="C173" s="11" t="s">
        <v>692</v>
      </c>
      <c r="D173" s="11" t="s">
        <v>693</v>
      </c>
      <c r="E173" s="4" t="s">
        <v>166</v>
      </c>
      <c r="F173" s="4" t="s">
        <v>694</v>
      </c>
      <c r="G173" s="4" t="s">
        <v>695</v>
      </c>
      <c r="H173" s="4" t="s">
        <v>696</v>
      </c>
      <c r="I173" s="6">
        <v>585.4</v>
      </c>
      <c r="J173" s="6" t="s">
        <v>18</v>
      </c>
      <c r="K173" s="6" t="s">
        <v>18</v>
      </c>
      <c r="L173" s="25" t="s">
        <v>18</v>
      </c>
      <c r="M173" s="11"/>
      <c r="N173" s="11" t="s">
        <v>148</v>
      </c>
    </row>
    <row r="174" spans="1:14" ht="135">
      <c r="A174" s="50" t="s">
        <v>697</v>
      </c>
      <c r="B174" s="11" t="s">
        <v>691</v>
      </c>
      <c r="C174" s="11" t="s">
        <v>698</v>
      </c>
      <c r="D174" s="11" t="s">
        <v>699</v>
      </c>
      <c r="E174" s="4" t="s">
        <v>166</v>
      </c>
      <c r="F174" s="4" t="s">
        <v>700</v>
      </c>
      <c r="G174" s="4" t="s">
        <v>132</v>
      </c>
      <c r="H174" s="4" t="s">
        <v>133</v>
      </c>
      <c r="I174" s="6">
        <v>11407.6</v>
      </c>
      <c r="J174" s="6" t="s">
        <v>18</v>
      </c>
      <c r="K174" s="6" t="s">
        <v>18</v>
      </c>
      <c r="L174" s="25" t="s">
        <v>18</v>
      </c>
      <c r="M174" s="11"/>
      <c r="N174" s="11" t="s">
        <v>148</v>
      </c>
    </row>
    <row r="175" spans="1:14" ht="90">
      <c r="A175" s="53" t="s">
        <v>702</v>
      </c>
      <c r="B175" s="54" t="s">
        <v>691</v>
      </c>
      <c r="C175" s="54" t="s">
        <v>701</v>
      </c>
      <c r="D175" s="54" t="s">
        <v>703</v>
      </c>
      <c r="E175" s="55" t="s">
        <v>166</v>
      </c>
      <c r="F175" s="55" t="s">
        <v>704</v>
      </c>
      <c r="G175" s="55" t="s">
        <v>132</v>
      </c>
      <c r="H175" s="55" t="s">
        <v>133</v>
      </c>
      <c r="I175" s="29">
        <v>8709.7999999999993</v>
      </c>
      <c r="J175" s="6" t="s">
        <v>18</v>
      </c>
      <c r="K175" s="6" t="s">
        <v>18</v>
      </c>
      <c r="L175" s="55" t="s">
        <v>18</v>
      </c>
      <c r="M175" s="54"/>
      <c r="N175" s="54" t="s">
        <v>148</v>
      </c>
    </row>
    <row r="176" spans="1:14" ht="90">
      <c r="A176" s="53" t="s">
        <v>705</v>
      </c>
      <c r="B176" s="54" t="s">
        <v>691</v>
      </c>
      <c r="C176" s="54" t="s">
        <v>701</v>
      </c>
      <c r="D176" s="54" t="s">
        <v>706</v>
      </c>
      <c r="E176" s="55" t="s">
        <v>166</v>
      </c>
      <c r="F176" s="55" t="s">
        <v>704</v>
      </c>
      <c r="G176" s="55" t="s">
        <v>132</v>
      </c>
      <c r="H176" s="55" t="s">
        <v>133</v>
      </c>
      <c r="I176" s="29">
        <v>12788.1</v>
      </c>
      <c r="J176" s="6" t="s">
        <v>18</v>
      </c>
      <c r="K176" s="6" t="s">
        <v>18</v>
      </c>
      <c r="L176" s="55" t="s">
        <v>18</v>
      </c>
      <c r="M176" s="54"/>
      <c r="N176" s="54" t="s">
        <v>148</v>
      </c>
    </row>
    <row r="177" spans="1:14" ht="22.5">
      <c r="A177" s="50" t="s">
        <v>709</v>
      </c>
      <c r="B177" s="11" t="s">
        <v>707</v>
      </c>
      <c r="C177" s="11" t="s">
        <v>710</v>
      </c>
      <c r="D177" s="11" t="s">
        <v>3527</v>
      </c>
      <c r="E177" s="4" t="s">
        <v>708</v>
      </c>
      <c r="F177" s="4" t="s">
        <v>711</v>
      </c>
      <c r="G177" s="4" t="s">
        <v>712</v>
      </c>
      <c r="H177" s="4" t="s">
        <v>273</v>
      </c>
      <c r="I177" s="6">
        <v>5058.8</v>
      </c>
      <c r="J177" s="6" t="s">
        <v>18</v>
      </c>
      <c r="K177" s="6" t="s">
        <v>18</v>
      </c>
      <c r="L177" s="25" t="s">
        <v>18</v>
      </c>
      <c r="M177" s="11"/>
      <c r="N177" s="11" t="s">
        <v>148</v>
      </c>
    </row>
    <row r="178" spans="1:14" ht="22.5">
      <c r="A178" s="50" t="s">
        <v>713</v>
      </c>
      <c r="B178" s="11" t="s">
        <v>707</v>
      </c>
      <c r="C178" s="11" t="s">
        <v>710</v>
      </c>
      <c r="D178" s="11" t="s">
        <v>3527</v>
      </c>
      <c r="E178" s="4" t="s">
        <v>708</v>
      </c>
      <c r="F178" s="89" t="s">
        <v>714</v>
      </c>
      <c r="G178" s="4" t="s">
        <v>712</v>
      </c>
      <c r="H178" s="4" t="s">
        <v>273</v>
      </c>
      <c r="I178" s="6">
        <v>10123.299999999999</v>
      </c>
      <c r="J178" s="6" t="s">
        <v>18</v>
      </c>
      <c r="K178" s="6" t="s">
        <v>18</v>
      </c>
      <c r="L178" s="25" t="s">
        <v>18</v>
      </c>
      <c r="M178" s="11"/>
      <c r="N178" s="11" t="s">
        <v>148</v>
      </c>
    </row>
    <row r="179" spans="1:14" ht="101.25">
      <c r="A179" s="90" t="s">
        <v>715</v>
      </c>
      <c r="B179" s="90" t="s">
        <v>707</v>
      </c>
      <c r="C179" s="54" t="s">
        <v>716</v>
      </c>
      <c r="D179" s="54" t="s">
        <v>3526</v>
      </c>
      <c r="E179" s="55" t="s">
        <v>708</v>
      </c>
      <c r="F179" s="55" t="s">
        <v>717</v>
      </c>
      <c r="G179" s="55" t="s">
        <v>132</v>
      </c>
      <c r="H179" s="55" t="s">
        <v>133</v>
      </c>
      <c r="I179" s="6">
        <v>4854.7</v>
      </c>
      <c r="J179" s="4" t="s">
        <v>18</v>
      </c>
      <c r="K179" s="4" t="s">
        <v>18</v>
      </c>
      <c r="L179" s="57" t="s">
        <v>18</v>
      </c>
      <c r="M179" s="54"/>
      <c r="N179" s="54" t="s">
        <v>148</v>
      </c>
    </row>
    <row r="180" spans="1:14" ht="101.25">
      <c r="A180" s="90" t="s">
        <v>718</v>
      </c>
      <c r="B180" s="90" t="s">
        <v>707</v>
      </c>
      <c r="C180" s="54" t="s">
        <v>716</v>
      </c>
      <c r="D180" s="54" t="s">
        <v>3526</v>
      </c>
      <c r="E180" s="55" t="s">
        <v>708</v>
      </c>
      <c r="F180" s="55" t="s">
        <v>719</v>
      </c>
      <c r="G180" s="55" t="s">
        <v>132</v>
      </c>
      <c r="H180" s="55" t="s">
        <v>133</v>
      </c>
      <c r="I180" s="6">
        <v>6698.8</v>
      </c>
      <c r="J180" s="4" t="s">
        <v>18</v>
      </c>
      <c r="K180" s="4" t="s">
        <v>18</v>
      </c>
      <c r="L180" s="57" t="s">
        <v>18</v>
      </c>
      <c r="M180" s="54"/>
      <c r="N180" s="54" t="s">
        <v>148</v>
      </c>
    </row>
    <row r="181" spans="1:14" ht="101.25">
      <c r="A181" s="90" t="s">
        <v>720</v>
      </c>
      <c r="B181" s="90" t="s">
        <v>707</v>
      </c>
      <c r="C181" s="54" t="s">
        <v>716</v>
      </c>
      <c r="D181" s="54" t="s">
        <v>3526</v>
      </c>
      <c r="E181" s="55" t="s">
        <v>708</v>
      </c>
      <c r="F181" s="55" t="s">
        <v>721</v>
      </c>
      <c r="G181" s="55" t="s">
        <v>132</v>
      </c>
      <c r="H181" s="55" t="s">
        <v>133</v>
      </c>
      <c r="I181" s="6">
        <v>9525.7000000000007</v>
      </c>
      <c r="J181" s="4" t="s">
        <v>18</v>
      </c>
      <c r="K181" s="4" t="s">
        <v>18</v>
      </c>
      <c r="L181" s="57" t="s">
        <v>18</v>
      </c>
      <c r="M181" s="54"/>
      <c r="N181" s="54" t="s">
        <v>148</v>
      </c>
    </row>
    <row r="182" spans="1:14" ht="22.5">
      <c r="A182" s="50" t="s">
        <v>722</v>
      </c>
      <c r="B182" s="11" t="s">
        <v>723</v>
      </c>
      <c r="C182" s="11" t="s">
        <v>724</v>
      </c>
      <c r="D182" s="11" t="s">
        <v>725</v>
      </c>
      <c r="E182" s="4" t="s">
        <v>166</v>
      </c>
      <c r="F182" s="4" t="s">
        <v>726</v>
      </c>
      <c r="G182" s="4" t="s">
        <v>15</v>
      </c>
      <c r="H182" s="4" t="s">
        <v>16</v>
      </c>
      <c r="I182" s="6">
        <v>82.7</v>
      </c>
      <c r="J182" s="6" t="s">
        <v>18</v>
      </c>
      <c r="K182" s="6" t="s">
        <v>18</v>
      </c>
      <c r="L182" s="25" t="s">
        <v>18</v>
      </c>
      <c r="M182" s="11"/>
      <c r="N182" s="11"/>
    </row>
    <row r="183" spans="1:14" ht="22.5">
      <c r="A183" s="50" t="s">
        <v>727</v>
      </c>
      <c r="B183" s="11" t="s">
        <v>723</v>
      </c>
      <c r="C183" s="11" t="s">
        <v>724</v>
      </c>
      <c r="D183" s="11" t="s">
        <v>728</v>
      </c>
      <c r="E183" s="4" t="s">
        <v>166</v>
      </c>
      <c r="F183" s="4" t="s">
        <v>729</v>
      </c>
      <c r="G183" s="4" t="s">
        <v>15</v>
      </c>
      <c r="H183" s="4" t="s">
        <v>16</v>
      </c>
      <c r="I183" s="6">
        <v>101</v>
      </c>
      <c r="J183" s="6" t="s">
        <v>18</v>
      </c>
      <c r="K183" s="6" t="s">
        <v>18</v>
      </c>
      <c r="L183" s="25" t="s">
        <v>18</v>
      </c>
      <c r="M183" s="11"/>
      <c r="N183" s="11"/>
    </row>
    <row r="184" spans="1:14" ht="33.75">
      <c r="A184" s="50" t="s">
        <v>730</v>
      </c>
      <c r="B184" s="11" t="s">
        <v>723</v>
      </c>
      <c r="C184" s="11" t="s">
        <v>724</v>
      </c>
      <c r="D184" s="11" t="s">
        <v>731</v>
      </c>
      <c r="E184" s="4" t="s">
        <v>166</v>
      </c>
      <c r="F184" s="89" t="s">
        <v>732</v>
      </c>
      <c r="G184" s="4" t="s">
        <v>733</v>
      </c>
      <c r="H184" s="4" t="s">
        <v>734</v>
      </c>
      <c r="I184" s="6">
        <v>1934.3</v>
      </c>
      <c r="J184" s="6" t="s">
        <v>18</v>
      </c>
      <c r="K184" s="6" t="s">
        <v>18</v>
      </c>
      <c r="L184" s="25" t="s">
        <v>18</v>
      </c>
      <c r="M184" s="11"/>
      <c r="N184" s="11"/>
    </row>
    <row r="185" spans="1:14" ht="33.75">
      <c r="A185" s="9" t="s">
        <v>735</v>
      </c>
      <c r="B185" s="11" t="s">
        <v>723</v>
      </c>
      <c r="C185" s="1" t="s">
        <v>724</v>
      </c>
      <c r="D185" s="11" t="s">
        <v>731</v>
      </c>
      <c r="E185" s="4" t="s">
        <v>166</v>
      </c>
      <c r="F185" s="4" t="s">
        <v>736</v>
      </c>
      <c r="G185" s="4" t="s">
        <v>737</v>
      </c>
      <c r="H185" s="4" t="s">
        <v>738</v>
      </c>
      <c r="I185" s="6">
        <v>827</v>
      </c>
      <c r="J185" s="6" t="s">
        <v>18</v>
      </c>
      <c r="K185" s="6" t="s">
        <v>18</v>
      </c>
      <c r="L185" s="25" t="s">
        <v>18</v>
      </c>
      <c r="M185" s="11"/>
      <c r="N185" s="11"/>
    </row>
    <row r="186" spans="1:14" ht="33.75">
      <c r="A186" s="9" t="s">
        <v>739</v>
      </c>
      <c r="B186" s="11" t="s">
        <v>723</v>
      </c>
      <c r="C186" s="1" t="s">
        <v>724</v>
      </c>
      <c r="D186" s="11" t="s">
        <v>740</v>
      </c>
      <c r="E186" s="4" t="s">
        <v>166</v>
      </c>
      <c r="F186" s="89" t="s">
        <v>3577</v>
      </c>
      <c r="G186" s="4" t="s">
        <v>737</v>
      </c>
      <c r="H186" s="4" t="s">
        <v>738</v>
      </c>
      <c r="I186" s="6">
        <v>1009.7</v>
      </c>
      <c r="J186" s="6" t="s">
        <v>18</v>
      </c>
      <c r="K186" s="6" t="s">
        <v>18</v>
      </c>
      <c r="L186" s="25" t="s">
        <v>18</v>
      </c>
      <c r="M186" s="11"/>
      <c r="N186" s="11"/>
    </row>
    <row r="187" spans="1:14" ht="67.5">
      <c r="A187" s="53" t="s">
        <v>741</v>
      </c>
      <c r="B187" s="54" t="s">
        <v>723</v>
      </c>
      <c r="C187" s="54" t="s">
        <v>724</v>
      </c>
      <c r="D187" s="54" t="s">
        <v>742</v>
      </c>
      <c r="E187" s="55" t="s">
        <v>166</v>
      </c>
      <c r="F187" s="56" t="s">
        <v>743</v>
      </c>
      <c r="G187" s="55" t="s">
        <v>744</v>
      </c>
      <c r="H187" s="55" t="s">
        <v>745</v>
      </c>
      <c r="I187" s="5">
        <v>658.7</v>
      </c>
      <c r="J187" s="8" t="s">
        <v>18</v>
      </c>
      <c r="K187" s="5" t="s">
        <v>18</v>
      </c>
      <c r="L187" s="57" t="s">
        <v>18</v>
      </c>
      <c r="M187" s="54"/>
      <c r="N187" s="54"/>
    </row>
    <row r="188" spans="1:14" ht="67.5">
      <c r="A188" s="53" t="s">
        <v>746</v>
      </c>
      <c r="B188" s="54" t="s">
        <v>723</v>
      </c>
      <c r="C188" s="54" t="s">
        <v>724</v>
      </c>
      <c r="D188" s="54" t="s">
        <v>742</v>
      </c>
      <c r="E188" s="55" t="s">
        <v>166</v>
      </c>
      <c r="F188" s="56" t="s">
        <v>747</v>
      </c>
      <c r="G188" s="55" t="s">
        <v>744</v>
      </c>
      <c r="H188" s="55" t="s">
        <v>745</v>
      </c>
      <c r="I188" s="5">
        <v>659</v>
      </c>
      <c r="J188" s="8" t="s">
        <v>18</v>
      </c>
      <c r="K188" s="5" t="s">
        <v>18</v>
      </c>
      <c r="L188" s="57" t="s">
        <v>18</v>
      </c>
      <c r="M188" s="54"/>
      <c r="N188" s="54"/>
    </row>
    <row r="189" spans="1:14" ht="67.5">
      <c r="A189" s="53" t="s">
        <v>748</v>
      </c>
      <c r="B189" s="54" t="s">
        <v>723</v>
      </c>
      <c r="C189" s="54" t="s">
        <v>724</v>
      </c>
      <c r="D189" s="54" t="s">
        <v>742</v>
      </c>
      <c r="E189" s="55" t="s">
        <v>166</v>
      </c>
      <c r="F189" s="56" t="s">
        <v>749</v>
      </c>
      <c r="G189" s="55" t="s">
        <v>744</v>
      </c>
      <c r="H189" s="55" t="s">
        <v>745</v>
      </c>
      <c r="I189" s="5">
        <v>2382</v>
      </c>
      <c r="J189" s="8" t="s">
        <v>18</v>
      </c>
      <c r="K189" s="5" t="s">
        <v>18</v>
      </c>
      <c r="L189" s="57" t="s">
        <v>18</v>
      </c>
      <c r="M189" s="54"/>
      <c r="N189" s="54"/>
    </row>
    <row r="190" spans="1:14" ht="67.5">
      <c r="A190" s="53" t="s">
        <v>750</v>
      </c>
      <c r="B190" s="54" t="s">
        <v>723</v>
      </c>
      <c r="C190" s="54" t="s">
        <v>724</v>
      </c>
      <c r="D190" s="54" t="s">
        <v>742</v>
      </c>
      <c r="E190" s="55" t="s">
        <v>166</v>
      </c>
      <c r="F190" s="56" t="s">
        <v>751</v>
      </c>
      <c r="G190" s="55" t="s">
        <v>752</v>
      </c>
      <c r="H190" s="55" t="s">
        <v>753</v>
      </c>
      <c r="I190" s="5">
        <v>1317.4</v>
      </c>
      <c r="J190" s="8" t="s">
        <v>18</v>
      </c>
      <c r="K190" s="5" t="s">
        <v>18</v>
      </c>
      <c r="L190" s="57" t="s">
        <v>18</v>
      </c>
      <c r="M190" s="54"/>
      <c r="N190" s="54"/>
    </row>
    <row r="191" spans="1:14" ht="67.5">
      <c r="A191" s="53" t="s">
        <v>754</v>
      </c>
      <c r="B191" s="54" t="s">
        <v>723</v>
      </c>
      <c r="C191" s="54" t="s">
        <v>724</v>
      </c>
      <c r="D191" s="54" t="s">
        <v>742</v>
      </c>
      <c r="E191" s="55" t="s">
        <v>166</v>
      </c>
      <c r="F191" s="56" t="s">
        <v>755</v>
      </c>
      <c r="G191" s="55" t="s">
        <v>752</v>
      </c>
      <c r="H191" s="55" t="s">
        <v>753</v>
      </c>
      <c r="I191" s="5">
        <v>988.5</v>
      </c>
      <c r="J191" s="8" t="s">
        <v>18</v>
      </c>
      <c r="K191" s="5" t="s">
        <v>18</v>
      </c>
      <c r="L191" s="57" t="s">
        <v>18</v>
      </c>
      <c r="M191" s="54"/>
      <c r="N191" s="54"/>
    </row>
    <row r="192" spans="1:14" ht="22.5">
      <c r="A192" s="51" t="s">
        <v>756</v>
      </c>
      <c r="B192" s="13" t="s">
        <v>723</v>
      </c>
      <c r="C192" s="13" t="s">
        <v>724</v>
      </c>
      <c r="D192" s="13" t="s">
        <v>757</v>
      </c>
      <c r="E192" s="17" t="s">
        <v>166</v>
      </c>
      <c r="F192" s="17" t="s">
        <v>758</v>
      </c>
      <c r="G192" s="17" t="s">
        <v>759</v>
      </c>
      <c r="H192" s="17" t="s">
        <v>760</v>
      </c>
      <c r="I192" s="5">
        <v>2382</v>
      </c>
      <c r="J192" s="17" t="s">
        <v>18</v>
      </c>
      <c r="K192" s="16" t="s">
        <v>18</v>
      </c>
      <c r="L192" s="25" t="s">
        <v>18</v>
      </c>
      <c r="M192" s="11"/>
      <c r="N192" s="11"/>
    </row>
    <row r="193" spans="1:14" ht="22.5">
      <c r="A193" s="51" t="s">
        <v>761</v>
      </c>
      <c r="B193" s="13" t="s">
        <v>723</v>
      </c>
      <c r="C193" s="13" t="s">
        <v>724</v>
      </c>
      <c r="D193" s="13" t="s">
        <v>757</v>
      </c>
      <c r="E193" s="17" t="s">
        <v>166</v>
      </c>
      <c r="F193" s="17" t="s">
        <v>762</v>
      </c>
      <c r="G193" s="17" t="s">
        <v>759</v>
      </c>
      <c r="H193" s="17" t="s">
        <v>760</v>
      </c>
      <c r="I193" s="5">
        <v>593.1</v>
      </c>
      <c r="J193" s="17" t="s">
        <v>18</v>
      </c>
      <c r="K193" s="16" t="s">
        <v>18</v>
      </c>
      <c r="L193" s="25" t="s">
        <v>18</v>
      </c>
      <c r="M193" s="11"/>
      <c r="N193" s="11"/>
    </row>
    <row r="194" spans="1:14" ht="22.5">
      <c r="A194" s="51" t="s">
        <v>763</v>
      </c>
      <c r="B194" s="13" t="s">
        <v>723</v>
      </c>
      <c r="C194" s="13" t="s">
        <v>724</v>
      </c>
      <c r="D194" s="13" t="s">
        <v>757</v>
      </c>
      <c r="E194" s="4" t="s">
        <v>166</v>
      </c>
      <c r="F194" s="17" t="s">
        <v>764</v>
      </c>
      <c r="G194" s="17" t="s">
        <v>759</v>
      </c>
      <c r="H194" s="17" t="s">
        <v>760</v>
      </c>
      <c r="I194" s="5">
        <v>658.7</v>
      </c>
      <c r="J194" s="17" t="s">
        <v>18</v>
      </c>
      <c r="K194" s="16" t="s">
        <v>18</v>
      </c>
      <c r="L194" s="25" t="s">
        <v>18</v>
      </c>
      <c r="M194" s="11"/>
      <c r="N194" s="11"/>
    </row>
    <row r="195" spans="1:14" ht="22.5">
      <c r="A195" s="51" t="s">
        <v>765</v>
      </c>
      <c r="B195" s="13" t="s">
        <v>723</v>
      </c>
      <c r="C195" s="13" t="s">
        <v>724</v>
      </c>
      <c r="D195" s="13" t="s">
        <v>766</v>
      </c>
      <c r="E195" s="17" t="s">
        <v>166</v>
      </c>
      <c r="F195" s="17" t="s">
        <v>767</v>
      </c>
      <c r="G195" s="17" t="s">
        <v>759</v>
      </c>
      <c r="H195" s="17" t="s">
        <v>760</v>
      </c>
      <c r="I195" s="5">
        <v>4816.1000000000004</v>
      </c>
      <c r="J195" s="17" t="s">
        <v>18</v>
      </c>
      <c r="K195" s="16" t="s">
        <v>18</v>
      </c>
      <c r="L195" s="25" t="s">
        <v>18</v>
      </c>
      <c r="M195" s="11"/>
      <c r="N195" s="11"/>
    </row>
    <row r="196" spans="1:14" ht="22.5">
      <c r="A196" s="51" t="s">
        <v>768</v>
      </c>
      <c r="B196" s="13" t="s">
        <v>723</v>
      </c>
      <c r="C196" s="13" t="s">
        <v>724</v>
      </c>
      <c r="D196" s="13" t="s">
        <v>766</v>
      </c>
      <c r="E196" s="17" t="s">
        <v>166</v>
      </c>
      <c r="F196" s="17" t="s">
        <v>769</v>
      </c>
      <c r="G196" s="17" t="s">
        <v>759</v>
      </c>
      <c r="H196" s="17" t="s">
        <v>760</v>
      </c>
      <c r="I196" s="5">
        <v>2093.6</v>
      </c>
      <c r="J196" s="17" t="s">
        <v>18</v>
      </c>
      <c r="K196" s="16" t="s">
        <v>18</v>
      </c>
      <c r="L196" s="25" t="s">
        <v>18</v>
      </c>
      <c r="M196" s="11"/>
      <c r="N196" s="11"/>
    </row>
    <row r="197" spans="1:14" ht="22.5">
      <c r="A197" s="51" t="s">
        <v>770</v>
      </c>
      <c r="B197" s="13" t="s">
        <v>723</v>
      </c>
      <c r="C197" s="13" t="s">
        <v>724</v>
      </c>
      <c r="D197" s="13" t="s">
        <v>766</v>
      </c>
      <c r="E197" s="17" t="s">
        <v>166</v>
      </c>
      <c r="F197" s="17" t="s">
        <v>771</v>
      </c>
      <c r="G197" s="17" t="s">
        <v>759</v>
      </c>
      <c r="H197" s="17" t="s">
        <v>760</v>
      </c>
      <c r="I197" s="5">
        <v>817.6</v>
      </c>
      <c r="J197" s="17" t="s">
        <v>18</v>
      </c>
      <c r="K197" s="16" t="s">
        <v>18</v>
      </c>
      <c r="L197" s="25" t="s">
        <v>18</v>
      </c>
      <c r="M197" s="11"/>
      <c r="N197" s="11"/>
    </row>
    <row r="198" spans="1:14" ht="67.5">
      <c r="A198" s="51" t="s">
        <v>772</v>
      </c>
      <c r="B198" s="13" t="s">
        <v>723</v>
      </c>
      <c r="C198" s="13" t="s">
        <v>724</v>
      </c>
      <c r="D198" s="13" t="s">
        <v>773</v>
      </c>
      <c r="E198" s="17" t="s">
        <v>166</v>
      </c>
      <c r="F198" s="17" t="s">
        <v>774</v>
      </c>
      <c r="G198" s="17" t="s">
        <v>775</v>
      </c>
      <c r="H198" s="17" t="s">
        <v>745</v>
      </c>
      <c r="I198" s="5">
        <v>817.6</v>
      </c>
      <c r="J198" s="17" t="s">
        <v>18</v>
      </c>
      <c r="K198" s="17" t="s">
        <v>18</v>
      </c>
      <c r="L198" s="25" t="s">
        <v>18</v>
      </c>
      <c r="M198" s="11"/>
      <c r="N198" s="11"/>
    </row>
    <row r="199" spans="1:14" ht="33.75">
      <c r="A199" s="11">
        <v>9175232</v>
      </c>
      <c r="B199" s="11" t="s">
        <v>723</v>
      </c>
      <c r="C199" s="11" t="s">
        <v>724</v>
      </c>
      <c r="D199" s="11" t="s">
        <v>3764</v>
      </c>
      <c r="E199" s="4" t="s">
        <v>166</v>
      </c>
      <c r="F199" s="4" t="s">
        <v>776</v>
      </c>
      <c r="G199" s="4" t="s">
        <v>777</v>
      </c>
      <c r="H199" s="4" t="s">
        <v>54</v>
      </c>
      <c r="I199" s="5">
        <v>658.7</v>
      </c>
      <c r="J199" s="17" t="s">
        <v>18</v>
      </c>
      <c r="K199" s="16" t="s">
        <v>18</v>
      </c>
      <c r="L199" s="25" t="s">
        <v>18</v>
      </c>
      <c r="M199" s="11"/>
      <c r="N199" s="11"/>
    </row>
    <row r="200" spans="1:14" ht="33.75">
      <c r="A200" s="11">
        <v>9175235</v>
      </c>
      <c r="B200" s="11" t="s">
        <v>723</v>
      </c>
      <c r="C200" s="11" t="s">
        <v>724</v>
      </c>
      <c r="D200" s="11" t="s">
        <v>3764</v>
      </c>
      <c r="E200" s="4" t="s">
        <v>166</v>
      </c>
      <c r="F200" s="4" t="s">
        <v>778</v>
      </c>
      <c r="G200" s="4" t="s">
        <v>777</v>
      </c>
      <c r="H200" s="4" t="s">
        <v>54</v>
      </c>
      <c r="I200" s="5">
        <v>595.5</v>
      </c>
      <c r="J200" s="17" t="s">
        <v>18</v>
      </c>
      <c r="K200" s="16" t="s">
        <v>18</v>
      </c>
      <c r="L200" s="25" t="s">
        <v>18</v>
      </c>
      <c r="M200" s="11"/>
      <c r="N200" s="11"/>
    </row>
    <row r="201" spans="1:14" ht="33.75">
      <c r="A201" s="11">
        <v>9175234</v>
      </c>
      <c r="B201" s="11" t="s">
        <v>723</v>
      </c>
      <c r="C201" s="11" t="s">
        <v>724</v>
      </c>
      <c r="D201" s="11" t="s">
        <v>3765</v>
      </c>
      <c r="E201" s="4" t="s">
        <v>166</v>
      </c>
      <c r="F201" s="4" t="s">
        <v>779</v>
      </c>
      <c r="G201" s="4" t="s">
        <v>777</v>
      </c>
      <c r="H201" s="4" t="s">
        <v>54</v>
      </c>
      <c r="I201" s="5">
        <v>817.6</v>
      </c>
      <c r="J201" s="17" t="s">
        <v>18</v>
      </c>
      <c r="K201" s="17" t="s">
        <v>18</v>
      </c>
      <c r="L201" s="25" t="s">
        <v>18</v>
      </c>
      <c r="M201" s="11"/>
      <c r="N201" s="11"/>
    </row>
    <row r="202" spans="1:14" ht="213.75">
      <c r="A202" s="50" t="s">
        <v>780</v>
      </c>
      <c r="B202" s="11" t="s">
        <v>781</v>
      </c>
      <c r="C202" s="11" t="s">
        <v>782</v>
      </c>
      <c r="D202" s="11" t="s">
        <v>783</v>
      </c>
      <c r="E202" s="4" t="s">
        <v>708</v>
      </c>
      <c r="F202" s="4" t="s">
        <v>784</v>
      </c>
      <c r="G202" s="4" t="s">
        <v>785</v>
      </c>
      <c r="H202" s="4" t="s">
        <v>786</v>
      </c>
      <c r="I202" s="6">
        <v>9640.6</v>
      </c>
      <c r="J202" s="6" t="s">
        <v>18</v>
      </c>
      <c r="K202" s="6" t="s">
        <v>18</v>
      </c>
      <c r="L202" s="25" t="s">
        <v>18</v>
      </c>
      <c r="M202" s="11"/>
      <c r="N202" s="11"/>
    </row>
    <row r="203" spans="1:14" ht="213.75">
      <c r="A203" s="50" t="s">
        <v>787</v>
      </c>
      <c r="B203" s="11" t="s">
        <v>781</v>
      </c>
      <c r="C203" s="11" t="s">
        <v>788</v>
      </c>
      <c r="D203" s="11" t="s">
        <v>783</v>
      </c>
      <c r="E203" s="4" t="s">
        <v>708</v>
      </c>
      <c r="F203" s="4" t="s">
        <v>789</v>
      </c>
      <c r="G203" s="4" t="s">
        <v>785</v>
      </c>
      <c r="H203" s="4" t="s">
        <v>786</v>
      </c>
      <c r="I203" s="6">
        <v>11374.6</v>
      </c>
      <c r="J203" s="6" t="s">
        <v>18</v>
      </c>
      <c r="K203" s="6" t="s">
        <v>18</v>
      </c>
      <c r="L203" s="25" t="s">
        <v>18</v>
      </c>
      <c r="M203" s="11"/>
      <c r="N203" s="11"/>
    </row>
    <row r="204" spans="1:14" ht="213.75">
      <c r="A204" s="50" t="s">
        <v>790</v>
      </c>
      <c r="B204" s="11" t="s">
        <v>781</v>
      </c>
      <c r="C204" s="11" t="s">
        <v>782</v>
      </c>
      <c r="D204" s="11" t="s">
        <v>783</v>
      </c>
      <c r="E204" s="4" t="s">
        <v>708</v>
      </c>
      <c r="F204" s="4" t="s">
        <v>791</v>
      </c>
      <c r="G204" s="4" t="s">
        <v>785</v>
      </c>
      <c r="H204" s="4" t="s">
        <v>786</v>
      </c>
      <c r="I204" s="6">
        <v>17136.900000000001</v>
      </c>
      <c r="J204" s="6" t="s">
        <v>18</v>
      </c>
      <c r="K204" s="6" t="s">
        <v>18</v>
      </c>
      <c r="L204" s="25" t="s">
        <v>18</v>
      </c>
      <c r="M204" s="11"/>
      <c r="N204" s="11"/>
    </row>
    <row r="205" spans="1:14" ht="213.75">
      <c r="A205" s="50" t="s">
        <v>792</v>
      </c>
      <c r="B205" s="11" t="s">
        <v>781</v>
      </c>
      <c r="C205" s="11" t="s">
        <v>782</v>
      </c>
      <c r="D205" s="11" t="s">
        <v>793</v>
      </c>
      <c r="E205" s="4" t="s">
        <v>708</v>
      </c>
      <c r="F205" s="4" t="s">
        <v>794</v>
      </c>
      <c r="G205" s="4" t="s">
        <v>785</v>
      </c>
      <c r="H205" s="4" t="s">
        <v>786</v>
      </c>
      <c r="I205" s="6">
        <v>11270.2</v>
      </c>
      <c r="J205" s="6" t="s">
        <v>18</v>
      </c>
      <c r="K205" s="6" t="s">
        <v>18</v>
      </c>
      <c r="L205" s="25" t="s">
        <v>18</v>
      </c>
      <c r="M205" s="11"/>
      <c r="N205" s="11"/>
    </row>
    <row r="206" spans="1:14" ht="180">
      <c r="A206" s="50" t="s">
        <v>795</v>
      </c>
      <c r="B206" s="11" t="s">
        <v>781</v>
      </c>
      <c r="C206" s="11" t="s">
        <v>796</v>
      </c>
      <c r="D206" s="11" t="s">
        <v>797</v>
      </c>
      <c r="E206" s="4" t="s">
        <v>708</v>
      </c>
      <c r="F206" s="4" t="s">
        <v>798</v>
      </c>
      <c r="G206" s="4" t="s">
        <v>799</v>
      </c>
      <c r="H206" s="4" t="s">
        <v>284</v>
      </c>
      <c r="I206" s="6">
        <v>13578.4</v>
      </c>
      <c r="J206" s="6" t="s">
        <v>18</v>
      </c>
      <c r="K206" s="6" t="s">
        <v>18</v>
      </c>
      <c r="L206" s="25" t="s">
        <v>18</v>
      </c>
      <c r="M206" s="11"/>
      <c r="N206" s="11"/>
    </row>
    <row r="207" spans="1:14" ht="180">
      <c r="A207" s="50" t="s">
        <v>800</v>
      </c>
      <c r="B207" s="11" t="s">
        <v>781</v>
      </c>
      <c r="C207" s="11" t="s">
        <v>796</v>
      </c>
      <c r="D207" s="11" t="s">
        <v>801</v>
      </c>
      <c r="E207" s="4" t="s">
        <v>708</v>
      </c>
      <c r="F207" s="4" t="s">
        <v>802</v>
      </c>
      <c r="G207" s="4" t="s">
        <v>799</v>
      </c>
      <c r="H207" s="4" t="s">
        <v>284</v>
      </c>
      <c r="I207" s="6">
        <v>15712.1</v>
      </c>
      <c r="J207" s="6" t="s">
        <v>18</v>
      </c>
      <c r="K207" s="6" t="s">
        <v>18</v>
      </c>
      <c r="L207" s="25" t="s">
        <v>18</v>
      </c>
      <c r="M207" s="11"/>
      <c r="N207" s="11"/>
    </row>
    <row r="208" spans="1:14" ht="180">
      <c r="A208" s="50" t="s">
        <v>803</v>
      </c>
      <c r="B208" s="11" t="s">
        <v>781</v>
      </c>
      <c r="C208" s="11" t="s">
        <v>796</v>
      </c>
      <c r="D208" s="11" t="s">
        <v>801</v>
      </c>
      <c r="E208" s="4" t="s">
        <v>708</v>
      </c>
      <c r="F208" s="4" t="s">
        <v>804</v>
      </c>
      <c r="G208" s="4" t="s">
        <v>799</v>
      </c>
      <c r="H208" s="4" t="s">
        <v>284</v>
      </c>
      <c r="I208" s="6">
        <v>15522.6</v>
      </c>
      <c r="J208" s="6" t="s">
        <v>18</v>
      </c>
      <c r="K208" s="6" t="s">
        <v>18</v>
      </c>
      <c r="L208" s="25" t="s">
        <v>18</v>
      </c>
      <c r="M208" s="11"/>
      <c r="N208" s="11"/>
    </row>
    <row r="209" spans="1:14" ht="337.5">
      <c r="A209" s="90" t="s">
        <v>806</v>
      </c>
      <c r="B209" s="90" t="s">
        <v>781</v>
      </c>
      <c r="C209" s="54" t="s">
        <v>807</v>
      </c>
      <c r="D209" s="54" t="s">
        <v>808</v>
      </c>
      <c r="E209" s="55" t="s">
        <v>708</v>
      </c>
      <c r="F209" s="55" t="s">
        <v>809</v>
      </c>
      <c r="G209" s="55" t="s">
        <v>712</v>
      </c>
      <c r="H209" s="55" t="s">
        <v>273</v>
      </c>
      <c r="I209" s="6">
        <v>15680.5</v>
      </c>
      <c r="J209" s="4" t="s">
        <v>18</v>
      </c>
      <c r="K209" s="4" t="s">
        <v>18</v>
      </c>
      <c r="L209" s="57" t="s">
        <v>18</v>
      </c>
      <c r="M209" s="54"/>
      <c r="N209" s="54"/>
    </row>
    <row r="210" spans="1:14" ht="337.5">
      <c r="A210" s="90" t="s">
        <v>810</v>
      </c>
      <c r="B210" s="90" t="s">
        <v>781</v>
      </c>
      <c r="C210" s="54" t="s">
        <v>807</v>
      </c>
      <c r="D210" s="54" t="s">
        <v>808</v>
      </c>
      <c r="E210" s="55" t="s">
        <v>708</v>
      </c>
      <c r="F210" s="55" t="s">
        <v>811</v>
      </c>
      <c r="G210" s="55" t="s">
        <v>812</v>
      </c>
      <c r="H210" s="55" t="s">
        <v>786</v>
      </c>
      <c r="I210" s="6">
        <v>13643</v>
      </c>
      <c r="J210" s="4" t="s">
        <v>18</v>
      </c>
      <c r="K210" s="4" t="s">
        <v>18</v>
      </c>
      <c r="L210" s="57" t="s">
        <v>18</v>
      </c>
      <c r="M210" s="54"/>
      <c r="N210" s="54"/>
    </row>
    <row r="211" spans="1:14" ht="281.25">
      <c r="A211" s="50" t="s">
        <v>813</v>
      </c>
      <c r="B211" s="54" t="s">
        <v>781</v>
      </c>
      <c r="C211" s="54" t="s">
        <v>814</v>
      </c>
      <c r="D211" s="54" t="s">
        <v>815</v>
      </c>
      <c r="E211" s="55" t="s">
        <v>708</v>
      </c>
      <c r="F211" s="55" t="s">
        <v>816</v>
      </c>
      <c r="G211" s="55" t="s">
        <v>712</v>
      </c>
      <c r="H211" s="55" t="s">
        <v>273</v>
      </c>
      <c r="I211" s="6">
        <v>10515</v>
      </c>
      <c r="J211" s="4" t="s">
        <v>18</v>
      </c>
      <c r="K211" s="4" t="s">
        <v>18</v>
      </c>
      <c r="L211" s="57" t="s">
        <v>18</v>
      </c>
      <c r="M211" s="54"/>
      <c r="N211" s="54"/>
    </row>
    <row r="212" spans="1:14" ht="281.25">
      <c r="A212" s="50" t="s">
        <v>817</v>
      </c>
      <c r="B212" s="11" t="s">
        <v>781</v>
      </c>
      <c r="C212" s="11" t="s">
        <v>814</v>
      </c>
      <c r="D212" s="11" t="s">
        <v>815</v>
      </c>
      <c r="E212" s="4" t="s">
        <v>708</v>
      </c>
      <c r="F212" s="4" t="s">
        <v>818</v>
      </c>
      <c r="G212" s="4" t="s">
        <v>712</v>
      </c>
      <c r="H212" s="4" t="s">
        <v>273</v>
      </c>
      <c r="I212" s="6">
        <v>15318</v>
      </c>
      <c r="J212" s="25" t="s">
        <v>18</v>
      </c>
      <c r="K212" s="25" t="s">
        <v>18</v>
      </c>
      <c r="L212" s="25" t="s">
        <v>18</v>
      </c>
      <c r="M212" s="11"/>
      <c r="N212" s="11"/>
    </row>
    <row r="213" spans="1:14" ht="33.75">
      <c r="A213" s="50" t="s">
        <v>819</v>
      </c>
      <c r="B213" s="11" t="s">
        <v>820</v>
      </c>
      <c r="C213" s="11" t="s">
        <v>821</v>
      </c>
      <c r="D213" s="11" t="s">
        <v>822</v>
      </c>
      <c r="E213" s="4" t="s">
        <v>166</v>
      </c>
      <c r="F213" s="4" t="s">
        <v>823</v>
      </c>
      <c r="G213" s="4" t="s">
        <v>15</v>
      </c>
      <c r="H213" s="4" t="s">
        <v>16</v>
      </c>
      <c r="I213" s="6">
        <v>95.7</v>
      </c>
      <c r="J213" s="6" t="s">
        <v>18</v>
      </c>
      <c r="K213" s="6" t="s">
        <v>18</v>
      </c>
      <c r="L213" s="25" t="s">
        <v>18</v>
      </c>
      <c r="M213" s="11"/>
      <c r="N213" s="11"/>
    </row>
    <row r="214" spans="1:14" ht="45">
      <c r="A214" s="9" t="s">
        <v>824</v>
      </c>
      <c r="B214" s="11" t="s">
        <v>820</v>
      </c>
      <c r="C214" s="1" t="s">
        <v>825</v>
      </c>
      <c r="D214" s="11" t="s">
        <v>826</v>
      </c>
      <c r="E214" s="4" t="s">
        <v>166</v>
      </c>
      <c r="F214" s="4" t="s">
        <v>827</v>
      </c>
      <c r="G214" s="4" t="s">
        <v>828</v>
      </c>
      <c r="H214" s="4" t="s">
        <v>34</v>
      </c>
      <c r="I214" s="6">
        <v>957.5</v>
      </c>
      <c r="J214" s="6" t="s">
        <v>18</v>
      </c>
      <c r="K214" s="6" t="s">
        <v>18</v>
      </c>
      <c r="L214" s="25" t="s">
        <v>18</v>
      </c>
      <c r="M214" s="11"/>
      <c r="N214" s="11"/>
    </row>
    <row r="215" spans="1:14" ht="45">
      <c r="A215" s="9" t="s">
        <v>829</v>
      </c>
      <c r="B215" s="11" t="s">
        <v>820</v>
      </c>
      <c r="C215" s="1" t="s">
        <v>825</v>
      </c>
      <c r="D215" s="11" t="s">
        <v>826</v>
      </c>
      <c r="E215" s="4" t="s">
        <v>166</v>
      </c>
      <c r="F215" s="4" t="s">
        <v>830</v>
      </c>
      <c r="G215" s="4" t="s">
        <v>805</v>
      </c>
      <c r="H215" s="4" t="s">
        <v>34</v>
      </c>
      <c r="I215" s="6">
        <v>1862.4</v>
      </c>
      <c r="J215" s="6" t="s">
        <v>18</v>
      </c>
      <c r="K215" s="6" t="s">
        <v>18</v>
      </c>
      <c r="L215" s="25" t="s">
        <v>18</v>
      </c>
      <c r="M215" s="11"/>
      <c r="N215" s="11"/>
    </row>
    <row r="216" spans="1:14" ht="33.75">
      <c r="A216" s="50" t="s">
        <v>831</v>
      </c>
      <c r="B216" s="11" t="s">
        <v>820</v>
      </c>
      <c r="C216" s="11" t="s">
        <v>821</v>
      </c>
      <c r="D216" s="11" t="s">
        <v>822</v>
      </c>
      <c r="E216" s="4" t="s">
        <v>166</v>
      </c>
      <c r="F216" s="4" t="s">
        <v>832</v>
      </c>
      <c r="G216" s="4" t="s">
        <v>695</v>
      </c>
      <c r="H216" s="4" t="s">
        <v>696</v>
      </c>
      <c r="I216" s="6">
        <v>77.5</v>
      </c>
      <c r="J216" s="6" t="s">
        <v>18</v>
      </c>
      <c r="K216" s="6" t="s">
        <v>18</v>
      </c>
      <c r="L216" s="25" t="s">
        <v>18</v>
      </c>
      <c r="M216" s="11"/>
      <c r="N216" s="11"/>
    </row>
    <row r="217" spans="1:14" ht="45">
      <c r="A217" s="50" t="s">
        <v>833</v>
      </c>
      <c r="B217" s="11" t="s">
        <v>820</v>
      </c>
      <c r="C217" s="11" t="s">
        <v>834</v>
      </c>
      <c r="D217" s="11" t="s">
        <v>835</v>
      </c>
      <c r="E217" s="4" t="s">
        <v>166</v>
      </c>
      <c r="F217" s="4" t="s">
        <v>836</v>
      </c>
      <c r="G217" s="4" t="s">
        <v>837</v>
      </c>
      <c r="H217" s="4" t="s">
        <v>838</v>
      </c>
      <c r="I217" s="6">
        <v>88.7</v>
      </c>
      <c r="J217" s="6" t="s">
        <v>18</v>
      </c>
      <c r="K217" s="6" t="s">
        <v>18</v>
      </c>
      <c r="L217" s="25" t="s">
        <v>18</v>
      </c>
      <c r="M217" s="11"/>
      <c r="N217" s="11"/>
    </row>
    <row r="218" spans="1:14" ht="33.75">
      <c r="A218" s="51" t="s">
        <v>839</v>
      </c>
      <c r="B218" s="13" t="s">
        <v>820</v>
      </c>
      <c r="C218" s="13" t="s">
        <v>825</v>
      </c>
      <c r="D218" s="13" t="s">
        <v>840</v>
      </c>
      <c r="E218" s="17" t="s">
        <v>166</v>
      </c>
      <c r="F218" s="17" t="s">
        <v>841</v>
      </c>
      <c r="G218" s="17" t="s">
        <v>759</v>
      </c>
      <c r="H218" s="17" t="s">
        <v>760</v>
      </c>
      <c r="I218" s="5">
        <v>775</v>
      </c>
      <c r="J218" s="17" t="s">
        <v>18</v>
      </c>
      <c r="K218" s="16" t="s">
        <v>18</v>
      </c>
      <c r="L218" s="25" t="s">
        <v>18</v>
      </c>
      <c r="M218" s="11"/>
      <c r="N218" s="11"/>
    </row>
    <row r="219" spans="1:14" ht="78.75">
      <c r="A219" s="50" t="s">
        <v>842</v>
      </c>
      <c r="B219" s="11" t="s">
        <v>820</v>
      </c>
      <c r="C219" s="2" t="s">
        <v>825</v>
      </c>
      <c r="D219" s="11" t="s">
        <v>843</v>
      </c>
      <c r="E219" s="4" t="s">
        <v>166</v>
      </c>
      <c r="F219" s="4" t="s">
        <v>844</v>
      </c>
      <c r="G219" s="4" t="s">
        <v>845</v>
      </c>
      <c r="H219" s="4" t="s">
        <v>846</v>
      </c>
      <c r="I219" s="5">
        <v>775</v>
      </c>
      <c r="J219" s="17" t="s">
        <v>18</v>
      </c>
      <c r="K219" s="16" t="s">
        <v>18</v>
      </c>
      <c r="L219" s="25" t="s">
        <v>18</v>
      </c>
      <c r="M219" s="11"/>
      <c r="N219" s="11"/>
    </row>
    <row r="220" spans="1:14" ht="45">
      <c r="A220" s="50" t="s">
        <v>847</v>
      </c>
      <c r="B220" s="11" t="s">
        <v>820</v>
      </c>
      <c r="C220" s="11" t="s">
        <v>848</v>
      </c>
      <c r="D220" s="11" t="s">
        <v>3549</v>
      </c>
      <c r="E220" s="4" t="s">
        <v>166</v>
      </c>
      <c r="F220" s="4" t="s">
        <v>849</v>
      </c>
      <c r="G220" s="4" t="s">
        <v>15</v>
      </c>
      <c r="H220" s="4" t="s">
        <v>16</v>
      </c>
      <c r="I220" s="6">
        <v>111.5</v>
      </c>
      <c r="J220" s="6" t="s">
        <v>18</v>
      </c>
      <c r="K220" s="6" t="s">
        <v>18</v>
      </c>
      <c r="L220" s="25" t="s">
        <v>18</v>
      </c>
      <c r="M220" s="11"/>
      <c r="N220" s="11"/>
    </row>
    <row r="221" spans="1:14" ht="45">
      <c r="A221" s="50" t="s">
        <v>850</v>
      </c>
      <c r="B221" s="11" t="s">
        <v>820</v>
      </c>
      <c r="C221" s="11" t="s">
        <v>848</v>
      </c>
      <c r="D221" s="11" t="s">
        <v>851</v>
      </c>
      <c r="E221" s="4" t="s">
        <v>166</v>
      </c>
      <c r="F221" s="4" t="s">
        <v>852</v>
      </c>
      <c r="G221" s="4" t="s">
        <v>853</v>
      </c>
      <c r="H221" s="4" t="s">
        <v>838</v>
      </c>
      <c r="I221" s="6">
        <v>92.7</v>
      </c>
      <c r="J221" s="6" t="s">
        <v>18</v>
      </c>
      <c r="K221" s="6" t="s">
        <v>18</v>
      </c>
      <c r="L221" s="25" t="s">
        <v>18</v>
      </c>
      <c r="M221" s="11"/>
      <c r="N221" s="11"/>
    </row>
    <row r="222" spans="1:14" ht="45">
      <c r="A222" s="9" t="s">
        <v>854</v>
      </c>
      <c r="B222" s="11" t="s">
        <v>820</v>
      </c>
      <c r="C222" s="1" t="s">
        <v>848</v>
      </c>
      <c r="D222" s="11" t="s">
        <v>855</v>
      </c>
      <c r="E222" s="4" t="s">
        <v>166</v>
      </c>
      <c r="F222" s="89" t="s">
        <v>856</v>
      </c>
      <c r="G222" s="4" t="s">
        <v>737</v>
      </c>
      <c r="H222" s="4" t="s">
        <v>734</v>
      </c>
      <c r="I222" s="6">
        <v>1114.5999999999999</v>
      </c>
      <c r="J222" s="6" t="s">
        <v>18</v>
      </c>
      <c r="K222" s="6" t="s">
        <v>18</v>
      </c>
      <c r="L222" s="25" t="s">
        <v>18</v>
      </c>
      <c r="M222" s="11"/>
      <c r="N222" s="11"/>
    </row>
    <row r="223" spans="1:14" ht="45">
      <c r="A223" s="9" t="s">
        <v>857</v>
      </c>
      <c r="B223" s="11" t="s">
        <v>820</v>
      </c>
      <c r="C223" s="1" t="s">
        <v>848</v>
      </c>
      <c r="D223" s="11" t="s">
        <v>855</v>
      </c>
      <c r="E223" s="4" t="s">
        <v>166</v>
      </c>
      <c r="F223" s="4" t="s">
        <v>858</v>
      </c>
      <c r="G223" s="4" t="s">
        <v>737</v>
      </c>
      <c r="H223" s="4" t="s">
        <v>734</v>
      </c>
      <c r="I223" s="6">
        <v>1872.8</v>
      </c>
      <c r="J223" s="6" t="s">
        <v>18</v>
      </c>
      <c r="K223" s="6" t="s">
        <v>18</v>
      </c>
      <c r="L223" s="25" t="s">
        <v>18</v>
      </c>
      <c r="M223" s="11"/>
      <c r="N223" s="11"/>
    </row>
    <row r="224" spans="1:14" ht="67.5">
      <c r="A224" s="50" t="s">
        <v>859</v>
      </c>
      <c r="B224" s="11" t="s">
        <v>820</v>
      </c>
      <c r="C224" s="11" t="s">
        <v>848</v>
      </c>
      <c r="D224" s="11" t="s">
        <v>860</v>
      </c>
      <c r="E224" s="4" t="s">
        <v>166</v>
      </c>
      <c r="F224" s="91" t="s">
        <v>861</v>
      </c>
      <c r="G224" s="4" t="s">
        <v>862</v>
      </c>
      <c r="H224" s="4" t="s">
        <v>846</v>
      </c>
      <c r="I224" s="6">
        <v>765</v>
      </c>
      <c r="J224" s="6" t="s">
        <v>18</v>
      </c>
      <c r="K224" s="6" t="s">
        <v>18</v>
      </c>
      <c r="L224" s="25" t="s">
        <v>18</v>
      </c>
      <c r="M224" s="11"/>
      <c r="N224" s="11"/>
    </row>
    <row r="225" spans="1:14" ht="45">
      <c r="A225" s="50" t="s">
        <v>863</v>
      </c>
      <c r="B225" s="13" t="s">
        <v>820</v>
      </c>
      <c r="C225" s="54" t="s">
        <v>848</v>
      </c>
      <c r="D225" s="11" t="s">
        <v>864</v>
      </c>
      <c r="E225" s="55" t="s">
        <v>166</v>
      </c>
      <c r="F225" s="55" t="s">
        <v>865</v>
      </c>
      <c r="G225" s="55" t="s">
        <v>777</v>
      </c>
      <c r="H225" s="55" t="s">
        <v>54</v>
      </c>
      <c r="I225" s="6">
        <v>765</v>
      </c>
      <c r="J225" s="6" t="s">
        <v>18</v>
      </c>
      <c r="K225" s="6" t="s">
        <v>18</v>
      </c>
      <c r="L225" s="25" t="s">
        <v>18</v>
      </c>
      <c r="M225" s="11"/>
      <c r="N225" s="11"/>
    </row>
    <row r="226" spans="1:14" ht="33.75">
      <c r="A226" s="53" t="s">
        <v>866</v>
      </c>
      <c r="B226" s="54" t="s">
        <v>820</v>
      </c>
      <c r="C226" s="54" t="s">
        <v>867</v>
      </c>
      <c r="D226" s="54" t="s">
        <v>868</v>
      </c>
      <c r="E226" s="55" t="s">
        <v>166</v>
      </c>
      <c r="F226" s="4" t="s">
        <v>869</v>
      </c>
      <c r="G226" s="4" t="s">
        <v>737</v>
      </c>
      <c r="H226" s="4" t="s">
        <v>738</v>
      </c>
      <c r="I226" s="6">
        <v>1640.3</v>
      </c>
      <c r="J226" s="21" t="s">
        <v>18</v>
      </c>
      <c r="K226" s="30" t="s">
        <v>18</v>
      </c>
      <c r="L226" s="57" t="s">
        <v>18</v>
      </c>
      <c r="M226" s="54"/>
      <c r="N226" s="54"/>
    </row>
    <row r="227" spans="1:14" ht="56.25">
      <c r="A227" s="50" t="s">
        <v>870</v>
      </c>
      <c r="B227" s="11" t="s">
        <v>820</v>
      </c>
      <c r="C227" s="11" t="s">
        <v>871</v>
      </c>
      <c r="D227" s="11" t="s">
        <v>872</v>
      </c>
      <c r="E227" s="4" t="s">
        <v>166</v>
      </c>
      <c r="F227" s="4" t="s">
        <v>873</v>
      </c>
      <c r="G227" s="4" t="s">
        <v>874</v>
      </c>
      <c r="H227" s="4" t="s">
        <v>875</v>
      </c>
      <c r="I227" s="6">
        <v>1674</v>
      </c>
      <c r="J227" s="6" t="s">
        <v>18</v>
      </c>
      <c r="K227" s="30" t="s">
        <v>18</v>
      </c>
      <c r="L227" s="25" t="s">
        <v>18</v>
      </c>
      <c r="M227" s="11"/>
      <c r="N227" s="11"/>
    </row>
    <row r="228" spans="1:14" ht="33.75">
      <c r="A228" s="60" t="s">
        <v>876</v>
      </c>
      <c r="B228" s="11" t="s">
        <v>820</v>
      </c>
      <c r="C228" s="1" t="s">
        <v>867</v>
      </c>
      <c r="D228" s="11" t="s">
        <v>872</v>
      </c>
      <c r="E228" s="4" t="s">
        <v>166</v>
      </c>
      <c r="F228" s="4" t="s">
        <v>877</v>
      </c>
      <c r="G228" s="4" t="s">
        <v>737</v>
      </c>
      <c r="H228" s="4" t="s">
        <v>734</v>
      </c>
      <c r="I228" s="6">
        <v>711.3</v>
      </c>
      <c r="J228" s="6" t="s">
        <v>18</v>
      </c>
      <c r="K228" s="30" t="s">
        <v>18</v>
      </c>
      <c r="L228" s="25" t="s">
        <v>18</v>
      </c>
      <c r="M228" s="11"/>
      <c r="N228" s="11"/>
    </row>
    <row r="229" spans="1:14" ht="33.75">
      <c r="A229" s="9" t="s">
        <v>878</v>
      </c>
      <c r="B229" s="11" t="s">
        <v>820</v>
      </c>
      <c r="C229" s="1" t="s">
        <v>867</v>
      </c>
      <c r="D229" s="11" t="s">
        <v>872</v>
      </c>
      <c r="E229" s="4" t="s">
        <v>166</v>
      </c>
      <c r="F229" s="4" t="s">
        <v>879</v>
      </c>
      <c r="G229" s="4" t="s">
        <v>880</v>
      </c>
      <c r="H229" s="4" t="s">
        <v>734</v>
      </c>
      <c r="I229" s="6">
        <v>868.4</v>
      </c>
      <c r="J229" s="6" t="s">
        <v>18</v>
      </c>
      <c r="K229" s="6" t="s">
        <v>18</v>
      </c>
      <c r="L229" s="25" t="s">
        <v>18</v>
      </c>
      <c r="M229" s="11"/>
      <c r="N229" s="11"/>
    </row>
    <row r="230" spans="1:14" ht="56.25">
      <c r="A230" s="9" t="s">
        <v>881</v>
      </c>
      <c r="B230" s="11" t="s">
        <v>820</v>
      </c>
      <c r="C230" s="1" t="s">
        <v>867</v>
      </c>
      <c r="D230" s="11" t="s">
        <v>872</v>
      </c>
      <c r="E230" s="4" t="s">
        <v>166</v>
      </c>
      <c r="F230" s="4" t="s">
        <v>882</v>
      </c>
      <c r="G230" s="4" t="s">
        <v>883</v>
      </c>
      <c r="H230" s="4" t="s">
        <v>884</v>
      </c>
      <c r="I230" s="6">
        <v>1584</v>
      </c>
      <c r="J230" s="6" t="s">
        <v>18</v>
      </c>
      <c r="K230" s="6" t="s">
        <v>18</v>
      </c>
      <c r="L230" s="25" t="s">
        <v>18</v>
      </c>
      <c r="M230" s="11"/>
      <c r="N230" s="11"/>
    </row>
    <row r="231" spans="1:14" ht="33.75">
      <c r="A231" s="51" t="s">
        <v>885</v>
      </c>
      <c r="B231" s="13" t="s">
        <v>820</v>
      </c>
      <c r="C231" s="13" t="s">
        <v>871</v>
      </c>
      <c r="D231" s="13" t="s">
        <v>886</v>
      </c>
      <c r="E231" s="17" t="s">
        <v>166</v>
      </c>
      <c r="F231" s="17" t="s">
        <v>887</v>
      </c>
      <c r="G231" s="17" t="s">
        <v>759</v>
      </c>
      <c r="H231" s="17" t="s">
        <v>760</v>
      </c>
      <c r="I231" s="29">
        <v>2283.5</v>
      </c>
      <c r="J231" s="17" t="s">
        <v>18</v>
      </c>
      <c r="K231" s="16" t="s">
        <v>18</v>
      </c>
      <c r="L231" s="25" t="s">
        <v>18</v>
      </c>
      <c r="M231" s="11"/>
      <c r="N231" s="11"/>
    </row>
    <row r="232" spans="1:14" ht="33.75">
      <c r="A232" s="51" t="s">
        <v>888</v>
      </c>
      <c r="B232" s="13" t="s">
        <v>820</v>
      </c>
      <c r="C232" s="13" t="s">
        <v>871</v>
      </c>
      <c r="D232" s="13" t="s">
        <v>886</v>
      </c>
      <c r="E232" s="17" t="s">
        <v>166</v>
      </c>
      <c r="F232" s="17" t="s">
        <v>889</v>
      </c>
      <c r="G232" s="17" t="s">
        <v>759</v>
      </c>
      <c r="H232" s="17" t="s">
        <v>760</v>
      </c>
      <c r="I232" s="5">
        <v>934.5</v>
      </c>
      <c r="J232" s="17" t="s">
        <v>18</v>
      </c>
      <c r="K232" s="16" t="s">
        <v>18</v>
      </c>
      <c r="L232" s="25" t="s">
        <v>18</v>
      </c>
      <c r="M232" s="11"/>
      <c r="N232" s="11"/>
    </row>
    <row r="233" spans="1:14" ht="33.75">
      <c r="A233" s="51" t="s">
        <v>890</v>
      </c>
      <c r="B233" s="13" t="s">
        <v>820</v>
      </c>
      <c r="C233" s="13" t="s">
        <v>871</v>
      </c>
      <c r="D233" s="13" t="s">
        <v>886</v>
      </c>
      <c r="E233" s="17" t="s">
        <v>166</v>
      </c>
      <c r="F233" s="17" t="s">
        <v>891</v>
      </c>
      <c r="G233" s="17" t="s">
        <v>759</v>
      </c>
      <c r="H233" s="17" t="s">
        <v>760</v>
      </c>
      <c r="I233" s="6">
        <v>705</v>
      </c>
      <c r="J233" s="17" t="s">
        <v>18</v>
      </c>
      <c r="K233" s="16" t="s">
        <v>18</v>
      </c>
      <c r="L233" s="25" t="s">
        <v>18</v>
      </c>
      <c r="M233" s="11"/>
      <c r="N233" s="11"/>
    </row>
    <row r="234" spans="1:14" ht="33.75">
      <c r="A234" s="51" t="s">
        <v>892</v>
      </c>
      <c r="B234" s="13" t="s">
        <v>820</v>
      </c>
      <c r="C234" s="13" t="s">
        <v>871</v>
      </c>
      <c r="D234" s="13" t="s">
        <v>886</v>
      </c>
      <c r="E234" s="17" t="s">
        <v>166</v>
      </c>
      <c r="F234" s="17" t="s">
        <v>893</v>
      </c>
      <c r="G234" s="17" t="s">
        <v>759</v>
      </c>
      <c r="H234" s="17" t="s">
        <v>760</v>
      </c>
      <c r="I234" s="6">
        <v>1300.5999999999999</v>
      </c>
      <c r="J234" s="17" t="s">
        <v>18</v>
      </c>
      <c r="K234" s="16" t="s">
        <v>18</v>
      </c>
      <c r="L234" s="25" t="s">
        <v>18</v>
      </c>
      <c r="M234" s="11"/>
      <c r="N234" s="11"/>
    </row>
    <row r="235" spans="1:14" ht="22.5">
      <c r="A235" s="50" t="s">
        <v>894</v>
      </c>
      <c r="B235" s="11" t="s">
        <v>895</v>
      </c>
      <c r="C235" s="11" t="s">
        <v>896</v>
      </c>
      <c r="D235" s="11" t="s">
        <v>897</v>
      </c>
      <c r="E235" s="4" t="s">
        <v>166</v>
      </c>
      <c r="F235" s="4" t="s">
        <v>898</v>
      </c>
      <c r="G235" s="4" t="s">
        <v>695</v>
      </c>
      <c r="H235" s="4" t="s">
        <v>696</v>
      </c>
      <c r="I235" s="6">
        <v>322</v>
      </c>
      <c r="J235" s="6" t="s">
        <v>18</v>
      </c>
      <c r="K235" s="6" t="s">
        <v>18</v>
      </c>
      <c r="L235" s="25" t="s">
        <v>18</v>
      </c>
      <c r="M235" s="11"/>
      <c r="N235" s="11"/>
    </row>
    <row r="236" spans="1:14" ht="22.5">
      <c r="A236" s="50" t="s">
        <v>899</v>
      </c>
      <c r="B236" s="11" t="s">
        <v>895</v>
      </c>
      <c r="C236" s="11" t="s">
        <v>896</v>
      </c>
      <c r="D236" s="11" t="s">
        <v>900</v>
      </c>
      <c r="E236" s="4" t="s">
        <v>166</v>
      </c>
      <c r="F236" s="4" t="s">
        <v>901</v>
      </c>
      <c r="G236" s="4" t="s">
        <v>695</v>
      </c>
      <c r="H236" s="4" t="s">
        <v>696</v>
      </c>
      <c r="I236" s="6">
        <v>347.7</v>
      </c>
      <c r="J236" s="6" t="s">
        <v>18</v>
      </c>
      <c r="K236" s="6" t="s">
        <v>18</v>
      </c>
      <c r="L236" s="25" t="s">
        <v>18</v>
      </c>
      <c r="M236" s="11"/>
      <c r="N236" s="11"/>
    </row>
    <row r="237" spans="1:14" ht="22.5">
      <c r="A237" s="51" t="s">
        <v>902</v>
      </c>
      <c r="B237" s="13" t="s">
        <v>895</v>
      </c>
      <c r="C237" s="13" t="s">
        <v>896</v>
      </c>
      <c r="D237" s="13" t="s">
        <v>903</v>
      </c>
      <c r="E237" s="17" t="s">
        <v>166</v>
      </c>
      <c r="F237" s="17" t="s">
        <v>904</v>
      </c>
      <c r="G237" s="17" t="s">
        <v>759</v>
      </c>
      <c r="H237" s="17" t="s">
        <v>760</v>
      </c>
      <c r="I237" s="5">
        <v>5156.3</v>
      </c>
      <c r="J237" s="17" t="s">
        <v>18</v>
      </c>
      <c r="K237" s="16" t="s">
        <v>18</v>
      </c>
      <c r="L237" s="25" t="s">
        <v>18</v>
      </c>
      <c r="M237" s="11"/>
      <c r="N237" s="11"/>
    </row>
    <row r="238" spans="1:14" ht="22.5">
      <c r="A238" s="51" t="s">
        <v>905</v>
      </c>
      <c r="B238" s="13" t="s">
        <v>895</v>
      </c>
      <c r="C238" s="13" t="s">
        <v>896</v>
      </c>
      <c r="D238" s="13" t="s">
        <v>903</v>
      </c>
      <c r="E238" s="17" t="s">
        <v>166</v>
      </c>
      <c r="F238" s="17" t="s">
        <v>906</v>
      </c>
      <c r="G238" s="17" t="s">
        <v>759</v>
      </c>
      <c r="H238" s="17" t="s">
        <v>760</v>
      </c>
      <c r="I238" s="5">
        <v>3933.3</v>
      </c>
      <c r="J238" s="17" t="s">
        <v>18</v>
      </c>
      <c r="K238" s="16" t="s">
        <v>18</v>
      </c>
      <c r="L238" s="25" t="s">
        <v>18</v>
      </c>
      <c r="M238" s="11"/>
      <c r="N238" s="11"/>
    </row>
    <row r="239" spans="1:14" ht="22.5">
      <c r="A239" s="51" t="s">
        <v>907</v>
      </c>
      <c r="B239" s="13" t="s">
        <v>895</v>
      </c>
      <c r="C239" s="13" t="s">
        <v>896</v>
      </c>
      <c r="D239" s="13" t="s">
        <v>903</v>
      </c>
      <c r="E239" s="17" t="s">
        <v>166</v>
      </c>
      <c r="F239" s="17" t="s">
        <v>908</v>
      </c>
      <c r="G239" s="17" t="s">
        <v>759</v>
      </c>
      <c r="H239" s="17" t="s">
        <v>760</v>
      </c>
      <c r="I239" s="5">
        <v>2674.9</v>
      </c>
      <c r="J239" s="17" t="s">
        <v>18</v>
      </c>
      <c r="K239" s="16" t="s">
        <v>18</v>
      </c>
      <c r="L239" s="25" t="s">
        <v>18</v>
      </c>
      <c r="M239" s="11"/>
      <c r="N239" s="11"/>
    </row>
    <row r="240" spans="1:14" ht="22.5">
      <c r="A240" s="51" t="s">
        <v>909</v>
      </c>
      <c r="B240" s="13" t="s">
        <v>895</v>
      </c>
      <c r="C240" s="13" t="s">
        <v>896</v>
      </c>
      <c r="D240" s="13" t="s">
        <v>910</v>
      </c>
      <c r="E240" s="17" t="s">
        <v>166</v>
      </c>
      <c r="F240" s="17" t="s">
        <v>767</v>
      </c>
      <c r="G240" s="17" t="s">
        <v>759</v>
      </c>
      <c r="H240" s="17" t="s">
        <v>760</v>
      </c>
      <c r="I240" s="5">
        <v>5014.3999999999996</v>
      </c>
      <c r="J240" s="17" t="s">
        <v>18</v>
      </c>
      <c r="K240" s="16" t="s">
        <v>18</v>
      </c>
      <c r="L240" s="25" t="s">
        <v>18</v>
      </c>
      <c r="M240" s="11"/>
      <c r="N240" s="11"/>
    </row>
    <row r="241" spans="1:14" ht="22.5">
      <c r="A241" s="51" t="s">
        <v>911</v>
      </c>
      <c r="B241" s="13" t="s">
        <v>895</v>
      </c>
      <c r="C241" s="13" t="s">
        <v>896</v>
      </c>
      <c r="D241" s="13" t="s">
        <v>910</v>
      </c>
      <c r="E241" s="17" t="s">
        <v>166</v>
      </c>
      <c r="F241" s="17" t="s">
        <v>769</v>
      </c>
      <c r="G241" s="17" t="s">
        <v>759</v>
      </c>
      <c r="H241" s="17" t="s">
        <v>760</v>
      </c>
      <c r="I241" s="5">
        <v>2931.6</v>
      </c>
      <c r="J241" s="17" t="s">
        <v>18</v>
      </c>
      <c r="K241" s="16" t="s">
        <v>18</v>
      </c>
      <c r="L241" s="25" t="s">
        <v>18</v>
      </c>
      <c r="M241" s="11"/>
      <c r="N241" s="11"/>
    </row>
    <row r="242" spans="1:14" ht="22.5">
      <c r="A242" s="51" t="s">
        <v>912</v>
      </c>
      <c r="B242" s="13" t="s">
        <v>895</v>
      </c>
      <c r="C242" s="13" t="s">
        <v>896</v>
      </c>
      <c r="D242" s="13" t="s">
        <v>910</v>
      </c>
      <c r="E242" s="17" t="s">
        <v>166</v>
      </c>
      <c r="F242" s="17" t="s">
        <v>771</v>
      </c>
      <c r="G242" s="17" t="s">
        <v>759</v>
      </c>
      <c r="H242" s="17" t="s">
        <v>760</v>
      </c>
      <c r="I242" s="5">
        <v>2856.5</v>
      </c>
      <c r="J242" s="17" t="s">
        <v>18</v>
      </c>
      <c r="K242" s="16" t="s">
        <v>18</v>
      </c>
      <c r="L242" s="25" t="s">
        <v>18</v>
      </c>
      <c r="M242" s="11"/>
      <c r="N242" s="11"/>
    </row>
    <row r="243" spans="1:14" ht="22.5">
      <c r="A243" s="50" t="s">
        <v>913</v>
      </c>
      <c r="B243" s="11" t="s">
        <v>914</v>
      </c>
      <c r="C243" s="11" t="s">
        <v>915</v>
      </c>
      <c r="D243" s="11" t="s">
        <v>916</v>
      </c>
      <c r="E243" s="4" t="s">
        <v>917</v>
      </c>
      <c r="F243" s="4" t="s">
        <v>918</v>
      </c>
      <c r="G243" s="4" t="s">
        <v>15</v>
      </c>
      <c r="H243" s="4" t="s">
        <v>16</v>
      </c>
      <c r="I243" s="6">
        <v>1388.6</v>
      </c>
      <c r="J243" s="6" t="s">
        <v>18</v>
      </c>
      <c r="K243" s="6" t="s">
        <v>18</v>
      </c>
      <c r="L243" s="25" t="s">
        <v>18</v>
      </c>
      <c r="M243" s="11"/>
      <c r="N243" s="11"/>
    </row>
    <row r="244" spans="1:14" ht="56.25">
      <c r="A244" s="50" t="s">
        <v>924</v>
      </c>
      <c r="B244" s="11" t="s">
        <v>919</v>
      </c>
      <c r="C244" s="11" t="s">
        <v>920</v>
      </c>
      <c r="D244" s="11" t="s">
        <v>921</v>
      </c>
      <c r="E244" s="4" t="s">
        <v>922</v>
      </c>
      <c r="F244" s="4" t="s">
        <v>3532</v>
      </c>
      <c r="G244" s="55" t="s">
        <v>923</v>
      </c>
      <c r="H244" s="55" t="s">
        <v>145</v>
      </c>
      <c r="I244" s="6">
        <v>1344.3</v>
      </c>
      <c r="J244" s="6" t="s">
        <v>18</v>
      </c>
      <c r="K244" s="6" t="s">
        <v>18</v>
      </c>
      <c r="L244" s="25" t="s">
        <v>18</v>
      </c>
      <c r="M244" s="11"/>
      <c r="N244" s="11"/>
    </row>
    <row r="245" spans="1:14" ht="56.25">
      <c r="A245" s="50" t="s">
        <v>925</v>
      </c>
      <c r="B245" s="11" t="s">
        <v>919</v>
      </c>
      <c r="C245" s="11" t="s">
        <v>920</v>
      </c>
      <c r="D245" s="11" t="s">
        <v>921</v>
      </c>
      <c r="E245" s="4" t="s">
        <v>922</v>
      </c>
      <c r="F245" s="4" t="s">
        <v>3531</v>
      </c>
      <c r="G245" s="55" t="s">
        <v>923</v>
      </c>
      <c r="H245" s="55" t="s">
        <v>145</v>
      </c>
      <c r="I245" s="6">
        <v>1344.3</v>
      </c>
      <c r="J245" s="6" t="s">
        <v>18</v>
      </c>
      <c r="K245" s="6" t="s">
        <v>18</v>
      </c>
      <c r="L245" s="25" t="s">
        <v>18</v>
      </c>
      <c r="M245" s="11"/>
      <c r="N245" s="11"/>
    </row>
    <row r="246" spans="1:14" ht="56.25">
      <c r="A246" s="50" t="s">
        <v>926</v>
      </c>
      <c r="B246" s="11" t="s">
        <v>919</v>
      </c>
      <c r="C246" s="11" t="s">
        <v>920</v>
      </c>
      <c r="D246" s="11" t="s">
        <v>921</v>
      </c>
      <c r="E246" s="4" t="s">
        <v>922</v>
      </c>
      <c r="F246" s="4" t="s">
        <v>3530</v>
      </c>
      <c r="G246" s="55" t="s">
        <v>923</v>
      </c>
      <c r="H246" s="55" t="s">
        <v>145</v>
      </c>
      <c r="I246" s="6">
        <v>1344.3</v>
      </c>
      <c r="J246" s="6" t="s">
        <v>18</v>
      </c>
      <c r="K246" s="6" t="s">
        <v>18</v>
      </c>
      <c r="L246" s="25" t="s">
        <v>18</v>
      </c>
      <c r="M246" s="11"/>
      <c r="N246" s="11"/>
    </row>
    <row r="247" spans="1:14" ht="56.25">
      <c r="A247" s="50" t="s">
        <v>927</v>
      </c>
      <c r="B247" s="11" t="s">
        <v>928</v>
      </c>
      <c r="C247" s="11" t="s">
        <v>929</v>
      </c>
      <c r="D247" s="11" t="s">
        <v>930</v>
      </c>
      <c r="E247" s="4" t="s">
        <v>922</v>
      </c>
      <c r="F247" s="4" t="s">
        <v>3529</v>
      </c>
      <c r="G247" s="4" t="s">
        <v>931</v>
      </c>
      <c r="H247" s="4" t="s">
        <v>932</v>
      </c>
      <c r="I247" s="6">
        <v>2253.1999999999998</v>
      </c>
      <c r="J247" s="6" t="s">
        <v>18</v>
      </c>
      <c r="K247" s="6" t="s">
        <v>18</v>
      </c>
      <c r="L247" s="25" t="s">
        <v>18</v>
      </c>
      <c r="M247" s="11"/>
      <c r="N247" s="11"/>
    </row>
    <row r="248" spans="1:14" ht="146.25">
      <c r="A248" s="50" t="s">
        <v>933</v>
      </c>
      <c r="B248" s="11" t="s">
        <v>934</v>
      </c>
      <c r="C248" s="11" t="s">
        <v>935</v>
      </c>
      <c r="D248" s="11" t="s">
        <v>936</v>
      </c>
      <c r="E248" s="4" t="s">
        <v>922</v>
      </c>
      <c r="F248" s="4" t="s">
        <v>3528</v>
      </c>
      <c r="G248" s="4" t="s">
        <v>931</v>
      </c>
      <c r="H248" s="4" t="s">
        <v>145</v>
      </c>
      <c r="I248" s="6">
        <v>1575.3</v>
      </c>
      <c r="J248" s="6" t="s">
        <v>18</v>
      </c>
      <c r="K248" s="6" t="s">
        <v>18</v>
      </c>
      <c r="L248" s="25" t="s">
        <v>18</v>
      </c>
      <c r="M248" s="11"/>
      <c r="N248" s="11"/>
    </row>
    <row r="249" spans="1:14" ht="56.25">
      <c r="A249" s="50" t="s">
        <v>937</v>
      </c>
      <c r="B249" s="11" t="s">
        <v>919</v>
      </c>
      <c r="C249" s="11" t="s">
        <v>938</v>
      </c>
      <c r="D249" s="11" t="s">
        <v>939</v>
      </c>
      <c r="E249" s="4" t="s">
        <v>922</v>
      </c>
      <c r="F249" s="4" t="s">
        <v>940</v>
      </c>
      <c r="G249" s="4" t="s">
        <v>941</v>
      </c>
      <c r="H249" s="4" t="s">
        <v>34</v>
      </c>
      <c r="I249" s="6">
        <v>3133</v>
      </c>
      <c r="J249" s="6" t="s">
        <v>18</v>
      </c>
      <c r="K249" s="6" t="s">
        <v>18</v>
      </c>
      <c r="L249" s="25" t="s">
        <v>18</v>
      </c>
      <c r="M249" s="11"/>
      <c r="N249" s="11"/>
    </row>
    <row r="250" spans="1:14" ht="56.25">
      <c r="A250" s="50" t="s">
        <v>942</v>
      </c>
      <c r="B250" s="11" t="s">
        <v>919</v>
      </c>
      <c r="C250" s="11" t="s">
        <v>938</v>
      </c>
      <c r="D250" s="11" t="s">
        <v>943</v>
      </c>
      <c r="E250" s="4" t="s">
        <v>922</v>
      </c>
      <c r="F250" s="4" t="s">
        <v>944</v>
      </c>
      <c r="G250" s="4" t="s">
        <v>941</v>
      </c>
      <c r="H250" s="4" t="s">
        <v>34</v>
      </c>
      <c r="I250" s="6">
        <v>3133</v>
      </c>
      <c r="J250" s="6" t="s">
        <v>18</v>
      </c>
      <c r="K250" s="6" t="s">
        <v>18</v>
      </c>
      <c r="L250" s="25" t="s">
        <v>18</v>
      </c>
      <c r="M250" s="11"/>
      <c r="N250" s="11"/>
    </row>
    <row r="251" spans="1:14" ht="56.25">
      <c r="A251" s="50" t="s">
        <v>945</v>
      </c>
      <c r="B251" s="11" t="s">
        <v>919</v>
      </c>
      <c r="C251" s="11" t="s">
        <v>938</v>
      </c>
      <c r="D251" s="11" t="s">
        <v>946</v>
      </c>
      <c r="E251" s="4" t="s">
        <v>922</v>
      </c>
      <c r="F251" s="4" t="s">
        <v>947</v>
      </c>
      <c r="G251" s="4" t="s">
        <v>941</v>
      </c>
      <c r="H251" s="4" t="s">
        <v>34</v>
      </c>
      <c r="I251" s="6">
        <v>3133</v>
      </c>
      <c r="J251" s="6" t="s">
        <v>18</v>
      </c>
      <c r="K251" s="6" t="s">
        <v>18</v>
      </c>
      <c r="L251" s="25" t="s">
        <v>18</v>
      </c>
      <c r="M251" s="11"/>
      <c r="N251" s="11"/>
    </row>
    <row r="252" spans="1:14" ht="56.25">
      <c r="A252" s="71" t="s">
        <v>948</v>
      </c>
      <c r="B252" s="72" t="s">
        <v>919</v>
      </c>
      <c r="C252" s="72" t="s">
        <v>938</v>
      </c>
      <c r="D252" s="72" t="s">
        <v>949</v>
      </c>
      <c r="E252" s="35" t="s">
        <v>950</v>
      </c>
      <c r="F252" s="35" t="s">
        <v>951</v>
      </c>
      <c r="G252" s="35" t="s">
        <v>952</v>
      </c>
      <c r="H252" s="35" t="s">
        <v>34</v>
      </c>
      <c r="I252" s="6">
        <v>3383.1</v>
      </c>
      <c r="J252" s="6" t="s">
        <v>18</v>
      </c>
      <c r="K252" s="6" t="s">
        <v>18</v>
      </c>
      <c r="L252" s="25" t="s">
        <v>18</v>
      </c>
      <c r="M252" s="11"/>
      <c r="N252" s="11"/>
    </row>
    <row r="253" spans="1:14" ht="56.25">
      <c r="A253" s="71" t="s">
        <v>953</v>
      </c>
      <c r="B253" s="72" t="s">
        <v>919</v>
      </c>
      <c r="C253" s="72" t="s">
        <v>938</v>
      </c>
      <c r="D253" s="72" t="s">
        <v>954</v>
      </c>
      <c r="E253" s="35" t="s">
        <v>950</v>
      </c>
      <c r="F253" s="35" t="s">
        <v>955</v>
      </c>
      <c r="G253" s="35" t="s">
        <v>952</v>
      </c>
      <c r="H253" s="35" t="s">
        <v>34</v>
      </c>
      <c r="I253" s="6">
        <v>3383.1</v>
      </c>
      <c r="J253" s="6" t="s">
        <v>18</v>
      </c>
      <c r="K253" s="6" t="s">
        <v>18</v>
      </c>
      <c r="L253" s="25" t="s">
        <v>18</v>
      </c>
      <c r="M253" s="11"/>
      <c r="N253" s="11"/>
    </row>
    <row r="254" spans="1:14" ht="56.25">
      <c r="A254" s="9" t="s">
        <v>956</v>
      </c>
      <c r="B254" s="11" t="s">
        <v>919</v>
      </c>
      <c r="C254" s="1" t="s">
        <v>938</v>
      </c>
      <c r="D254" s="11" t="s">
        <v>949</v>
      </c>
      <c r="E254" s="4" t="s">
        <v>950</v>
      </c>
      <c r="F254" s="4" t="s">
        <v>957</v>
      </c>
      <c r="G254" s="4" t="s">
        <v>941</v>
      </c>
      <c r="H254" s="4" t="s">
        <v>34</v>
      </c>
      <c r="I254" s="6">
        <v>3383.1</v>
      </c>
      <c r="J254" s="6" t="s">
        <v>18</v>
      </c>
      <c r="K254" s="6" t="s">
        <v>18</v>
      </c>
      <c r="L254" s="25" t="s">
        <v>18</v>
      </c>
      <c r="M254" s="11"/>
      <c r="N254" s="11"/>
    </row>
    <row r="255" spans="1:14" ht="56.25">
      <c r="A255" s="9" t="s">
        <v>958</v>
      </c>
      <c r="B255" s="11" t="s">
        <v>919</v>
      </c>
      <c r="C255" s="1" t="s">
        <v>938</v>
      </c>
      <c r="D255" s="11" t="s">
        <v>954</v>
      </c>
      <c r="E255" s="4" t="s">
        <v>950</v>
      </c>
      <c r="F255" s="4" t="s">
        <v>3576</v>
      </c>
      <c r="G255" s="4" t="s">
        <v>941</v>
      </c>
      <c r="H255" s="4" t="s">
        <v>34</v>
      </c>
      <c r="I255" s="6">
        <v>3383.1</v>
      </c>
      <c r="J255" s="6" t="s">
        <v>18</v>
      </c>
      <c r="K255" s="6" t="s">
        <v>18</v>
      </c>
      <c r="L255" s="25" t="s">
        <v>18</v>
      </c>
      <c r="M255" s="11"/>
      <c r="N255" s="11"/>
    </row>
    <row r="256" spans="1:14" ht="67.5">
      <c r="A256" s="53" t="s">
        <v>959</v>
      </c>
      <c r="B256" s="54" t="s">
        <v>919</v>
      </c>
      <c r="C256" s="54" t="s">
        <v>960</v>
      </c>
      <c r="D256" s="54" t="s">
        <v>961</v>
      </c>
      <c r="E256" s="55" t="s">
        <v>922</v>
      </c>
      <c r="F256" s="55" t="s">
        <v>962</v>
      </c>
      <c r="G256" s="55" t="s">
        <v>923</v>
      </c>
      <c r="H256" s="55" t="s">
        <v>145</v>
      </c>
      <c r="I256" s="6">
        <v>842.5</v>
      </c>
      <c r="J256" s="4" t="s">
        <v>18</v>
      </c>
      <c r="K256" s="4" t="s">
        <v>18</v>
      </c>
      <c r="L256" s="57" t="s">
        <v>18</v>
      </c>
      <c r="M256" s="54"/>
      <c r="N256" s="54"/>
    </row>
    <row r="257" spans="1:14" ht="67.5">
      <c r="A257" s="53" t="s">
        <v>963</v>
      </c>
      <c r="B257" s="54" t="s">
        <v>919</v>
      </c>
      <c r="C257" s="54" t="s">
        <v>960</v>
      </c>
      <c r="D257" s="54" t="s">
        <v>961</v>
      </c>
      <c r="E257" s="55" t="s">
        <v>922</v>
      </c>
      <c r="F257" s="55" t="s">
        <v>964</v>
      </c>
      <c r="G257" s="55" t="s">
        <v>923</v>
      </c>
      <c r="H257" s="55" t="s">
        <v>145</v>
      </c>
      <c r="I257" s="6">
        <v>965.2</v>
      </c>
      <c r="J257" s="4" t="s">
        <v>18</v>
      </c>
      <c r="K257" s="4" t="s">
        <v>18</v>
      </c>
      <c r="L257" s="57" t="s">
        <v>18</v>
      </c>
      <c r="M257" s="54"/>
      <c r="N257" s="54"/>
    </row>
    <row r="258" spans="1:14" ht="67.5">
      <c r="A258" s="53" t="s">
        <v>965</v>
      </c>
      <c r="B258" s="54" t="s">
        <v>919</v>
      </c>
      <c r="C258" s="54" t="s">
        <v>960</v>
      </c>
      <c r="D258" s="54" t="s">
        <v>961</v>
      </c>
      <c r="E258" s="55" t="s">
        <v>922</v>
      </c>
      <c r="F258" s="55" t="s">
        <v>966</v>
      </c>
      <c r="G258" s="55" t="s">
        <v>923</v>
      </c>
      <c r="H258" s="55" t="s">
        <v>145</v>
      </c>
      <c r="I258" s="6">
        <v>965.2</v>
      </c>
      <c r="J258" s="4" t="s">
        <v>18</v>
      </c>
      <c r="K258" s="4" t="s">
        <v>18</v>
      </c>
      <c r="L258" s="57" t="s">
        <v>18</v>
      </c>
      <c r="M258" s="54"/>
      <c r="N258" s="54"/>
    </row>
    <row r="259" spans="1:14" ht="67.5">
      <c r="A259" s="53" t="s">
        <v>967</v>
      </c>
      <c r="B259" s="54" t="s">
        <v>919</v>
      </c>
      <c r="C259" s="54" t="s">
        <v>960</v>
      </c>
      <c r="D259" s="54" t="s">
        <v>968</v>
      </c>
      <c r="E259" s="55" t="s">
        <v>922</v>
      </c>
      <c r="F259" s="55" t="s">
        <v>969</v>
      </c>
      <c r="G259" s="55" t="s">
        <v>923</v>
      </c>
      <c r="H259" s="55" t="s">
        <v>145</v>
      </c>
      <c r="I259" s="6">
        <v>965.2</v>
      </c>
      <c r="J259" s="4" t="s">
        <v>18</v>
      </c>
      <c r="K259" s="4" t="s">
        <v>18</v>
      </c>
      <c r="L259" s="57" t="s">
        <v>18</v>
      </c>
      <c r="M259" s="54"/>
      <c r="N259" s="54"/>
    </row>
    <row r="260" spans="1:14" ht="67.5">
      <c r="A260" s="53" t="s">
        <v>970</v>
      </c>
      <c r="B260" s="54" t="s">
        <v>919</v>
      </c>
      <c r="C260" s="54" t="s">
        <v>960</v>
      </c>
      <c r="D260" s="54" t="s">
        <v>968</v>
      </c>
      <c r="E260" s="55" t="s">
        <v>922</v>
      </c>
      <c r="F260" s="55" t="s">
        <v>971</v>
      </c>
      <c r="G260" s="55" t="s">
        <v>923</v>
      </c>
      <c r="H260" s="55" t="s">
        <v>145</v>
      </c>
      <c r="I260" s="6">
        <v>842.5</v>
      </c>
      <c r="J260" s="4" t="s">
        <v>18</v>
      </c>
      <c r="K260" s="4" t="s">
        <v>18</v>
      </c>
      <c r="L260" s="57" t="s">
        <v>18</v>
      </c>
      <c r="M260" s="54"/>
      <c r="N260" s="54"/>
    </row>
    <row r="261" spans="1:14" ht="67.5">
      <c r="A261" s="53" t="s">
        <v>972</v>
      </c>
      <c r="B261" s="54" t="s">
        <v>919</v>
      </c>
      <c r="C261" s="54" t="s">
        <v>960</v>
      </c>
      <c r="D261" s="54" t="s">
        <v>968</v>
      </c>
      <c r="E261" s="55" t="s">
        <v>922</v>
      </c>
      <c r="F261" s="55" t="s">
        <v>973</v>
      </c>
      <c r="G261" s="55" t="s">
        <v>923</v>
      </c>
      <c r="H261" s="55" t="s">
        <v>145</v>
      </c>
      <c r="I261" s="6">
        <v>965.2</v>
      </c>
      <c r="J261" s="4" t="s">
        <v>18</v>
      </c>
      <c r="K261" s="4" t="s">
        <v>18</v>
      </c>
      <c r="L261" s="57" t="s">
        <v>18</v>
      </c>
      <c r="M261" s="54"/>
      <c r="N261" s="54"/>
    </row>
    <row r="262" spans="1:14" ht="67.5">
      <c r="A262" s="53" t="s">
        <v>974</v>
      </c>
      <c r="B262" s="54" t="s">
        <v>919</v>
      </c>
      <c r="C262" s="54" t="s">
        <v>960</v>
      </c>
      <c r="D262" s="54" t="s">
        <v>975</v>
      </c>
      <c r="E262" s="55" t="s">
        <v>922</v>
      </c>
      <c r="F262" s="55" t="s">
        <v>976</v>
      </c>
      <c r="G262" s="55" t="s">
        <v>923</v>
      </c>
      <c r="H262" s="55" t="s">
        <v>145</v>
      </c>
      <c r="I262" s="6">
        <v>842.5</v>
      </c>
      <c r="J262" s="4" t="s">
        <v>18</v>
      </c>
      <c r="K262" s="4" t="s">
        <v>18</v>
      </c>
      <c r="L262" s="57" t="s">
        <v>18</v>
      </c>
      <c r="M262" s="54"/>
      <c r="N262" s="54"/>
    </row>
    <row r="263" spans="1:14" ht="67.5">
      <c r="A263" s="53" t="s">
        <v>3766</v>
      </c>
      <c r="B263" s="54" t="s">
        <v>919</v>
      </c>
      <c r="C263" s="54" t="s">
        <v>960</v>
      </c>
      <c r="D263" s="54" t="s">
        <v>3767</v>
      </c>
      <c r="E263" s="55" t="s">
        <v>922</v>
      </c>
      <c r="F263" s="55" t="s">
        <v>3768</v>
      </c>
      <c r="G263" s="55" t="s">
        <v>923</v>
      </c>
      <c r="H263" s="55" t="s">
        <v>145</v>
      </c>
      <c r="I263" s="6">
        <v>1690</v>
      </c>
      <c r="J263" s="4" t="s">
        <v>18</v>
      </c>
      <c r="K263" s="4" t="s">
        <v>18</v>
      </c>
      <c r="L263" s="57" t="s">
        <v>18</v>
      </c>
      <c r="M263" s="54"/>
      <c r="N263" s="54"/>
    </row>
    <row r="264" spans="1:14" ht="67.5">
      <c r="A264" s="53" t="s">
        <v>3769</v>
      </c>
      <c r="B264" s="54" t="s">
        <v>919</v>
      </c>
      <c r="C264" s="54" t="s">
        <v>960</v>
      </c>
      <c r="D264" s="54" t="s">
        <v>3770</v>
      </c>
      <c r="E264" s="55" t="s">
        <v>922</v>
      </c>
      <c r="F264" s="55" t="s">
        <v>3771</v>
      </c>
      <c r="G264" s="55" t="s">
        <v>923</v>
      </c>
      <c r="H264" s="55" t="s">
        <v>145</v>
      </c>
      <c r="I264" s="6">
        <v>1690</v>
      </c>
      <c r="J264" s="4" t="s">
        <v>18</v>
      </c>
      <c r="K264" s="4" t="s">
        <v>18</v>
      </c>
      <c r="L264" s="57" t="s">
        <v>18</v>
      </c>
      <c r="M264" s="54"/>
      <c r="N264" s="54"/>
    </row>
    <row r="265" spans="1:14" ht="67.5">
      <c r="A265" s="53" t="s">
        <v>3772</v>
      </c>
      <c r="B265" s="54" t="s">
        <v>919</v>
      </c>
      <c r="C265" s="54" t="s">
        <v>960</v>
      </c>
      <c r="D265" s="54" t="s">
        <v>3773</v>
      </c>
      <c r="E265" s="55" t="s">
        <v>922</v>
      </c>
      <c r="F265" s="55" t="s">
        <v>3774</v>
      </c>
      <c r="G265" s="55" t="s">
        <v>923</v>
      </c>
      <c r="H265" s="55" t="s">
        <v>145</v>
      </c>
      <c r="I265" s="6">
        <v>1690</v>
      </c>
      <c r="J265" s="4" t="s">
        <v>18</v>
      </c>
      <c r="K265" s="4" t="s">
        <v>18</v>
      </c>
      <c r="L265" s="57" t="s">
        <v>18</v>
      </c>
      <c r="M265" s="54"/>
      <c r="N265" s="54"/>
    </row>
    <row r="266" spans="1:14" ht="22.5">
      <c r="A266" s="50" t="s">
        <v>977</v>
      </c>
      <c r="B266" s="11" t="s">
        <v>978</v>
      </c>
      <c r="C266" s="11" t="s">
        <v>979</v>
      </c>
      <c r="D266" s="11" t="s">
        <v>980</v>
      </c>
      <c r="E266" s="4" t="s">
        <v>981</v>
      </c>
      <c r="F266" s="4" t="s">
        <v>982</v>
      </c>
      <c r="G266" s="4" t="s">
        <v>3775</v>
      </c>
      <c r="H266" s="4" t="s">
        <v>984</v>
      </c>
      <c r="I266" s="6">
        <v>888.2</v>
      </c>
      <c r="J266" s="6" t="s">
        <v>18</v>
      </c>
      <c r="K266" s="6" t="s">
        <v>18</v>
      </c>
      <c r="L266" s="25" t="s">
        <v>18</v>
      </c>
      <c r="M266" s="11"/>
      <c r="N266" s="11"/>
    </row>
    <row r="267" spans="1:14" s="52" customFormat="1" ht="22.5">
      <c r="A267" s="50" t="s">
        <v>985</v>
      </c>
      <c r="B267" s="11" t="s">
        <v>978</v>
      </c>
      <c r="C267" s="11" t="s">
        <v>986</v>
      </c>
      <c r="D267" s="11" t="s">
        <v>987</v>
      </c>
      <c r="E267" s="4" t="s">
        <v>981</v>
      </c>
      <c r="F267" s="4" t="s">
        <v>988</v>
      </c>
      <c r="G267" s="4" t="s">
        <v>989</v>
      </c>
      <c r="H267" s="4" t="s">
        <v>34</v>
      </c>
      <c r="I267" s="6">
        <v>888.2</v>
      </c>
      <c r="J267" s="6" t="s">
        <v>18</v>
      </c>
      <c r="K267" s="6" t="s">
        <v>18</v>
      </c>
      <c r="L267" s="25" t="s">
        <v>18</v>
      </c>
      <c r="M267" s="11"/>
      <c r="N267" s="11"/>
    </row>
    <row r="268" spans="1:14" s="52" customFormat="1" ht="22.5">
      <c r="A268" s="50" t="s">
        <v>990</v>
      </c>
      <c r="B268" s="11" t="s">
        <v>978</v>
      </c>
      <c r="C268" s="11" t="s">
        <v>986</v>
      </c>
      <c r="D268" s="11" t="s">
        <v>987</v>
      </c>
      <c r="E268" s="4" t="s">
        <v>981</v>
      </c>
      <c r="F268" s="4" t="s">
        <v>991</v>
      </c>
      <c r="G268" s="4" t="s">
        <v>989</v>
      </c>
      <c r="H268" s="4" t="s">
        <v>34</v>
      </c>
      <c r="I268" s="6">
        <v>3116.7</v>
      </c>
      <c r="J268" s="6" t="s">
        <v>18</v>
      </c>
      <c r="K268" s="6" t="s">
        <v>18</v>
      </c>
      <c r="L268" s="25" t="s">
        <v>18</v>
      </c>
      <c r="M268" s="11"/>
      <c r="N268" s="11"/>
    </row>
    <row r="269" spans="1:14" ht="33.75">
      <c r="A269" s="50" t="s">
        <v>992</v>
      </c>
      <c r="B269" s="11" t="s">
        <v>993</v>
      </c>
      <c r="C269" s="11" t="s">
        <v>994</v>
      </c>
      <c r="D269" s="54" t="s">
        <v>995</v>
      </c>
      <c r="E269" s="4" t="s">
        <v>981</v>
      </c>
      <c r="F269" s="4" t="s">
        <v>996</v>
      </c>
      <c r="G269" s="4" t="s">
        <v>132</v>
      </c>
      <c r="H269" s="4" t="s">
        <v>133</v>
      </c>
      <c r="I269" s="6">
        <v>3862.1</v>
      </c>
      <c r="J269" s="31" t="s">
        <v>18</v>
      </c>
      <c r="K269" s="31" t="s">
        <v>18</v>
      </c>
      <c r="L269" s="25" t="s">
        <v>18</v>
      </c>
      <c r="M269" s="11"/>
      <c r="N269" s="11"/>
    </row>
    <row r="270" spans="1:14" ht="22.5">
      <c r="A270" s="50" t="s">
        <v>997</v>
      </c>
      <c r="B270" s="11" t="s">
        <v>998</v>
      </c>
      <c r="C270" s="11" t="s">
        <v>871</v>
      </c>
      <c r="D270" s="11" t="s">
        <v>999</v>
      </c>
      <c r="E270" s="4" t="s">
        <v>166</v>
      </c>
      <c r="F270" s="4" t="s">
        <v>1000</v>
      </c>
      <c r="G270" s="4" t="s">
        <v>15</v>
      </c>
      <c r="H270" s="4" t="s">
        <v>16</v>
      </c>
      <c r="I270" s="6">
        <v>86.8</v>
      </c>
      <c r="J270" s="6" t="s">
        <v>18</v>
      </c>
      <c r="K270" s="6" t="s">
        <v>18</v>
      </c>
      <c r="L270" s="25" t="s">
        <v>18</v>
      </c>
      <c r="M270" s="11"/>
      <c r="N270" s="11"/>
    </row>
    <row r="271" spans="1:14" ht="67.5">
      <c r="A271" s="50" t="s">
        <v>1001</v>
      </c>
      <c r="B271" s="11" t="s">
        <v>998</v>
      </c>
      <c r="C271" s="11" t="s">
        <v>871</v>
      </c>
      <c r="D271" s="11" t="s">
        <v>1002</v>
      </c>
      <c r="E271" s="4" t="s">
        <v>166</v>
      </c>
      <c r="F271" s="4" t="s">
        <v>1003</v>
      </c>
      <c r="G271" s="4" t="s">
        <v>1004</v>
      </c>
      <c r="H271" s="4" t="s">
        <v>1005</v>
      </c>
      <c r="I271" s="92">
        <v>68.599999999999994</v>
      </c>
      <c r="J271" s="6" t="s">
        <v>18</v>
      </c>
      <c r="K271" s="6" t="s">
        <v>18</v>
      </c>
      <c r="L271" s="25" t="s">
        <v>18</v>
      </c>
      <c r="M271" s="11"/>
      <c r="N271" s="11"/>
    </row>
    <row r="272" spans="1:14" ht="67.5">
      <c r="A272" s="50" t="s">
        <v>1006</v>
      </c>
      <c r="B272" s="11" t="s">
        <v>998</v>
      </c>
      <c r="C272" s="11" t="s">
        <v>871</v>
      </c>
      <c r="D272" s="11" t="s">
        <v>1002</v>
      </c>
      <c r="E272" s="4" t="s">
        <v>166</v>
      </c>
      <c r="F272" s="4" t="s">
        <v>1007</v>
      </c>
      <c r="G272" s="4" t="s">
        <v>1004</v>
      </c>
      <c r="H272" s="4" t="s">
        <v>1005</v>
      </c>
      <c r="I272" s="6">
        <v>70.8</v>
      </c>
      <c r="J272" s="6" t="s">
        <v>18</v>
      </c>
      <c r="K272" s="6" t="s">
        <v>18</v>
      </c>
      <c r="L272" s="25" t="s">
        <v>18</v>
      </c>
      <c r="M272" s="11"/>
      <c r="N272" s="11"/>
    </row>
    <row r="273" spans="1:14" ht="67.5">
      <c r="A273" s="50" t="s">
        <v>1008</v>
      </c>
      <c r="B273" s="11" t="s">
        <v>998</v>
      </c>
      <c r="C273" s="11" t="s">
        <v>871</v>
      </c>
      <c r="D273" s="11" t="s">
        <v>1002</v>
      </c>
      <c r="E273" s="4" t="s">
        <v>166</v>
      </c>
      <c r="F273" s="4" t="s">
        <v>1009</v>
      </c>
      <c r="G273" s="4" t="s">
        <v>1004</v>
      </c>
      <c r="H273" s="4" t="s">
        <v>1005</v>
      </c>
      <c r="I273" s="6">
        <v>80.7</v>
      </c>
      <c r="J273" s="6" t="s">
        <v>18</v>
      </c>
      <c r="K273" s="6" t="s">
        <v>18</v>
      </c>
      <c r="L273" s="25" t="s">
        <v>18</v>
      </c>
      <c r="M273" s="11"/>
      <c r="N273" s="11"/>
    </row>
    <row r="274" spans="1:14" s="52" customFormat="1" ht="78.75">
      <c r="A274" s="51" t="s">
        <v>1010</v>
      </c>
      <c r="B274" s="13" t="s">
        <v>998</v>
      </c>
      <c r="C274" s="13" t="s">
        <v>867</v>
      </c>
      <c r="D274" s="11" t="s">
        <v>1011</v>
      </c>
      <c r="E274" s="17" t="s">
        <v>166</v>
      </c>
      <c r="F274" s="4" t="s">
        <v>1012</v>
      </c>
      <c r="G274" s="4" t="s">
        <v>1013</v>
      </c>
      <c r="H274" s="4" t="s">
        <v>1014</v>
      </c>
      <c r="I274" s="6">
        <v>705</v>
      </c>
      <c r="J274" s="6" t="s">
        <v>18</v>
      </c>
      <c r="K274" s="6" t="s">
        <v>18</v>
      </c>
      <c r="L274" s="6" t="s">
        <v>18</v>
      </c>
      <c r="M274" s="11"/>
      <c r="N274" s="11"/>
    </row>
    <row r="275" spans="1:14" s="52" customFormat="1" ht="78.75">
      <c r="A275" s="51" t="s">
        <v>1015</v>
      </c>
      <c r="B275" s="13" t="s">
        <v>998</v>
      </c>
      <c r="C275" s="13" t="s">
        <v>867</v>
      </c>
      <c r="D275" s="11" t="s">
        <v>1011</v>
      </c>
      <c r="E275" s="17" t="s">
        <v>166</v>
      </c>
      <c r="F275" s="4" t="s">
        <v>1016</v>
      </c>
      <c r="G275" s="4" t="s">
        <v>1013</v>
      </c>
      <c r="H275" s="4" t="s">
        <v>1014</v>
      </c>
      <c r="I275" s="29">
        <v>1410.8</v>
      </c>
      <c r="J275" s="6" t="s">
        <v>18</v>
      </c>
      <c r="K275" s="6" t="s">
        <v>18</v>
      </c>
      <c r="L275" s="6" t="s">
        <v>18</v>
      </c>
      <c r="M275" s="11"/>
      <c r="N275" s="11"/>
    </row>
    <row r="276" spans="1:14" s="52" customFormat="1" ht="78.75">
      <c r="A276" s="51" t="s">
        <v>1017</v>
      </c>
      <c r="B276" s="13" t="s">
        <v>998</v>
      </c>
      <c r="C276" s="13" t="s">
        <v>867</v>
      </c>
      <c r="D276" s="11" t="s">
        <v>1011</v>
      </c>
      <c r="E276" s="17" t="s">
        <v>166</v>
      </c>
      <c r="F276" s="4" t="s">
        <v>1018</v>
      </c>
      <c r="G276" s="4" t="s">
        <v>1013</v>
      </c>
      <c r="H276" s="4" t="s">
        <v>1014</v>
      </c>
      <c r="I276" s="29">
        <v>2732.4</v>
      </c>
      <c r="J276" s="6" t="s">
        <v>18</v>
      </c>
      <c r="K276" s="6" t="s">
        <v>18</v>
      </c>
      <c r="L276" s="6" t="s">
        <v>18</v>
      </c>
      <c r="M276" s="11"/>
      <c r="N276" s="11"/>
    </row>
    <row r="277" spans="1:14" s="52" customFormat="1" ht="67.5">
      <c r="A277" s="51" t="s">
        <v>1019</v>
      </c>
      <c r="B277" s="13" t="s">
        <v>998</v>
      </c>
      <c r="C277" s="13" t="s">
        <v>867</v>
      </c>
      <c r="D277" s="11" t="s">
        <v>1011</v>
      </c>
      <c r="E277" s="17" t="s">
        <v>166</v>
      </c>
      <c r="F277" s="4" t="s">
        <v>1020</v>
      </c>
      <c r="G277" s="4" t="s">
        <v>1021</v>
      </c>
      <c r="H277" s="4" t="s">
        <v>1022</v>
      </c>
      <c r="I277" s="5">
        <v>1410.9</v>
      </c>
      <c r="J277" s="6" t="s">
        <v>18</v>
      </c>
      <c r="K277" s="6" t="s">
        <v>18</v>
      </c>
      <c r="L277" s="6" t="s">
        <v>18</v>
      </c>
      <c r="M277" s="11"/>
      <c r="N277" s="11"/>
    </row>
    <row r="278" spans="1:14" s="52" customFormat="1" ht="67.5">
      <c r="A278" s="51" t="s">
        <v>1023</v>
      </c>
      <c r="B278" s="13" t="s">
        <v>998</v>
      </c>
      <c r="C278" s="13" t="s">
        <v>867</v>
      </c>
      <c r="D278" s="11" t="s">
        <v>1011</v>
      </c>
      <c r="E278" s="17" t="s">
        <v>166</v>
      </c>
      <c r="F278" s="4" t="s">
        <v>1024</v>
      </c>
      <c r="G278" s="4" t="s">
        <v>1021</v>
      </c>
      <c r="H278" s="4" t="s">
        <v>1022</v>
      </c>
      <c r="I278" s="29">
        <v>2116.1999999999998</v>
      </c>
      <c r="J278" s="6" t="s">
        <v>18</v>
      </c>
      <c r="K278" s="6" t="s">
        <v>18</v>
      </c>
      <c r="L278" s="6" t="s">
        <v>18</v>
      </c>
      <c r="M278" s="11"/>
      <c r="N278" s="11"/>
    </row>
    <row r="279" spans="1:14" s="52" customFormat="1" ht="67.5">
      <c r="A279" s="51" t="s">
        <v>1025</v>
      </c>
      <c r="B279" s="13" t="s">
        <v>998</v>
      </c>
      <c r="C279" s="13" t="s">
        <v>867</v>
      </c>
      <c r="D279" s="11" t="s">
        <v>1011</v>
      </c>
      <c r="E279" s="17" t="s">
        <v>166</v>
      </c>
      <c r="F279" s="4" t="s">
        <v>1026</v>
      </c>
      <c r="G279" s="4" t="s">
        <v>1021</v>
      </c>
      <c r="H279" s="4" t="s">
        <v>1022</v>
      </c>
      <c r="I279" s="29">
        <v>1433.4</v>
      </c>
      <c r="J279" s="6" t="s">
        <v>18</v>
      </c>
      <c r="K279" s="6" t="s">
        <v>18</v>
      </c>
      <c r="L279" s="6" t="s">
        <v>18</v>
      </c>
      <c r="M279" s="11"/>
      <c r="N279" s="11"/>
    </row>
    <row r="280" spans="1:14" s="52" customFormat="1" ht="33.75">
      <c r="A280" s="50" t="s">
        <v>1027</v>
      </c>
      <c r="B280" s="13" t="s">
        <v>998</v>
      </c>
      <c r="C280" s="11" t="s">
        <v>867</v>
      </c>
      <c r="D280" s="11" t="s">
        <v>1028</v>
      </c>
      <c r="E280" s="4" t="s">
        <v>166</v>
      </c>
      <c r="F280" s="4" t="s">
        <v>1029</v>
      </c>
      <c r="G280" s="4" t="s">
        <v>777</v>
      </c>
      <c r="H280" s="4" t="s">
        <v>54</v>
      </c>
      <c r="I280" s="6">
        <v>705</v>
      </c>
      <c r="J280" s="6" t="s">
        <v>18</v>
      </c>
      <c r="K280" s="6" t="s">
        <v>18</v>
      </c>
      <c r="L280" s="6" t="s">
        <v>18</v>
      </c>
      <c r="M280" s="11"/>
      <c r="N280" s="11"/>
    </row>
    <row r="281" spans="1:14" s="52" customFormat="1" ht="33.75">
      <c r="A281" s="50" t="s">
        <v>1030</v>
      </c>
      <c r="B281" s="13" t="s">
        <v>998</v>
      </c>
      <c r="C281" s="11" t="s">
        <v>867</v>
      </c>
      <c r="D281" s="11" t="s">
        <v>1028</v>
      </c>
      <c r="E281" s="4" t="s">
        <v>166</v>
      </c>
      <c r="F281" s="4" t="s">
        <v>1031</v>
      </c>
      <c r="G281" s="4" t="s">
        <v>777</v>
      </c>
      <c r="H281" s="4" t="s">
        <v>54</v>
      </c>
      <c r="I281" s="6">
        <v>622.79999999999995</v>
      </c>
      <c r="J281" s="6" t="s">
        <v>18</v>
      </c>
      <c r="K281" s="6" t="s">
        <v>18</v>
      </c>
      <c r="L281" s="6" t="s">
        <v>18</v>
      </c>
      <c r="M281" s="11"/>
      <c r="N281" s="11"/>
    </row>
    <row r="282" spans="1:14" s="52" customFormat="1" ht="33.75">
      <c r="A282" s="50" t="s">
        <v>1032</v>
      </c>
      <c r="B282" s="13" t="s">
        <v>998</v>
      </c>
      <c r="C282" s="11" t="s">
        <v>867</v>
      </c>
      <c r="D282" s="11" t="s">
        <v>1028</v>
      </c>
      <c r="E282" s="4" t="s">
        <v>166</v>
      </c>
      <c r="F282" s="4" t="s">
        <v>1033</v>
      </c>
      <c r="G282" s="4" t="s">
        <v>777</v>
      </c>
      <c r="H282" s="4" t="s">
        <v>54</v>
      </c>
      <c r="I282" s="6">
        <v>616.79999999999995</v>
      </c>
      <c r="J282" s="6" t="s">
        <v>18</v>
      </c>
      <c r="K282" s="6" t="s">
        <v>18</v>
      </c>
      <c r="L282" s="6" t="s">
        <v>18</v>
      </c>
      <c r="M282" s="11"/>
      <c r="N282" s="11"/>
    </row>
    <row r="283" spans="1:14" s="52" customFormat="1" ht="33.75">
      <c r="A283" s="50" t="s">
        <v>1034</v>
      </c>
      <c r="B283" s="13" t="s">
        <v>998</v>
      </c>
      <c r="C283" s="11" t="s">
        <v>867</v>
      </c>
      <c r="D283" s="11" t="s">
        <v>1028</v>
      </c>
      <c r="E283" s="4" t="s">
        <v>166</v>
      </c>
      <c r="F283" s="4" t="s">
        <v>1035</v>
      </c>
      <c r="G283" s="4" t="s">
        <v>777</v>
      </c>
      <c r="H283" s="4" t="s">
        <v>54</v>
      </c>
      <c r="I283" s="6">
        <v>1300.5999999999999</v>
      </c>
      <c r="J283" s="6" t="s">
        <v>18</v>
      </c>
      <c r="K283" s="6" t="s">
        <v>18</v>
      </c>
      <c r="L283" s="6" t="s">
        <v>18</v>
      </c>
      <c r="M283" s="11"/>
      <c r="N283" s="11"/>
    </row>
    <row r="284" spans="1:14" ht="22.5">
      <c r="A284" s="50" t="s">
        <v>1036</v>
      </c>
      <c r="B284" s="11" t="s">
        <v>1037</v>
      </c>
      <c r="C284" s="11" t="s">
        <v>1038</v>
      </c>
      <c r="D284" s="11" t="s">
        <v>1039</v>
      </c>
      <c r="E284" s="4" t="s">
        <v>981</v>
      </c>
      <c r="F284" s="4" t="s">
        <v>1040</v>
      </c>
      <c r="G284" s="4" t="s">
        <v>1041</v>
      </c>
      <c r="H284" s="4" t="s">
        <v>133</v>
      </c>
      <c r="I284" s="6">
        <v>35808.5</v>
      </c>
      <c r="J284" s="6" t="s">
        <v>18</v>
      </c>
      <c r="K284" s="6" t="s">
        <v>18</v>
      </c>
      <c r="L284" s="25" t="s">
        <v>18</v>
      </c>
      <c r="M284" s="11"/>
      <c r="N284" s="11" t="s">
        <v>148</v>
      </c>
    </row>
    <row r="285" spans="1:14" ht="101.25">
      <c r="A285" s="50" t="s">
        <v>1042</v>
      </c>
      <c r="B285" s="11" t="s">
        <v>1043</v>
      </c>
      <c r="C285" s="11" t="s">
        <v>1044</v>
      </c>
      <c r="D285" s="11" t="s">
        <v>1045</v>
      </c>
      <c r="E285" s="4" t="s">
        <v>23</v>
      </c>
      <c r="F285" s="4" t="s">
        <v>3533</v>
      </c>
      <c r="G285" s="4" t="s">
        <v>712</v>
      </c>
      <c r="H285" s="4" t="s">
        <v>273</v>
      </c>
      <c r="I285" s="6">
        <v>3504.3</v>
      </c>
      <c r="J285" s="6" t="s">
        <v>18</v>
      </c>
      <c r="K285" s="6" t="s">
        <v>18</v>
      </c>
      <c r="L285" s="25" t="s">
        <v>18</v>
      </c>
      <c r="M285" s="11"/>
      <c r="N285" s="11" t="s">
        <v>148</v>
      </c>
    </row>
    <row r="286" spans="1:14" ht="45">
      <c r="A286" s="50" t="s">
        <v>1046</v>
      </c>
      <c r="B286" s="11" t="s">
        <v>1043</v>
      </c>
      <c r="C286" s="11" t="s">
        <v>1047</v>
      </c>
      <c r="D286" s="11" t="s">
        <v>1048</v>
      </c>
      <c r="E286" s="4" t="s">
        <v>1049</v>
      </c>
      <c r="F286" s="4" t="s">
        <v>1050</v>
      </c>
      <c r="G286" s="4" t="s">
        <v>712</v>
      </c>
      <c r="H286" s="4" t="s">
        <v>273</v>
      </c>
      <c r="I286" s="6">
        <v>2903.3</v>
      </c>
      <c r="J286" s="6" t="s">
        <v>18</v>
      </c>
      <c r="K286" s="6" t="s">
        <v>18</v>
      </c>
      <c r="L286" s="25" t="s">
        <v>18</v>
      </c>
      <c r="M286" s="11" t="s">
        <v>1051</v>
      </c>
      <c r="N286" s="11"/>
    </row>
    <row r="287" spans="1:14" ht="45">
      <c r="A287" s="50" t="s">
        <v>1052</v>
      </c>
      <c r="B287" s="11" t="s">
        <v>1043</v>
      </c>
      <c r="C287" s="11" t="s">
        <v>1047</v>
      </c>
      <c r="D287" s="11" t="s">
        <v>1053</v>
      </c>
      <c r="E287" s="4" t="s">
        <v>1049</v>
      </c>
      <c r="F287" s="4" t="s">
        <v>1054</v>
      </c>
      <c r="G287" s="4" t="s">
        <v>712</v>
      </c>
      <c r="H287" s="4" t="s">
        <v>273</v>
      </c>
      <c r="I287" s="6">
        <v>2309.1</v>
      </c>
      <c r="J287" s="6" t="s">
        <v>18</v>
      </c>
      <c r="K287" s="6" t="s">
        <v>18</v>
      </c>
      <c r="L287" s="25" t="s">
        <v>18</v>
      </c>
      <c r="M287" s="11" t="s">
        <v>1055</v>
      </c>
      <c r="N287" s="11"/>
    </row>
    <row r="288" spans="1:14" ht="22.5">
      <c r="A288" s="53" t="s">
        <v>1056</v>
      </c>
      <c r="B288" s="54" t="s">
        <v>1057</v>
      </c>
      <c r="C288" s="54" t="s">
        <v>1058</v>
      </c>
      <c r="D288" s="54" t="s">
        <v>1059</v>
      </c>
      <c r="E288" s="55" t="s">
        <v>14</v>
      </c>
      <c r="F288" s="55" t="s">
        <v>1060</v>
      </c>
      <c r="G288" s="55" t="s">
        <v>73</v>
      </c>
      <c r="H288" s="55" t="s">
        <v>74</v>
      </c>
      <c r="I288" s="6">
        <v>506.5</v>
      </c>
      <c r="J288" s="4" t="s">
        <v>118</v>
      </c>
      <c r="K288" s="6">
        <f>I288/10/0.25/2*0.25</f>
        <v>25.324999999999999</v>
      </c>
      <c r="L288" s="57" t="s">
        <v>18</v>
      </c>
      <c r="M288" s="58"/>
      <c r="N288" s="54"/>
    </row>
    <row r="289" spans="1:14" ht="33.75">
      <c r="A289" s="50" t="s">
        <v>1061</v>
      </c>
      <c r="B289" s="11" t="s">
        <v>1062</v>
      </c>
      <c r="C289" s="11" t="s">
        <v>1063</v>
      </c>
      <c r="D289" s="11" t="s">
        <v>1064</v>
      </c>
      <c r="E289" s="4" t="s">
        <v>71</v>
      </c>
      <c r="F289" s="4" t="s">
        <v>1065</v>
      </c>
      <c r="G289" s="4" t="s">
        <v>3699</v>
      </c>
      <c r="H289" s="4" t="s">
        <v>3700</v>
      </c>
      <c r="I289" s="6">
        <v>842.9</v>
      </c>
      <c r="J289" s="4" t="s">
        <v>226</v>
      </c>
      <c r="K289" s="6">
        <f>I289/6/150*200</f>
        <v>187.3111111111111</v>
      </c>
      <c r="L289" s="25" t="s">
        <v>18</v>
      </c>
      <c r="M289" s="11"/>
      <c r="N289" s="11"/>
    </row>
    <row r="290" spans="1:14" ht="22.5">
      <c r="A290" s="61" t="s">
        <v>1066</v>
      </c>
      <c r="B290" s="12" t="s">
        <v>1067</v>
      </c>
      <c r="C290" s="12" t="s">
        <v>1068</v>
      </c>
      <c r="D290" s="11" t="s">
        <v>1069</v>
      </c>
      <c r="E290" s="4" t="s">
        <v>981</v>
      </c>
      <c r="F290" s="4" t="s">
        <v>1070</v>
      </c>
      <c r="G290" s="4" t="s">
        <v>44</v>
      </c>
      <c r="H290" s="7" t="s">
        <v>45</v>
      </c>
      <c r="I290" s="6">
        <v>26010</v>
      </c>
      <c r="J290" s="7" t="s">
        <v>1071</v>
      </c>
      <c r="K290" s="6">
        <f>(I290/100)/10*6</f>
        <v>156.06</v>
      </c>
      <c r="L290" s="4" t="s">
        <v>18</v>
      </c>
      <c r="M290" s="11"/>
      <c r="N290" s="50"/>
    </row>
    <row r="291" spans="1:14" ht="33.75">
      <c r="A291" s="61" t="s">
        <v>1072</v>
      </c>
      <c r="B291" s="12" t="s">
        <v>1067</v>
      </c>
      <c r="C291" s="12" t="s">
        <v>1068</v>
      </c>
      <c r="D291" s="11" t="s">
        <v>1073</v>
      </c>
      <c r="E291" s="4" t="s">
        <v>981</v>
      </c>
      <c r="F291" s="4" t="s">
        <v>1074</v>
      </c>
      <c r="G291" s="7" t="s">
        <v>1075</v>
      </c>
      <c r="H291" s="7" t="s">
        <v>423</v>
      </c>
      <c r="I291" s="6">
        <v>1037.7</v>
      </c>
      <c r="J291" s="7" t="s">
        <v>1071</v>
      </c>
      <c r="K291" s="6">
        <f>(I291/10)/1*6</f>
        <v>622.62000000000012</v>
      </c>
      <c r="L291" s="4" t="s">
        <v>18</v>
      </c>
      <c r="M291" s="11"/>
      <c r="N291" s="50"/>
    </row>
    <row r="292" spans="1:14" ht="33.75">
      <c r="A292" s="61" t="s">
        <v>1076</v>
      </c>
      <c r="B292" s="12" t="s">
        <v>1067</v>
      </c>
      <c r="C292" s="12" t="s">
        <v>1068</v>
      </c>
      <c r="D292" s="11" t="s">
        <v>1073</v>
      </c>
      <c r="E292" s="4" t="s">
        <v>981</v>
      </c>
      <c r="F292" s="4" t="s">
        <v>1077</v>
      </c>
      <c r="G292" s="7" t="s">
        <v>1075</v>
      </c>
      <c r="H292" s="7" t="s">
        <v>423</v>
      </c>
      <c r="I292" s="6">
        <v>2046.9</v>
      </c>
      <c r="J292" s="7" t="s">
        <v>1071</v>
      </c>
      <c r="K292" s="6">
        <f>(I292/10)/4*6</f>
        <v>307.03499999999997</v>
      </c>
      <c r="L292" s="4" t="s">
        <v>18</v>
      </c>
      <c r="M292" s="11"/>
      <c r="N292" s="50"/>
    </row>
    <row r="293" spans="1:14" ht="22.5">
      <c r="A293" s="61" t="s">
        <v>3637</v>
      </c>
      <c r="B293" s="12" t="s">
        <v>1067</v>
      </c>
      <c r="C293" s="12" t="s">
        <v>1068</v>
      </c>
      <c r="D293" s="11" t="s">
        <v>3638</v>
      </c>
      <c r="E293" s="4" t="s">
        <v>981</v>
      </c>
      <c r="F293" s="4" t="s">
        <v>3639</v>
      </c>
      <c r="G293" s="7" t="s">
        <v>2945</v>
      </c>
      <c r="H293" s="7" t="s">
        <v>2677</v>
      </c>
      <c r="I293" s="6">
        <v>2601</v>
      </c>
      <c r="J293" s="7" t="s">
        <v>1071</v>
      </c>
      <c r="K293" s="6">
        <f>I293/100*6</f>
        <v>156.06</v>
      </c>
      <c r="L293" s="4" t="s">
        <v>18</v>
      </c>
      <c r="M293" s="11"/>
      <c r="N293" s="50"/>
    </row>
    <row r="294" spans="1:14" ht="22.5">
      <c r="A294" s="50" t="s">
        <v>1081</v>
      </c>
      <c r="B294" s="13" t="s">
        <v>1082</v>
      </c>
      <c r="C294" s="11" t="s">
        <v>1083</v>
      </c>
      <c r="D294" s="11" t="s">
        <v>1084</v>
      </c>
      <c r="E294" s="55" t="s">
        <v>14</v>
      </c>
      <c r="F294" s="55" t="s">
        <v>1085</v>
      </c>
      <c r="G294" s="55" t="s">
        <v>1075</v>
      </c>
      <c r="H294" s="55" t="s">
        <v>423</v>
      </c>
      <c r="I294" s="6">
        <v>7360.5</v>
      </c>
      <c r="J294" s="6" t="s">
        <v>1086</v>
      </c>
      <c r="K294" s="6">
        <f>+(I294/10)/0.5*4</f>
        <v>5888.4</v>
      </c>
      <c r="L294" s="25" t="s">
        <v>18</v>
      </c>
      <c r="M294" s="11"/>
      <c r="N294" s="11"/>
    </row>
    <row r="295" spans="1:14" ht="22.5">
      <c r="A295" s="50" t="s">
        <v>1087</v>
      </c>
      <c r="B295" s="13" t="s">
        <v>1082</v>
      </c>
      <c r="C295" s="11" t="s">
        <v>1083</v>
      </c>
      <c r="D295" s="11" t="s">
        <v>1084</v>
      </c>
      <c r="E295" s="55" t="s">
        <v>14</v>
      </c>
      <c r="F295" s="55" t="s">
        <v>1088</v>
      </c>
      <c r="G295" s="55" t="s">
        <v>1075</v>
      </c>
      <c r="H295" s="55" t="s">
        <v>423</v>
      </c>
      <c r="I295" s="6">
        <v>10753.6</v>
      </c>
      <c r="J295" s="6" t="s">
        <v>1086</v>
      </c>
      <c r="K295" s="6">
        <f>+(I295/10)/10*4</f>
        <v>430.14400000000006</v>
      </c>
      <c r="L295" s="25" t="s">
        <v>18</v>
      </c>
      <c r="M295" s="11"/>
      <c r="N295" s="11"/>
    </row>
    <row r="296" spans="1:14" ht="56.25">
      <c r="A296" s="50" t="s">
        <v>1089</v>
      </c>
      <c r="B296" s="11" t="s">
        <v>1090</v>
      </c>
      <c r="C296" s="11" t="s">
        <v>1091</v>
      </c>
      <c r="D296" s="11" t="s">
        <v>1092</v>
      </c>
      <c r="E296" s="4" t="s">
        <v>981</v>
      </c>
      <c r="F296" s="4" t="s">
        <v>1093</v>
      </c>
      <c r="G296" s="4" t="s">
        <v>1079</v>
      </c>
      <c r="H296" s="4" t="s">
        <v>34</v>
      </c>
      <c r="I296" s="6">
        <v>385.3</v>
      </c>
      <c r="J296" s="4" t="s">
        <v>1080</v>
      </c>
      <c r="K296" s="6">
        <f>I296/1/250*500</f>
        <v>770.6</v>
      </c>
      <c r="L296" s="25" t="s">
        <v>18</v>
      </c>
      <c r="M296" s="11"/>
      <c r="N296" s="11"/>
    </row>
    <row r="297" spans="1:14" ht="22.5">
      <c r="A297" s="9" t="s">
        <v>1094</v>
      </c>
      <c r="B297" s="11" t="s">
        <v>1090</v>
      </c>
      <c r="C297" s="1" t="s">
        <v>1091</v>
      </c>
      <c r="D297" s="11" t="s">
        <v>1095</v>
      </c>
      <c r="E297" s="4" t="s">
        <v>981</v>
      </c>
      <c r="F297" s="4" t="s">
        <v>1096</v>
      </c>
      <c r="G297" s="41" t="s">
        <v>1097</v>
      </c>
      <c r="H297" s="4" t="s">
        <v>34</v>
      </c>
      <c r="I297" s="6">
        <v>3853</v>
      </c>
      <c r="J297" s="6" t="s">
        <v>1098</v>
      </c>
      <c r="K297" s="6">
        <f>I297/10/250*500</f>
        <v>770.6</v>
      </c>
      <c r="L297" s="25" t="s">
        <v>18</v>
      </c>
      <c r="M297" s="11"/>
      <c r="N297" s="11"/>
    </row>
    <row r="298" spans="1:14" ht="22.5">
      <c r="A298" s="50" t="s">
        <v>1099</v>
      </c>
      <c r="B298" s="11" t="s">
        <v>1100</v>
      </c>
      <c r="C298" s="11" t="s">
        <v>1102</v>
      </c>
      <c r="D298" s="11" t="s">
        <v>3563</v>
      </c>
      <c r="E298" s="4" t="s">
        <v>981</v>
      </c>
      <c r="F298" s="4" t="s">
        <v>1101</v>
      </c>
      <c r="G298" s="4" t="s">
        <v>15</v>
      </c>
      <c r="H298" s="4" t="s">
        <v>16</v>
      </c>
      <c r="I298" s="6">
        <v>4004.9</v>
      </c>
      <c r="J298" s="4" t="s">
        <v>18</v>
      </c>
      <c r="K298" s="6" t="s">
        <v>18</v>
      </c>
      <c r="L298" s="25" t="s">
        <v>18</v>
      </c>
      <c r="M298" s="11"/>
      <c r="N298" s="11"/>
    </row>
    <row r="299" spans="1:14" ht="33.75">
      <c r="A299" s="50" t="s">
        <v>1103</v>
      </c>
      <c r="B299" s="11" t="s">
        <v>1104</v>
      </c>
      <c r="C299" s="11" t="s">
        <v>1105</v>
      </c>
      <c r="D299" s="11" t="s">
        <v>1106</v>
      </c>
      <c r="E299" s="4" t="s">
        <v>14</v>
      </c>
      <c r="F299" s="4" t="s">
        <v>1107</v>
      </c>
      <c r="G299" s="4" t="s">
        <v>1108</v>
      </c>
      <c r="H299" s="4" t="s">
        <v>1109</v>
      </c>
      <c r="I299" s="6">
        <v>962.1</v>
      </c>
      <c r="J299" s="4" t="s">
        <v>206</v>
      </c>
      <c r="K299" s="6">
        <f>I299/5/25*50</f>
        <v>384.84000000000003</v>
      </c>
      <c r="L299" s="25" t="s">
        <v>18</v>
      </c>
      <c r="M299" s="11"/>
      <c r="N299" s="11" t="s">
        <v>148</v>
      </c>
    </row>
    <row r="300" spans="1:14" ht="33.75">
      <c r="A300" s="50" t="s">
        <v>1110</v>
      </c>
      <c r="B300" s="11" t="s">
        <v>1104</v>
      </c>
      <c r="C300" s="11" t="s">
        <v>1105</v>
      </c>
      <c r="D300" s="11" t="s">
        <v>1111</v>
      </c>
      <c r="E300" s="4" t="s">
        <v>14</v>
      </c>
      <c r="F300" s="4" t="s">
        <v>1112</v>
      </c>
      <c r="G300" s="4" t="s">
        <v>1108</v>
      </c>
      <c r="H300" s="4" t="s">
        <v>1109</v>
      </c>
      <c r="I300" s="6">
        <v>902.1</v>
      </c>
      <c r="J300" s="4" t="s">
        <v>206</v>
      </c>
      <c r="K300" s="6">
        <f>I300/5/50*50</f>
        <v>180.42000000000002</v>
      </c>
      <c r="L300" s="25" t="s">
        <v>18</v>
      </c>
      <c r="M300" s="11"/>
      <c r="N300" s="11" t="s">
        <v>148</v>
      </c>
    </row>
    <row r="301" spans="1:14" s="52" customFormat="1" ht="33.75">
      <c r="A301" s="50" t="s">
        <v>1113</v>
      </c>
      <c r="B301" s="11" t="s">
        <v>1104</v>
      </c>
      <c r="C301" s="11" t="s">
        <v>1105</v>
      </c>
      <c r="D301" s="11" t="s">
        <v>1114</v>
      </c>
      <c r="E301" s="4" t="s">
        <v>71</v>
      </c>
      <c r="F301" s="4" t="s">
        <v>1115</v>
      </c>
      <c r="G301" s="4" t="s">
        <v>1116</v>
      </c>
      <c r="H301" s="4" t="s">
        <v>34</v>
      </c>
      <c r="I301" s="6">
        <v>962.1</v>
      </c>
      <c r="J301" s="4" t="s">
        <v>206</v>
      </c>
      <c r="K301" s="6">
        <f>I301/5/25*50</f>
        <v>384.84000000000003</v>
      </c>
      <c r="L301" s="25" t="s">
        <v>18</v>
      </c>
      <c r="M301" s="11"/>
      <c r="N301" s="11" t="s">
        <v>148</v>
      </c>
    </row>
    <row r="302" spans="1:14" s="52" customFormat="1" ht="33.75">
      <c r="A302" s="50" t="s">
        <v>1117</v>
      </c>
      <c r="B302" s="11" t="s">
        <v>1104</v>
      </c>
      <c r="C302" s="11" t="s">
        <v>1105</v>
      </c>
      <c r="D302" s="11" t="s">
        <v>1118</v>
      </c>
      <c r="E302" s="4" t="s">
        <v>71</v>
      </c>
      <c r="F302" s="4" t="s">
        <v>1119</v>
      </c>
      <c r="G302" s="4" t="s">
        <v>1116</v>
      </c>
      <c r="H302" s="4" t="s">
        <v>34</v>
      </c>
      <c r="I302" s="6">
        <v>902.1</v>
      </c>
      <c r="J302" s="4" t="s">
        <v>206</v>
      </c>
      <c r="K302" s="6">
        <f>I302/5/50*50</f>
        <v>180.42000000000002</v>
      </c>
      <c r="L302" s="25" t="s">
        <v>18</v>
      </c>
      <c r="M302" s="11"/>
      <c r="N302" s="11" t="s">
        <v>148</v>
      </c>
    </row>
    <row r="303" spans="1:14" ht="22.5">
      <c r="A303" s="50" t="s">
        <v>1120</v>
      </c>
      <c r="B303" s="11" t="s">
        <v>1121</v>
      </c>
      <c r="C303" s="11" t="s">
        <v>1122</v>
      </c>
      <c r="D303" s="11" t="s">
        <v>1123</v>
      </c>
      <c r="E303" s="4" t="s">
        <v>71</v>
      </c>
      <c r="F303" s="4" t="s">
        <v>1124</v>
      </c>
      <c r="G303" s="4" t="s">
        <v>73</v>
      </c>
      <c r="H303" s="4" t="s">
        <v>74</v>
      </c>
      <c r="I303" s="6">
        <v>374.2</v>
      </c>
      <c r="J303" s="4" t="s">
        <v>35</v>
      </c>
      <c r="K303" s="6">
        <f>I303/10/20*40</f>
        <v>74.84</v>
      </c>
      <c r="L303" s="25" t="s">
        <v>18</v>
      </c>
      <c r="M303" s="11"/>
      <c r="N303" s="11"/>
    </row>
    <row r="304" spans="1:14" ht="33.75">
      <c r="A304" s="9" t="s">
        <v>1125</v>
      </c>
      <c r="B304" s="11" t="s">
        <v>1121</v>
      </c>
      <c r="C304" s="1" t="s">
        <v>1122</v>
      </c>
      <c r="D304" s="11" t="s">
        <v>1126</v>
      </c>
      <c r="E304" s="4" t="s">
        <v>71</v>
      </c>
      <c r="F304" s="4" t="s">
        <v>1127</v>
      </c>
      <c r="G304" s="4" t="s">
        <v>1128</v>
      </c>
      <c r="H304" s="4" t="s">
        <v>1129</v>
      </c>
      <c r="I304" s="6">
        <v>149.5</v>
      </c>
      <c r="J304" s="31" t="s">
        <v>35</v>
      </c>
      <c r="K304" s="31">
        <f>I304/6/20*40</f>
        <v>49.833333333333336</v>
      </c>
      <c r="L304" s="25" t="s">
        <v>18</v>
      </c>
      <c r="M304" s="11"/>
      <c r="N304" s="11"/>
    </row>
    <row r="305" spans="1:14" ht="33.75">
      <c r="A305" s="11" t="s">
        <v>1130</v>
      </c>
      <c r="B305" s="11" t="s">
        <v>1121</v>
      </c>
      <c r="C305" s="11" t="s">
        <v>1122</v>
      </c>
      <c r="D305" s="12" t="s">
        <v>1131</v>
      </c>
      <c r="E305" s="4" t="s">
        <v>71</v>
      </c>
      <c r="F305" s="4" t="s">
        <v>1132</v>
      </c>
      <c r="G305" s="4" t="s">
        <v>1133</v>
      </c>
      <c r="H305" s="4" t="s">
        <v>26</v>
      </c>
      <c r="I305" s="6">
        <v>1683.9</v>
      </c>
      <c r="J305" s="6" t="s">
        <v>35</v>
      </c>
      <c r="K305" s="31">
        <f>I305/50/20*40</f>
        <v>67.356000000000009</v>
      </c>
      <c r="L305" s="25" t="s">
        <v>18</v>
      </c>
      <c r="M305" s="11"/>
      <c r="N305" s="11"/>
    </row>
    <row r="306" spans="1:14" ht="45">
      <c r="A306" s="11" t="s">
        <v>1134</v>
      </c>
      <c r="B306" s="11" t="s">
        <v>1121</v>
      </c>
      <c r="C306" s="11" t="s">
        <v>1122</v>
      </c>
      <c r="D306" s="11" t="s">
        <v>1135</v>
      </c>
      <c r="E306" s="4" t="s">
        <v>71</v>
      </c>
      <c r="F306" s="4" t="s">
        <v>1136</v>
      </c>
      <c r="G306" s="4" t="s">
        <v>1137</v>
      </c>
      <c r="H306" s="4" t="s">
        <v>1138</v>
      </c>
      <c r="I306" s="6">
        <v>336.8</v>
      </c>
      <c r="J306" s="4" t="s">
        <v>35</v>
      </c>
      <c r="K306" s="31">
        <f>I306/10/20*40</f>
        <v>67.36</v>
      </c>
      <c r="L306" s="25" t="s">
        <v>18</v>
      </c>
      <c r="M306" s="11"/>
      <c r="N306" s="11"/>
    </row>
    <row r="307" spans="1:14" ht="22.5">
      <c r="A307" s="50" t="s">
        <v>1139</v>
      </c>
      <c r="B307" s="11" t="s">
        <v>1140</v>
      </c>
      <c r="C307" s="11" t="s">
        <v>1141</v>
      </c>
      <c r="D307" s="11" t="s">
        <v>1142</v>
      </c>
      <c r="E307" s="4" t="s">
        <v>71</v>
      </c>
      <c r="F307" s="4" t="s">
        <v>1143</v>
      </c>
      <c r="G307" s="4" t="s">
        <v>15</v>
      </c>
      <c r="H307" s="4" t="s">
        <v>16</v>
      </c>
      <c r="I307" s="6">
        <v>345.5</v>
      </c>
      <c r="J307" s="4" t="s">
        <v>1144</v>
      </c>
      <c r="K307" s="6">
        <f>I307/5/5*150</f>
        <v>2073</v>
      </c>
      <c r="L307" s="25" t="s">
        <v>18</v>
      </c>
      <c r="M307" s="11"/>
      <c r="N307" s="11"/>
    </row>
    <row r="308" spans="1:14" ht="22.5">
      <c r="A308" s="61" t="s">
        <v>1145</v>
      </c>
      <c r="B308" s="12" t="s">
        <v>1140</v>
      </c>
      <c r="C308" s="10" t="s">
        <v>1141</v>
      </c>
      <c r="D308" s="10" t="s">
        <v>1146</v>
      </c>
      <c r="E308" s="70" t="s">
        <v>71</v>
      </c>
      <c r="F308" s="70" t="s">
        <v>1147</v>
      </c>
      <c r="G308" s="4" t="s">
        <v>73</v>
      </c>
      <c r="H308" s="70" t="s">
        <v>74</v>
      </c>
      <c r="I308" s="5">
        <v>691</v>
      </c>
      <c r="J308" s="6" t="s">
        <v>1144</v>
      </c>
      <c r="K308" s="5">
        <f>I308/10/5*150</f>
        <v>2073</v>
      </c>
      <c r="L308" s="25" t="s">
        <v>18</v>
      </c>
      <c r="M308" s="11"/>
      <c r="N308" s="11"/>
    </row>
    <row r="309" spans="1:14" ht="22.5">
      <c r="A309" s="61" t="s">
        <v>1148</v>
      </c>
      <c r="B309" s="12" t="s">
        <v>1140</v>
      </c>
      <c r="C309" s="10" t="s">
        <v>1141</v>
      </c>
      <c r="D309" s="10" t="s">
        <v>1146</v>
      </c>
      <c r="E309" s="70" t="s">
        <v>71</v>
      </c>
      <c r="F309" s="70" t="s">
        <v>1149</v>
      </c>
      <c r="G309" s="4" t="s">
        <v>73</v>
      </c>
      <c r="H309" s="70" t="s">
        <v>74</v>
      </c>
      <c r="I309" s="5">
        <v>3455.4</v>
      </c>
      <c r="J309" s="6" t="s">
        <v>1144</v>
      </c>
      <c r="K309" s="5">
        <f>I309/50/5*150</f>
        <v>2073.2400000000002</v>
      </c>
      <c r="L309" s="25" t="s">
        <v>18</v>
      </c>
      <c r="M309" s="11"/>
      <c r="N309" s="11"/>
    </row>
    <row r="310" spans="1:14" ht="22.5">
      <c r="A310" s="50" t="s">
        <v>1150</v>
      </c>
      <c r="B310" s="11" t="s">
        <v>1157</v>
      </c>
      <c r="C310" s="11" t="s">
        <v>1158</v>
      </c>
      <c r="D310" s="11" t="s">
        <v>1151</v>
      </c>
      <c r="E310" s="4" t="s">
        <v>166</v>
      </c>
      <c r="F310" s="4" t="s">
        <v>1152</v>
      </c>
      <c r="G310" s="4" t="s">
        <v>1153</v>
      </c>
      <c r="H310" s="4" t="s">
        <v>34</v>
      </c>
      <c r="I310" s="6">
        <v>603.4</v>
      </c>
      <c r="J310" s="4" t="s">
        <v>1154</v>
      </c>
      <c r="K310" s="6">
        <f>I310/1/10*50</f>
        <v>3017</v>
      </c>
      <c r="L310" s="25" t="s">
        <v>18</v>
      </c>
      <c r="M310" s="11"/>
      <c r="N310" s="11" t="s">
        <v>1155</v>
      </c>
    </row>
    <row r="311" spans="1:14" s="52" customFormat="1" ht="33.75">
      <c r="A311" s="50" t="s">
        <v>1156</v>
      </c>
      <c r="B311" s="11" t="s">
        <v>1157</v>
      </c>
      <c r="C311" s="11" t="s">
        <v>1158</v>
      </c>
      <c r="D311" s="11" t="s">
        <v>1159</v>
      </c>
      <c r="E311" s="4" t="s">
        <v>166</v>
      </c>
      <c r="F311" s="89" t="s">
        <v>1160</v>
      </c>
      <c r="G311" s="4" t="s">
        <v>1161</v>
      </c>
      <c r="H311" s="4" t="s">
        <v>34</v>
      </c>
      <c r="I311" s="6">
        <v>6034</v>
      </c>
      <c r="J311" s="4" t="s">
        <v>206</v>
      </c>
      <c r="K311" s="6">
        <f>I311/10/10*50</f>
        <v>3017</v>
      </c>
      <c r="L311" s="25" t="s">
        <v>18</v>
      </c>
      <c r="M311" s="11"/>
      <c r="N311" s="11" t="s">
        <v>1155</v>
      </c>
    </row>
    <row r="312" spans="1:14" ht="22.5">
      <c r="A312" s="53" t="s">
        <v>1162</v>
      </c>
      <c r="B312" s="54" t="s">
        <v>1163</v>
      </c>
      <c r="C312" s="54" t="s">
        <v>1164</v>
      </c>
      <c r="D312" s="54" t="s">
        <v>1165</v>
      </c>
      <c r="E312" s="55" t="s">
        <v>71</v>
      </c>
      <c r="F312" s="56" t="s">
        <v>1166</v>
      </c>
      <c r="G312" s="55" t="s">
        <v>73</v>
      </c>
      <c r="H312" s="55" t="s">
        <v>74</v>
      </c>
      <c r="I312" s="5">
        <v>300.2</v>
      </c>
      <c r="J312" s="4" t="s">
        <v>1167</v>
      </c>
      <c r="K312" s="5">
        <f>I312/10/5*240</f>
        <v>1440.9599999999998</v>
      </c>
      <c r="L312" s="21" t="s">
        <v>18</v>
      </c>
      <c r="M312" s="54"/>
      <c r="N312" s="54"/>
    </row>
    <row r="313" spans="1:14" ht="78.75">
      <c r="A313" s="50" t="s">
        <v>1168</v>
      </c>
      <c r="B313" s="11" t="s">
        <v>1169</v>
      </c>
      <c r="C313" s="11" t="s">
        <v>1170</v>
      </c>
      <c r="D313" s="11" t="s">
        <v>1171</v>
      </c>
      <c r="E313" s="4" t="s">
        <v>240</v>
      </c>
      <c r="F313" s="4" t="s">
        <v>1172</v>
      </c>
      <c r="G313" s="55" t="s">
        <v>1173</v>
      </c>
      <c r="H313" s="55" t="s">
        <v>377</v>
      </c>
      <c r="I313" s="6">
        <v>348.2</v>
      </c>
      <c r="J313" s="6" t="s">
        <v>61</v>
      </c>
      <c r="K313" s="6">
        <f>I313/28/7.5*30</f>
        <v>49.74285714285714</v>
      </c>
      <c r="L313" s="25" t="s">
        <v>18</v>
      </c>
      <c r="M313" s="11" t="s">
        <v>1174</v>
      </c>
      <c r="N313" s="11"/>
    </row>
    <row r="314" spans="1:14" ht="22.5">
      <c r="A314" s="50">
        <v>4156150</v>
      </c>
      <c r="B314" s="11" t="s">
        <v>1175</v>
      </c>
      <c r="C314" s="11" t="s">
        <v>1176</v>
      </c>
      <c r="D314" s="11" t="s">
        <v>1177</v>
      </c>
      <c r="E314" s="4" t="s">
        <v>1178</v>
      </c>
      <c r="F314" s="4" t="s">
        <v>1179</v>
      </c>
      <c r="G314" s="4" t="s">
        <v>15</v>
      </c>
      <c r="H314" s="4" t="s">
        <v>16</v>
      </c>
      <c r="I314" s="6">
        <v>386.2</v>
      </c>
      <c r="J314" s="4" t="s">
        <v>18</v>
      </c>
      <c r="K314" s="6" t="s">
        <v>18</v>
      </c>
      <c r="L314" s="25" t="s">
        <v>18</v>
      </c>
      <c r="M314" s="11"/>
      <c r="N314" s="11"/>
    </row>
    <row r="315" spans="1:14" ht="22.5">
      <c r="A315" s="71" t="s">
        <v>1180</v>
      </c>
      <c r="B315" s="72" t="s">
        <v>1175</v>
      </c>
      <c r="C315" s="72" t="s">
        <v>1181</v>
      </c>
      <c r="D315" s="60" t="s">
        <v>1182</v>
      </c>
      <c r="E315" s="35" t="s">
        <v>1178</v>
      </c>
      <c r="F315" s="35" t="s">
        <v>3564</v>
      </c>
      <c r="G315" s="35" t="s">
        <v>1183</v>
      </c>
      <c r="H315" s="35" t="s">
        <v>16</v>
      </c>
      <c r="I315" s="6">
        <v>92.9</v>
      </c>
      <c r="J315" s="4" t="s">
        <v>18</v>
      </c>
      <c r="K315" s="6" t="s">
        <v>18</v>
      </c>
      <c r="L315" s="25" t="s">
        <v>18</v>
      </c>
      <c r="M315" s="11"/>
      <c r="N315" s="11"/>
    </row>
    <row r="316" spans="1:14" ht="22.5">
      <c r="A316" s="71" t="s">
        <v>1184</v>
      </c>
      <c r="B316" s="72" t="s">
        <v>1175</v>
      </c>
      <c r="C316" s="72" t="s">
        <v>1181</v>
      </c>
      <c r="D316" s="72" t="s">
        <v>1185</v>
      </c>
      <c r="E316" s="35" t="s">
        <v>1178</v>
      </c>
      <c r="F316" s="35" t="s">
        <v>1179</v>
      </c>
      <c r="G316" s="35" t="s">
        <v>1183</v>
      </c>
      <c r="H316" s="35" t="s">
        <v>16</v>
      </c>
      <c r="I316" s="6">
        <v>386.2</v>
      </c>
      <c r="J316" s="4" t="s">
        <v>18</v>
      </c>
      <c r="K316" s="6" t="s">
        <v>18</v>
      </c>
      <c r="L316" s="25" t="s">
        <v>18</v>
      </c>
      <c r="M316" s="11"/>
      <c r="N316" s="11"/>
    </row>
    <row r="317" spans="1:14" ht="22.5">
      <c r="A317" s="71" t="s">
        <v>1186</v>
      </c>
      <c r="B317" s="72" t="s">
        <v>1175</v>
      </c>
      <c r="C317" s="72" t="s">
        <v>1181</v>
      </c>
      <c r="D317" s="72" t="s">
        <v>1185</v>
      </c>
      <c r="E317" s="35" t="s">
        <v>1187</v>
      </c>
      <c r="F317" s="35" t="s">
        <v>1188</v>
      </c>
      <c r="G317" s="35" t="s">
        <v>1183</v>
      </c>
      <c r="H317" s="35" t="s">
        <v>16</v>
      </c>
      <c r="I317" s="6">
        <v>92.9</v>
      </c>
      <c r="J317" s="4" t="s">
        <v>18</v>
      </c>
      <c r="K317" s="6" t="s">
        <v>18</v>
      </c>
      <c r="L317" s="25" t="s">
        <v>18</v>
      </c>
      <c r="M317" s="11"/>
      <c r="N317" s="11"/>
    </row>
    <row r="318" spans="1:14" ht="22.5">
      <c r="A318" s="71" t="s">
        <v>1189</v>
      </c>
      <c r="B318" s="72" t="s">
        <v>1175</v>
      </c>
      <c r="C318" s="72" t="s">
        <v>1181</v>
      </c>
      <c r="D318" s="72" t="s">
        <v>1185</v>
      </c>
      <c r="E318" s="35" t="s">
        <v>1187</v>
      </c>
      <c r="F318" s="35" t="s">
        <v>1190</v>
      </c>
      <c r="G318" s="35" t="s">
        <v>1183</v>
      </c>
      <c r="H318" s="35" t="s">
        <v>16</v>
      </c>
      <c r="I318" s="6">
        <v>386.2</v>
      </c>
      <c r="J318" s="4" t="s">
        <v>18</v>
      </c>
      <c r="K318" s="6" t="s">
        <v>18</v>
      </c>
      <c r="L318" s="25" t="s">
        <v>18</v>
      </c>
      <c r="M318" s="11"/>
      <c r="N318" s="11"/>
    </row>
    <row r="319" spans="1:14" ht="22.5">
      <c r="A319" s="50" t="s">
        <v>1191</v>
      </c>
      <c r="B319" s="11" t="s">
        <v>1192</v>
      </c>
      <c r="C319" s="11" t="s">
        <v>1193</v>
      </c>
      <c r="D319" s="11" t="s">
        <v>1194</v>
      </c>
      <c r="E319" s="4" t="s">
        <v>1195</v>
      </c>
      <c r="F319" s="4" t="s">
        <v>1196</v>
      </c>
      <c r="G319" s="4" t="s">
        <v>15</v>
      </c>
      <c r="H319" s="4" t="s">
        <v>16</v>
      </c>
      <c r="I319" s="6">
        <v>594.29999999999995</v>
      </c>
      <c r="J319" s="4" t="s">
        <v>1197</v>
      </c>
      <c r="K319" s="6">
        <f>I319/50/0.1*0.2</f>
        <v>23.771999999999998</v>
      </c>
      <c r="L319" s="25" t="s">
        <v>18</v>
      </c>
      <c r="M319" s="11"/>
      <c r="N319" s="11"/>
    </row>
    <row r="320" spans="1:14" ht="22.5">
      <c r="A320" s="50" t="s">
        <v>1198</v>
      </c>
      <c r="B320" s="11" t="s">
        <v>1192</v>
      </c>
      <c r="C320" s="11" t="s">
        <v>1193</v>
      </c>
      <c r="D320" s="11" t="s">
        <v>3701</v>
      </c>
      <c r="E320" s="4" t="s">
        <v>71</v>
      </c>
      <c r="F320" s="4" t="s">
        <v>3702</v>
      </c>
      <c r="G320" s="4" t="s">
        <v>15</v>
      </c>
      <c r="H320" s="4" t="s">
        <v>16</v>
      </c>
      <c r="I320" s="6">
        <v>1197.4000000000001</v>
      </c>
      <c r="J320" s="4" t="s">
        <v>1197</v>
      </c>
      <c r="K320" s="6">
        <f>I320/50/0.2*0.2</f>
        <v>23.948</v>
      </c>
      <c r="L320" s="25" t="s">
        <v>18</v>
      </c>
      <c r="M320" s="11"/>
      <c r="N320" s="11"/>
    </row>
    <row r="321" spans="1:14" ht="33.75">
      <c r="A321" s="50" t="s">
        <v>1199</v>
      </c>
      <c r="B321" s="11" t="s">
        <v>1200</v>
      </c>
      <c r="C321" s="11" t="s">
        <v>1201</v>
      </c>
      <c r="D321" s="11" t="s">
        <v>1202</v>
      </c>
      <c r="E321" s="4" t="s">
        <v>1203</v>
      </c>
      <c r="F321" s="4" t="s">
        <v>1204</v>
      </c>
      <c r="G321" s="4" t="s">
        <v>283</v>
      </c>
      <c r="H321" s="4" t="s">
        <v>284</v>
      </c>
      <c r="I321" s="6">
        <v>2747</v>
      </c>
      <c r="J321" s="4" t="s">
        <v>1205</v>
      </c>
      <c r="K321" s="6">
        <f>I321/1/3*0.5</f>
        <v>457.83333333333331</v>
      </c>
      <c r="L321" s="25" t="s">
        <v>18</v>
      </c>
      <c r="M321" s="11"/>
      <c r="N321" s="11" t="s">
        <v>340</v>
      </c>
    </row>
    <row r="322" spans="1:14">
      <c r="A322" s="50" t="s">
        <v>1206</v>
      </c>
      <c r="B322" s="11" t="s">
        <v>1200</v>
      </c>
      <c r="C322" s="11" t="s">
        <v>1201</v>
      </c>
      <c r="D322" s="11" t="s">
        <v>1207</v>
      </c>
      <c r="E322" s="4" t="s">
        <v>1208</v>
      </c>
      <c r="F322" s="4" t="s">
        <v>1209</v>
      </c>
      <c r="G322" s="4" t="s">
        <v>1210</v>
      </c>
      <c r="H322" s="4" t="s">
        <v>284</v>
      </c>
      <c r="I322" s="6">
        <v>4242</v>
      </c>
      <c r="J322" s="4" t="s">
        <v>1205</v>
      </c>
      <c r="K322" s="6">
        <f>I322/4/3*0.5</f>
        <v>176.75</v>
      </c>
      <c r="L322" s="25" t="s">
        <v>18</v>
      </c>
      <c r="M322" s="11"/>
      <c r="N322" s="11" t="s">
        <v>340</v>
      </c>
    </row>
    <row r="323" spans="1:14" ht="22.5">
      <c r="A323" s="50" t="s">
        <v>1211</v>
      </c>
      <c r="B323" s="11" t="s">
        <v>1212</v>
      </c>
      <c r="C323" s="11" t="s">
        <v>1213</v>
      </c>
      <c r="D323" s="11" t="s">
        <v>1214</v>
      </c>
      <c r="E323" s="4" t="s">
        <v>71</v>
      </c>
      <c r="F323" s="4" t="s">
        <v>1215</v>
      </c>
      <c r="G323" s="4" t="s">
        <v>283</v>
      </c>
      <c r="H323" s="4" t="s">
        <v>284</v>
      </c>
      <c r="I323" s="6">
        <v>1863</v>
      </c>
      <c r="J323" s="4" t="s">
        <v>1216</v>
      </c>
      <c r="K323" s="6">
        <f>I323/1/250*2500</f>
        <v>18630</v>
      </c>
      <c r="L323" s="25" t="s">
        <v>18</v>
      </c>
      <c r="M323" s="11"/>
      <c r="N323" s="11" t="s">
        <v>340</v>
      </c>
    </row>
    <row r="324" spans="1:14" ht="22.5">
      <c r="A324" s="50" t="s">
        <v>1217</v>
      </c>
      <c r="B324" s="11" t="s">
        <v>1218</v>
      </c>
      <c r="C324" s="11" t="s">
        <v>1219</v>
      </c>
      <c r="D324" s="11" t="s">
        <v>1220</v>
      </c>
      <c r="E324" s="4" t="s">
        <v>71</v>
      </c>
      <c r="F324" s="4" t="s">
        <v>1221</v>
      </c>
      <c r="G324" s="4" t="s">
        <v>90</v>
      </c>
      <c r="H324" s="4" t="s">
        <v>16</v>
      </c>
      <c r="I324" s="6">
        <v>1796.9</v>
      </c>
      <c r="J324" s="4" t="s">
        <v>1222</v>
      </c>
      <c r="K324" s="6">
        <f>I324/5/250*18</f>
        <v>25.875359999999997</v>
      </c>
      <c r="L324" s="25" t="s">
        <v>18</v>
      </c>
      <c r="M324" s="11"/>
      <c r="N324" s="11"/>
    </row>
    <row r="325" spans="1:14" ht="33.75">
      <c r="A325" s="50" t="s">
        <v>1224</v>
      </c>
      <c r="B325" s="11" t="s">
        <v>1225</v>
      </c>
      <c r="C325" s="11" t="s">
        <v>1226</v>
      </c>
      <c r="D325" s="11" t="s">
        <v>1227</v>
      </c>
      <c r="E325" s="4" t="s">
        <v>1228</v>
      </c>
      <c r="F325" s="4" t="s">
        <v>1229</v>
      </c>
      <c r="G325" s="4" t="s">
        <v>1230</v>
      </c>
      <c r="H325" s="4" t="s">
        <v>1231</v>
      </c>
      <c r="I325" s="6">
        <v>3474</v>
      </c>
      <c r="J325" s="6" t="s">
        <v>1232</v>
      </c>
      <c r="K325" s="6">
        <f>I325/15/90*90</f>
        <v>231.6</v>
      </c>
      <c r="L325" s="25" t="s">
        <v>18</v>
      </c>
      <c r="M325" s="11" t="s">
        <v>1233</v>
      </c>
      <c r="N325" s="11"/>
    </row>
    <row r="326" spans="1:14" ht="22.5">
      <c r="A326" s="50" t="s">
        <v>1234</v>
      </c>
      <c r="B326" s="11" t="s">
        <v>1225</v>
      </c>
      <c r="C326" s="11" t="s">
        <v>1226</v>
      </c>
      <c r="D326" s="11" t="s">
        <v>1235</v>
      </c>
      <c r="E326" s="4" t="s">
        <v>71</v>
      </c>
      <c r="F326" s="4" t="s">
        <v>1236</v>
      </c>
      <c r="G326" s="4" t="s">
        <v>1237</v>
      </c>
      <c r="H326" s="4" t="s">
        <v>423</v>
      </c>
      <c r="I326" s="6">
        <v>3057.7</v>
      </c>
      <c r="J326" s="6" t="s">
        <v>1238</v>
      </c>
      <c r="K326" s="6">
        <f>+(I326/7)/25*5</f>
        <v>87.362857142857138</v>
      </c>
      <c r="L326" s="25" t="s">
        <v>18</v>
      </c>
      <c r="M326" s="11" t="s">
        <v>3665</v>
      </c>
      <c r="N326" s="11" t="s">
        <v>3666</v>
      </c>
    </row>
    <row r="327" spans="1:14" ht="78.75">
      <c r="A327" s="50" t="s">
        <v>1239</v>
      </c>
      <c r="B327" s="11" t="s">
        <v>1240</v>
      </c>
      <c r="C327" s="11" t="s">
        <v>1241</v>
      </c>
      <c r="D327" s="11" t="s">
        <v>1242</v>
      </c>
      <c r="E327" s="4" t="s">
        <v>345</v>
      </c>
      <c r="F327" s="4" t="s">
        <v>1243</v>
      </c>
      <c r="G327" s="4" t="s">
        <v>1244</v>
      </c>
      <c r="H327" s="4" t="s">
        <v>34</v>
      </c>
      <c r="I327" s="6">
        <v>17604</v>
      </c>
      <c r="J327" s="4" t="s">
        <v>1245</v>
      </c>
      <c r="K327" s="6">
        <f>+(I327/10)/75*75</f>
        <v>1760.4</v>
      </c>
      <c r="L327" s="25" t="s">
        <v>18</v>
      </c>
      <c r="M327" s="11" t="s">
        <v>1246</v>
      </c>
      <c r="N327" s="84" t="s">
        <v>1247</v>
      </c>
    </row>
    <row r="328" spans="1:14" ht="78.75">
      <c r="A328" s="88" t="s">
        <v>1248</v>
      </c>
      <c r="B328" s="62" t="s">
        <v>1240</v>
      </c>
      <c r="C328" s="54" t="s">
        <v>1241</v>
      </c>
      <c r="D328" s="54" t="s">
        <v>1242</v>
      </c>
      <c r="E328" s="55" t="s">
        <v>1249</v>
      </c>
      <c r="F328" s="55" t="s">
        <v>1250</v>
      </c>
      <c r="G328" s="55" t="s">
        <v>197</v>
      </c>
      <c r="H328" s="55" t="s">
        <v>198</v>
      </c>
      <c r="I328" s="6">
        <v>14923</v>
      </c>
      <c r="J328" s="7" t="s">
        <v>1245</v>
      </c>
      <c r="K328" s="6">
        <f>I328/600*75</f>
        <v>1865.375</v>
      </c>
      <c r="L328" s="57" t="s">
        <v>18</v>
      </c>
      <c r="M328" s="54" t="s">
        <v>1251</v>
      </c>
      <c r="N328" s="93" t="s">
        <v>1247</v>
      </c>
    </row>
    <row r="329" spans="1:14" ht="78.75">
      <c r="A329" s="50" t="s">
        <v>1252</v>
      </c>
      <c r="B329" s="11" t="s">
        <v>1240</v>
      </c>
      <c r="C329" s="11" t="s">
        <v>1241</v>
      </c>
      <c r="D329" s="11" t="s">
        <v>1253</v>
      </c>
      <c r="E329" s="4" t="s">
        <v>345</v>
      </c>
      <c r="F329" s="4" t="s">
        <v>1254</v>
      </c>
      <c r="G329" s="4" t="s">
        <v>1255</v>
      </c>
      <c r="H329" s="4" t="s">
        <v>423</v>
      </c>
      <c r="I329" s="6">
        <v>1760.4</v>
      </c>
      <c r="J329" s="4" t="s">
        <v>1245</v>
      </c>
      <c r="K329" s="6">
        <f>+(I329/1)/75*75</f>
        <v>1760.4</v>
      </c>
      <c r="L329" s="25" t="s">
        <v>18</v>
      </c>
      <c r="M329" s="11" t="s">
        <v>1256</v>
      </c>
      <c r="N329" s="84" t="s">
        <v>1247</v>
      </c>
    </row>
    <row r="330" spans="1:14" ht="78.75">
      <c r="A330" s="50" t="s">
        <v>3776</v>
      </c>
      <c r="B330" s="11" t="s">
        <v>1240</v>
      </c>
      <c r="C330" s="11" t="s">
        <v>1241</v>
      </c>
      <c r="D330" s="11" t="s">
        <v>1253</v>
      </c>
      <c r="E330" s="4" t="s">
        <v>345</v>
      </c>
      <c r="F330" s="4" t="s">
        <v>3777</v>
      </c>
      <c r="G330" s="4" t="s">
        <v>1255</v>
      </c>
      <c r="H330" s="4" t="s">
        <v>423</v>
      </c>
      <c r="I330" s="6">
        <v>3520.8</v>
      </c>
      <c r="J330" s="4" t="s">
        <v>1245</v>
      </c>
      <c r="K330" s="6">
        <f>+(I330/1)/150*75</f>
        <v>1760.4</v>
      </c>
      <c r="L330" s="25" t="s">
        <v>18</v>
      </c>
      <c r="M330" s="11" t="s">
        <v>1256</v>
      </c>
      <c r="N330" s="84" t="s">
        <v>1247</v>
      </c>
    </row>
    <row r="331" spans="1:14" ht="78.75">
      <c r="A331" s="50" t="s">
        <v>1257</v>
      </c>
      <c r="B331" s="11" t="s">
        <v>1258</v>
      </c>
      <c r="C331" s="11" t="s">
        <v>1259</v>
      </c>
      <c r="D331" s="11" t="s">
        <v>1260</v>
      </c>
      <c r="E331" s="4" t="s">
        <v>345</v>
      </c>
      <c r="F331" s="4" t="s">
        <v>1261</v>
      </c>
      <c r="G331" s="4" t="s">
        <v>1255</v>
      </c>
      <c r="H331" s="4" t="s">
        <v>423</v>
      </c>
      <c r="I331" s="6">
        <v>1239.5999999999999</v>
      </c>
      <c r="J331" s="31" t="s">
        <v>1245</v>
      </c>
      <c r="K331" s="18">
        <f>I331/1/75*75</f>
        <v>1239.5999999999999</v>
      </c>
      <c r="L331" s="25" t="s">
        <v>18</v>
      </c>
      <c r="M331" s="11" t="s">
        <v>1246</v>
      </c>
      <c r="N331" s="84" t="s">
        <v>1247</v>
      </c>
    </row>
    <row r="332" spans="1:14" ht="135">
      <c r="A332" s="50" t="s">
        <v>1267</v>
      </c>
      <c r="B332" s="11" t="s">
        <v>1262</v>
      </c>
      <c r="C332" s="11" t="s">
        <v>1268</v>
      </c>
      <c r="D332" s="11" t="s">
        <v>1269</v>
      </c>
      <c r="E332" s="4" t="s">
        <v>1321</v>
      </c>
      <c r="F332" s="4" t="s">
        <v>3703</v>
      </c>
      <c r="G332" s="4" t="s">
        <v>1263</v>
      </c>
      <c r="H332" s="4" t="s">
        <v>1264</v>
      </c>
      <c r="I332" s="6">
        <v>9091.6</v>
      </c>
      <c r="J332" s="4" t="s">
        <v>1245</v>
      </c>
      <c r="K332" s="6">
        <f>I332/300*75</f>
        <v>2272.9</v>
      </c>
      <c r="L332" s="25" t="s">
        <v>18</v>
      </c>
      <c r="M332" s="11" t="s">
        <v>1265</v>
      </c>
      <c r="N332" s="84" t="s">
        <v>1266</v>
      </c>
    </row>
    <row r="333" spans="1:14" ht="135">
      <c r="A333" s="50" t="s">
        <v>1271</v>
      </c>
      <c r="B333" s="11" t="s">
        <v>1262</v>
      </c>
      <c r="C333" s="11" t="s">
        <v>1268</v>
      </c>
      <c r="D333" s="11" t="s">
        <v>1272</v>
      </c>
      <c r="E333" s="4" t="s">
        <v>1321</v>
      </c>
      <c r="F333" s="4" t="s">
        <v>3704</v>
      </c>
      <c r="G333" s="4" t="s">
        <v>1263</v>
      </c>
      <c r="H333" s="4" t="s">
        <v>1264</v>
      </c>
      <c r="I333" s="6">
        <v>13606.8</v>
      </c>
      <c r="J333" s="4" t="s">
        <v>1245</v>
      </c>
      <c r="K333" s="6">
        <f>I333/450*75</f>
        <v>2267.7999999999997</v>
      </c>
      <c r="L333" s="25" t="s">
        <v>18</v>
      </c>
      <c r="M333" s="11" t="s">
        <v>1265</v>
      </c>
      <c r="N333" s="84" t="s">
        <v>1266</v>
      </c>
    </row>
    <row r="334" spans="1:14" ht="135">
      <c r="A334" s="50" t="s">
        <v>1273</v>
      </c>
      <c r="B334" s="11" t="s">
        <v>1262</v>
      </c>
      <c r="C334" s="11" t="s">
        <v>1268</v>
      </c>
      <c r="D334" s="11" t="s">
        <v>1274</v>
      </c>
      <c r="E334" s="4" t="s">
        <v>1321</v>
      </c>
      <c r="F334" s="4" t="s">
        <v>3705</v>
      </c>
      <c r="G334" s="4" t="s">
        <v>1263</v>
      </c>
      <c r="H334" s="4" t="s">
        <v>1264</v>
      </c>
      <c r="I334" s="6">
        <v>27154.799999999999</v>
      </c>
      <c r="J334" s="4" t="s">
        <v>1245</v>
      </c>
      <c r="K334" s="6">
        <f>I334/900*75</f>
        <v>2262.9</v>
      </c>
      <c r="L334" s="25" t="s">
        <v>18</v>
      </c>
      <c r="M334" s="11" t="s">
        <v>1265</v>
      </c>
      <c r="N334" s="84" t="s">
        <v>1266</v>
      </c>
    </row>
    <row r="335" spans="1:14" ht="135">
      <c r="A335" s="50" t="s">
        <v>1275</v>
      </c>
      <c r="B335" s="11" t="s">
        <v>1262</v>
      </c>
      <c r="C335" s="11" t="s">
        <v>1268</v>
      </c>
      <c r="D335" s="11" t="s">
        <v>1276</v>
      </c>
      <c r="E335" s="4" t="s">
        <v>1270</v>
      </c>
      <c r="F335" s="4" t="s">
        <v>1277</v>
      </c>
      <c r="G335" s="4" t="s">
        <v>1278</v>
      </c>
      <c r="H335" s="4" t="s">
        <v>1279</v>
      </c>
      <c r="I335" s="6">
        <v>3531.4</v>
      </c>
      <c r="J335" s="4" t="s">
        <v>1280</v>
      </c>
      <c r="K335" s="6">
        <f>I335/150*75</f>
        <v>1765.6999999999998</v>
      </c>
      <c r="L335" s="57" t="s">
        <v>18</v>
      </c>
      <c r="M335" s="54" t="s">
        <v>1265</v>
      </c>
      <c r="N335" s="93" t="s">
        <v>1266</v>
      </c>
    </row>
    <row r="336" spans="1:14" ht="135">
      <c r="A336" s="50" t="s">
        <v>1281</v>
      </c>
      <c r="B336" s="11" t="s">
        <v>1262</v>
      </c>
      <c r="C336" s="11" t="s">
        <v>1268</v>
      </c>
      <c r="D336" s="11" t="s">
        <v>1276</v>
      </c>
      <c r="E336" s="4" t="s">
        <v>1270</v>
      </c>
      <c r="F336" s="4" t="s">
        <v>1282</v>
      </c>
      <c r="G336" s="4" t="s">
        <v>1278</v>
      </c>
      <c r="H336" s="4" t="s">
        <v>1279</v>
      </c>
      <c r="I336" s="6">
        <v>4718.3</v>
      </c>
      <c r="J336" s="4" t="s">
        <v>1280</v>
      </c>
      <c r="K336" s="6">
        <f>I336/225*75</f>
        <v>1572.7666666666667</v>
      </c>
      <c r="L336" s="57" t="s">
        <v>18</v>
      </c>
      <c r="M336" s="54" t="s">
        <v>1265</v>
      </c>
      <c r="N336" s="93" t="s">
        <v>1266</v>
      </c>
    </row>
    <row r="337" spans="1:14" ht="135">
      <c r="A337" s="50" t="s">
        <v>1283</v>
      </c>
      <c r="B337" s="11" t="s">
        <v>1262</v>
      </c>
      <c r="C337" s="11" t="s">
        <v>1268</v>
      </c>
      <c r="D337" s="11" t="s">
        <v>1276</v>
      </c>
      <c r="E337" s="4" t="s">
        <v>1270</v>
      </c>
      <c r="F337" s="4" t="s">
        <v>1284</v>
      </c>
      <c r="G337" s="4" t="s">
        <v>1278</v>
      </c>
      <c r="H337" s="4" t="s">
        <v>1279</v>
      </c>
      <c r="I337" s="6">
        <v>1742.3</v>
      </c>
      <c r="J337" s="4" t="s">
        <v>1280</v>
      </c>
      <c r="K337" s="6">
        <f>+I337/75*75</f>
        <v>1742.2999999999997</v>
      </c>
      <c r="L337" s="55" t="s">
        <v>18</v>
      </c>
      <c r="M337" s="54" t="s">
        <v>1265</v>
      </c>
      <c r="N337" s="54" t="s">
        <v>1266</v>
      </c>
    </row>
    <row r="338" spans="1:14" ht="135">
      <c r="A338" s="9" t="s">
        <v>1285</v>
      </c>
      <c r="B338" s="11" t="s">
        <v>1286</v>
      </c>
      <c r="C338" s="1" t="s">
        <v>1287</v>
      </c>
      <c r="D338" s="11" t="s">
        <v>1288</v>
      </c>
      <c r="E338" s="4" t="s">
        <v>1289</v>
      </c>
      <c r="F338" s="4" t="s">
        <v>1290</v>
      </c>
      <c r="G338" s="4" t="s">
        <v>1291</v>
      </c>
      <c r="H338" s="4" t="s">
        <v>145</v>
      </c>
      <c r="I338" s="6">
        <v>8179.5</v>
      </c>
      <c r="J338" s="6" t="s">
        <v>1245</v>
      </c>
      <c r="K338" s="6">
        <f>I338/300*75</f>
        <v>2044.875</v>
      </c>
      <c r="L338" s="25" t="s">
        <v>18</v>
      </c>
      <c r="M338" s="11" t="s">
        <v>1292</v>
      </c>
      <c r="N338" s="84" t="s">
        <v>1266</v>
      </c>
    </row>
    <row r="339" spans="1:14" ht="135">
      <c r="A339" s="9" t="s">
        <v>1293</v>
      </c>
      <c r="B339" s="11" t="s">
        <v>1286</v>
      </c>
      <c r="C339" s="1" t="s">
        <v>1287</v>
      </c>
      <c r="D339" s="11" t="s">
        <v>1288</v>
      </c>
      <c r="E339" s="4" t="s">
        <v>1289</v>
      </c>
      <c r="F339" s="4" t="s">
        <v>1294</v>
      </c>
      <c r="G339" s="4" t="s">
        <v>1291</v>
      </c>
      <c r="H339" s="4" t="s">
        <v>145</v>
      </c>
      <c r="I339" s="6">
        <v>16799.5</v>
      </c>
      <c r="J339" s="6" t="s">
        <v>1245</v>
      </c>
      <c r="K339" s="6">
        <f>I339/600*75</f>
        <v>2099.9375</v>
      </c>
      <c r="L339" s="25" t="s">
        <v>18</v>
      </c>
      <c r="M339" s="11" t="s">
        <v>1292</v>
      </c>
      <c r="N339" s="84" t="s">
        <v>1266</v>
      </c>
    </row>
    <row r="340" spans="1:14" ht="135">
      <c r="A340" s="9" t="s">
        <v>1295</v>
      </c>
      <c r="B340" s="11" t="s">
        <v>1286</v>
      </c>
      <c r="C340" s="1" t="s">
        <v>1287</v>
      </c>
      <c r="D340" s="11" t="s">
        <v>1288</v>
      </c>
      <c r="E340" s="4" t="s">
        <v>1289</v>
      </c>
      <c r="F340" s="4" t="s">
        <v>1296</v>
      </c>
      <c r="G340" s="4" t="s">
        <v>1291</v>
      </c>
      <c r="H340" s="4" t="s">
        <v>145</v>
      </c>
      <c r="I340" s="6">
        <v>27119.599999999999</v>
      </c>
      <c r="J340" s="6" t="s">
        <v>1245</v>
      </c>
      <c r="K340" s="6">
        <f>I340/900*75</f>
        <v>2259.9666666666662</v>
      </c>
      <c r="L340" s="25" t="s">
        <v>18</v>
      </c>
      <c r="M340" s="11" t="s">
        <v>1292</v>
      </c>
      <c r="N340" s="84" t="s">
        <v>1266</v>
      </c>
    </row>
    <row r="341" spans="1:14" s="63" customFormat="1" ht="45">
      <c r="A341" s="64" t="s">
        <v>1297</v>
      </c>
      <c r="B341" s="65" t="s">
        <v>1298</v>
      </c>
      <c r="C341" s="66" t="s">
        <v>1299</v>
      </c>
      <c r="D341" s="66" t="s">
        <v>1300</v>
      </c>
      <c r="E341" s="67" t="s">
        <v>281</v>
      </c>
      <c r="F341" s="67" t="s">
        <v>1301</v>
      </c>
      <c r="G341" s="4" t="s">
        <v>1263</v>
      </c>
      <c r="H341" s="4" t="s">
        <v>1264</v>
      </c>
      <c r="I341" s="6">
        <v>2569.5</v>
      </c>
      <c r="J341" s="26" t="s">
        <v>1302</v>
      </c>
      <c r="K341" s="29">
        <f>+I341/1/0.25*0.25</f>
        <v>2569.5</v>
      </c>
      <c r="L341" s="5" t="s">
        <v>18</v>
      </c>
      <c r="M341" s="11" t="s">
        <v>1303</v>
      </c>
      <c r="N341" s="11" t="s">
        <v>1304</v>
      </c>
    </row>
    <row r="342" spans="1:14" s="63" customFormat="1" ht="45">
      <c r="A342" s="64" t="s">
        <v>1305</v>
      </c>
      <c r="B342" s="65" t="s">
        <v>1298</v>
      </c>
      <c r="C342" s="66" t="s">
        <v>1299</v>
      </c>
      <c r="D342" s="66" t="s">
        <v>1300</v>
      </c>
      <c r="E342" s="67" t="s">
        <v>1270</v>
      </c>
      <c r="F342" s="67" t="s">
        <v>1306</v>
      </c>
      <c r="G342" s="4" t="s">
        <v>1307</v>
      </c>
      <c r="H342" s="4" t="s">
        <v>471</v>
      </c>
      <c r="I342" s="6">
        <v>2569.5</v>
      </c>
      <c r="J342" s="26" t="s">
        <v>1302</v>
      </c>
      <c r="K342" s="29">
        <f>I342/250*250</f>
        <v>2569.5</v>
      </c>
      <c r="L342" s="5" t="s">
        <v>18</v>
      </c>
      <c r="M342" s="11" t="s">
        <v>1303</v>
      </c>
      <c r="N342" s="11" t="s">
        <v>1304</v>
      </c>
    </row>
    <row r="343" spans="1:14" s="63" customFormat="1" ht="45">
      <c r="A343" s="61" t="s">
        <v>1308</v>
      </c>
      <c r="B343" s="12" t="s">
        <v>1309</v>
      </c>
      <c r="C343" s="11" t="s">
        <v>1310</v>
      </c>
      <c r="D343" s="11" t="s">
        <v>1311</v>
      </c>
      <c r="E343" s="4" t="s">
        <v>281</v>
      </c>
      <c r="F343" s="4" t="s">
        <v>1312</v>
      </c>
      <c r="G343" s="4" t="s">
        <v>1313</v>
      </c>
      <c r="H343" s="4" t="s">
        <v>155</v>
      </c>
      <c r="I343" s="6">
        <v>42117.1</v>
      </c>
      <c r="J343" s="7" t="s">
        <v>1314</v>
      </c>
      <c r="K343" s="5">
        <f>+I343/150*150</f>
        <v>42117.1</v>
      </c>
      <c r="L343" s="5" t="s">
        <v>18</v>
      </c>
      <c r="M343" s="11" t="s">
        <v>1303</v>
      </c>
      <c r="N343" s="11" t="s">
        <v>1304</v>
      </c>
    </row>
    <row r="344" spans="1:14" s="63" customFormat="1" ht="45">
      <c r="A344" s="61" t="s">
        <v>1315</v>
      </c>
      <c r="B344" s="12" t="s">
        <v>1309</v>
      </c>
      <c r="C344" s="11" t="s">
        <v>1310</v>
      </c>
      <c r="D344" s="11" t="s">
        <v>1311</v>
      </c>
      <c r="E344" s="4" t="s">
        <v>281</v>
      </c>
      <c r="F344" s="4" t="s">
        <v>1316</v>
      </c>
      <c r="G344" s="4" t="s">
        <v>1313</v>
      </c>
      <c r="H344" s="4" t="s">
        <v>155</v>
      </c>
      <c r="I344" s="6">
        <v>42174.5</v>
      </c>
      <c r="J344" s="7" t="s">
        <v>1314</v>
      </c>
      <c r="K344" s="5">
        <f>+I344/100*150</f>
        <v>63261.75</v>
      </c>
      <c r="L344" s="5" t="s">
        <v>18</v>
      </c>
      <c r="M344" s="11" t="s">
        <v>1303</v>
      </c>
      <c r="N344" s="11" t="s">
        <v>1304</v>
      </c>
    </row>
    <row r="345" spans="1:14" s="52" customFormat="1" ht="45">
      <c r="A345" s="61" t="s">
        <v>1317</v>
      </c>
      <c r="B345" s="50" t="s">
        <v>1318</v>
      </c>
      <c r="C345" s="12" t="s">
        <v>1319</v>
      </c>
      <c r="D345" s="10" t="s">
        <v>1320</v>
      </c>
      <c r="E345" s="70" t="s">
        <v>1321</v>
      </c>
      <c r="F345" s="70" t="s">
        <v>1322</v>
      </c>
      <c r="G345" s="70" t="s">
        <v>1244</v>
      </c>
      <c r="H345" s="70" t="s">
        <v>34</v>
      </c>
      <c r="I345" s="32">
        <v>5701.6</v>
      </c>
      <c r="J345" s="5" t="s">
        <v>1323</v>
      </c>
      <c r="K345" s="5">
        <f>I345/12*12</f>
        <v>5701.6</v>
      </c>
      <c r="L345" s="5" t="s">
        <v>18</v>
      </c>
      <c r="M345" s="14" t="s">
        <v>1303</v>
      </c>
      <c r="N345" s="14" t="s">
        <v>1324</v>
      </c>
    </row>
    <row r="346" spans="1:14" s="52" customFormat="1" ht="45">
      <c r="A346" s="61" t="s">
        <v>1325</v>
      </c>
      <c r="B346" s="50" t="s">
        <v>1318</v>
      </c>
      <c r="C346" s="12" t="s">
        <v>1319</v>
      </c>
      <c r="D346" s="10" t="s">
        <v>1320</v>
      </c>
      <c r="E346" s="70" t="s">
        <v>1321</v>
      </c>
      <c r="F346" s="70" t="s">
        <v>1326</v>
      </c>
      <c r="G346" s="70" t="s">
        <v>1244</v>
      </c>
      <c r="H346" s="70" t="s">
        <v>34</v>
      </c>
      <c r="I346" s="32">
        <v>16988.7</v>
      </c>
      <c r="J346" s="5" t="s">
        <v>1323</v>
      </c>
      <c r="K346" s="5">
        <f>I346/36*12</f>
        <v>5662.9000000000005</v>
      </c>
      <c r="L346" s="5" t="s">
        <v>18</v>
      </c>
      <c r="M346" s="14" t="s">
        <v>1303</v>
      </c>
      <c r="N346" s="14" t="s">
        <v>1324</v>
      </c>
    </row>
    <row r="347" spans="1:14" s="52" customFormat="1" ht="45">
      <c r="A347" s="61" t="s">
        <v>1327</v>
      </c>
      <c r="B347" s="50" t="s">
        <v>1318</v>
      </c>
      <c r="C347" s="12" t="s">
        <v>1319</v>
      </c>
      <c r="D347" s="10" t="s">
        <v>1320</v>
      </c>
      <c r="E347" s="70" t="s">
        <v>1321</v>
      </c>
      <c r="F347" s="70" t="s">
        <v>1328</v>
      </c>
      <c r="G347" s="70" t="s">
        <v>1244</v>
      </c>
      <c r="H347" s="70" t="s">
        <v>34</v>
      </c>
      <c r="I347" s="32">
        <v>33919</v>
      </c>
      <c r="J347" s="5" t="s">
        <v>1323</v>
      </c>
      <c r="K347" s="5">
        <f>I347/72*12</f>
        <v>5653.166666666667</v>
      </c>
      <c r="L347" s="5" t="s">
        <v>18</v>
      </c>
      <c r="M347" s="14" t="s">
        <v>1303</v>
      </c>
      <c r="N347" s="14" t="s">
        <v>1324</v>
      </c>
    </row>
    <row r="348" spans="1:14" s="63" customFormat="1" ht="45">
      <c r="A348" s="61" t="s">
        <v>1329</v>
      </c>
      <c r="B348" s="11" t="s">
        <v>1330</v>
      </c>
      <c r="C348" s="11" t="s">
        <v>1331</v>
      </c>
      <c r="D348" s="11" t="s">
        <v>1332</v>
      </c>
      <c r="E348" s="4" t="s">
        <v>345</v>
      </c>
      <c r="F348" s="4" t="s">
        <v>1333</v>
      </c>
      <c r="G348" s="4" t="s">
        <v>1334</v>
      </c>
      <c r="H348" s="4" t="s">
        <v>1335</v>
      </c>
      <c r="I348" s="6">
        <v>6928</v>
      </c>
      <c r="J348" s="7" t="s">
        <v>1336</v>
      </c>
      <c r="K348" s="5">
        <f>+I348/1/1*1</f>
        <v>6928</v>
      </c>
      <c r="L348" s="5" t="s">
        <v>18</v>
      </c>
      <c r="M348" s="11" t="s">
        <v>1303</v>
      </c>
      <c r="N348" s="11" t="s">
        <v>1304</v>
      </c>
    </row>
    <row r="349" spans="1:14" s="52" customFormat="1" ht="45">
      <c r="A349" s="51" t="s">
        <v>1337</v>
      </c>
      <c r="B349" s="13" t="s">
        <v>1330</v>
      </c>
      <c r="C349" s="11" t="s">
        <v>1331</v>
      </c>
      <c r="D349" s="11" t="s">
        <v>1332</v>
      </c>
      <c r="E349" s="17" t="s">
        <v>1321</v>
      </c>
      <c r="F349" s="4" t="s">
        <v>1338</v>
      </c>
      <c r="G349" s="4" t="s">
        <v>1307</v>
      </c>
      <c r="H349" s="4" t="s">
        <v>471</v>
      </c>
      <c r="I349" s="5">
        <v>13858.1</v>
      </c>
      <c r="J349" s="4" t="s">
        <v>1339</v>
      </c>
      <c r="K349" s="5">
        <f>I349/300*150</f>
        <v>6929.05</v>
      </c>
      <c r="L349" s="38" t="s">
        <v>18</v>
      </c>
      <c r="M349" s="11" t="s">
        <v>1303</v>
      </c>
      <c r="N349" s="11" t="s">
        <v>1304</v>
      </c>
    </row>
    <row r="350" spans="1:14" s="52" customFormat="1" ht="45">
      <c r="A350" s="51" t="s">
        <v>1340</v>
      </c>
      <c r="B350" s="13" t="s">
        <v>1330</v>
      </c>
      <c r="C350" s="11" t="s">
        <v>1331</v>
      </c>
      <c r="D350" s="11" t="s">
        <v>1332</v>
      </c>
      <c r="E350" s="17" t="s">
        <v>1321</v>
      </c>
      <c r="F350" s="4" t="s">
        <v>1341</v>
      </c>
      <c r="G350" s="4" t="s">
        <v>1307</v>
      </c>
      <c r="H350" s="4" t="s">
        <v>471</v>
      </c>
      <c r="I350" s="5">
        <v>20786.099999999999</v>
      </c>
      <c r="J350" s="4" t="s">
        <v>1339</v>
      </c>
      <c r="K350" s="5">
        <f>I350/450*150</f>
        <v>6928.7</v>
      </c>
      <c r="L350" s="38" t="s">
        <v>18</v>
      </c>
      <c r="M350" s="11" t="s">
        <v>1303</v>
      </c>
      <c r="N350" s="11" t="s">
        <v>1304</v>
      </c>
    </row>
    <row r="351" spans="1:14" s="52" customFormat="1" ht="45">
      <c r="A351" s="51" t="s">
        <v>1342</v>
      </c>
      <c r="B351" s="13" t="s">
        <v>1330</v>
      </c>
      <c r="C351" s="11" t="s">
        <v>1331</v>
      </c>
      <c r="D351" s="11" t="s">
        <v>1332</v>
      </c>
      <c r="E351" s="17" t="s">
        <v>1321</v>
      </c>
      <c r="F351" s="4" t="s">
        <v>1343</v>
      </c>
      <c r="G351" s="4" t="s">
        <v>1307</v>
      </c>
      <c r="H351" s="4" t="s">
        <v>471</v>
      </c>
      <c r="I351" s="5">
        <v>41200.9</v>
      </c>
      <c r="J351" s="4" t="s">
        <v>1339</v>
      </c>
      <c r="K351" s="5">
        <f>I351/900*150</f>
        <v>6866.8166666666666</v>
      </c>
      <c r="L351" s="38" t="s">
        <v>18</v>
      </c>
      <c r="M351" s="11" t="s">
        <v>1303</v>
      </c>
      <c r="N351" s="11" t="s">
        <v>1304</v>
      </c>
    </row>
    <row r="352" spans="1:14" ht="22.5">
      <c r="A352" s="50" t="s">
        <v>1344</v>
      </c>
      <c r="B352" s="11" t="s">
        <v>1345</v>
      </c>
      <c r="C352" s="11" t="s">
        <v>1346</v>
      </c>
      <c r="D352" s="11" t="s">
        <v>1347</v>
      </c>
      <c r="E352" s="4" t="s">
        <v>71</v>
      </c>
      <c r="F352" s="4" t="s">
        <v>1348</v>
      </c>
      <c r="G352" s="4" t="s">
        <v>360</v>
      </c>
      <c r="H352" s="4" t="s">
        <v>361</v>
      </c>
      <c r="I352" s="6">
        <v>7193.9</v>
      </c>
      <c r="J352" s="4" t="s">
        <v>1349</v>
      </c>
      <c r="K352" s="6">
        <f>I352/100/10*15</f>
        <v>107.90849999999999</v>
      </c>
      <c r="L352" s="25" t="s">
        <v>18</v>
      </c>
      <c r="M352" s="11"/>
      <c r="N352" s="11" t="s">
        <v>148</v>
      </c>
    </row>
    <row r="353" spans="1:14" ht="101.25">
      <c r="A353" s="50" t="s">
        <v>1350</v>
      </c>
      <c r="B353" s="11" t="s">
        <v>1351</v>
      </c>
      <c r="C353" s="11" t="s">
        <v>1369</v>
      </c>
      <c r="D353" s="11" t="s">
        <v>1352</v>
      </c>
      <c r="E353" s="4" t="s">
        <v>14</v>
      </c>
      <c r="F353" s="4" t="s">
        <v>1353</v>
      </c>
      <c r="G353" s="4" t="s">
        <v>1354</v>
      </c>
      <c r="H353" s="4" t="s">
        <v>423</v>
      </c>
      <c r="I353" s="6">
        <v>1756.1</v>
      </c>
      <c r="J353" s="4" t="s">
        <v>1355</v>
      </c>
      <c r="K353" s="6">
        <f>I353/5/0.1*0.7</f>
        <v>2458.5399999999995</v>
      </c>
      <c r="L353" s="25" t="s">
        <v>18</v>
      </c>
      <c r="M353" s="11" t="s">
        <v>1356</v>
      </c>
      <c r="N353" s="60" t="s">
        <v>1357</v>
      </c>
    </row>
    <row r="354" spans="1:14" ht="45">
      <c r="A354" s="50" t="s">
        <v>1358</v>
      </c>
      <c r="B354" s="11" t="s">
        <v>1351</v>
      </c>
      <c r="C354" s="11" t="s">
        <v>1369</v>
      </c>
      <c r="D354" s="11" t="s">
        <v>1359</v>
      </c>
      <c r="E354" s="4" t="s">
        <v>1360</v>
      </c>
      <c r="F354" s="4" t="s">
        <v>1361</v>
      </c>
      <c r="G354" s="4" t="s">
        <v>1354</v>
      </c>
      <c r="H354" s="4" t="s">
        <v>423</v>
      </c>
      <c r="I354" s="6">
        <v>26169</v>
      </c>
      <c r="J354" s="4" t="s">
        <v>1355</v>
      </c>
      <c r="K354" s="6">
        <f>I354/1/10*0.7</f>
        <v>1831.83</v>
      </c>
      <c r="L354" s="25" t="s">
        <v>18</v>
      </c>
      <c r="M354" s="11" t="s">
        <v>1362</v>
      </c>
      <c r="N354" s="60" t="s">
        <v>1363</v>
      </c>
    </row>
    <row r="355" spans="1:14" ht="45">
      <c r="A355" s="50" t="s">
        <v>1364</v>
      </c>
      <c r="B355" s="11" t="s">
        <v>1351</v>
      </c>
      <c r="C355" s="11" t="s">
        <v>1369</v>
      </c>
      <c r="D355" s="11" t="s">
        <v>1359</v>
      </c>
      <c r="E355" s="4" t="s">
        <v>1360</v>
      </c>
      <c r="F355" s="4" t="s">
        <v>1365</v>
      </c>
      <c r="G355" s="4" t="s">
        <v>1354</v>
      </c>
      <c r="H355" s="4" t="s">
        <v>423</v>
      </c>
      <c r="I355" s="6">
        <v>30280.799999999999</v>
      </c>
      <c r="J355" s="4" t="s">
        <v>1355</v>
      </c>
      <c r="K355" s="6">
        <f>I355/1/20*0.7</f>
        <v>1059.828</v>
      </c>
      <c r="L355" s="25" t="s">
        <v>18</v>
      </c>
      <c r="M355" s="11" t="s">
        <v>1362</v>
      </c>
      <c r="N355" s="60" t="s">
        <v>1363</v>
      </c>
    </row>
    <row r="356" spans="1:14" ht="45">
      <c r="A356" s="50" t="s">
        <v>1366</v>
      </c>
      <c r="B356" s="11" t="s">
        <v>1351</v>
      </c>
      <c r="C356" s="11" t="s">
        <v>1369</v>
      </c>
      <c r="D356" s="11" t="s">
        <v>1359</v>
      </c>
      <c r="E356" s="4" t="s">
        <v>1360</v>
      </c>
      <c r="F356" s="4" t="s">
        <v>1367</v>
      </c>
      <c r="G356" s="4" t="s">
        <v>1354</v>
      </c>
      <c r="H356" s="4" t="s">
        <v>423</v>
      </c>
      <c r="I356" s="6">
        <v>44123</v>
      </c>
      <c r="J356" s="4" t="s">
        <v>1355</v>
      </c>
      <c r="K356" s="6">
        <f>I356/1/30*0.7</f>
        <v>1029.5366666666666</v>
      </c>
      <c r="L356" s="25" t="s">
        <v>18</v>
      </c>
      <c r="M356" s="11" t="s">
        <v>1362</v>
      </c>
      <c r="N356" s="60" t="s">
        <v>1363</v>
      </c>
    </row>
    <row r="357" spans="1:14" s="52" customFormat="1" ht="78.75">
      <c r="A357" s="51" t="s">
        <v>1368</v>
      </c>
      <c r="B357" s="13" t="s">
        <v>1351</v>
      </c>
      <c r="C357" s="11" t="s">
        <v>1369</v>
      </c>
      <c r="D357" s="11" t="s">
        <v>3746</v>
      </c>
      <c r="E357" s="17" t="s">
        <v>1370</v>
      </c>
      <c r="F357" s="4" t="s">
        <v>1371</v>
      </c>
      <c r="G357" s="4" t="s">
        <v>3682</v>
      </c>
      <c r="H357" s="4" t="s">
        <v>3683</v>
      </c>
      <c r="I357" s="8">
        <v>26169</v>
      </c>
      <c r="J357" s="4" t="s">
        <v>1355</v>
      </c>
      <c r="K357" s="6">
        <f>I357/1/10*0.7</f>
        <v>1831.83</v>
      </c>
      <c r="L357" s="38" t="s">
        <v>18</v>
      </c>
      <c r="M357" s="11" t="s">
        <v>1362</v>
      </c>
      <c r="N357" s="60" t="s">
        <v>1363</v>
      </c>
    </row>
    <row r="358" spans="1:14" s="52" customFormat="1" ht="78.75">
      <c r="A358" s="51" t="s">
        <v>1372</v>
      </c>
      <c r="B358" s="13" t="s">
        <v>1351</v>
      </c>
      <c r="C358" s="11" t="s">
        <v>1369</v>
      </c>
      <c r="D358" s="11" t="s">
        <v>3746</v>
      </c>
      <c r="E358" s="17" t="s">
        <v>1370</v>
      </c>
      <c r="F358" s="4" t="s">
        <v>1373</v>
      </c>
      <c r="G358" s="4" t="s">
        <v>3682</v>
      </c>
      <c r="H358" s="4" t="s">
        <v>3683</v>
      </c>
      <c r="I358" s="8">
        <v>30280.799999999999</v>
      </c>
      <c r="J358" s="4" t="s">
        <v>1355</v>
      </c>
      <c r="K358" s="6">
        <f>I358/1/20*0.7</f>
        <v>1059.828</v>
      </c>
      <c r="L358" s="38" t="s">
        <v>18</v>
      </c>
      <c r="M358" s="11" t="s">
        <v>1362</v>
      </c>
      <c r="N358" s="60" t="s">
        <v>1363</v>
      </c>
    </row>
    <row r="359" spans="1:14" s="52" customFormat="1" ht="78.75">
      <c r="A359" s="51" t="s">
        <v>1374</v>
      </c>
      <c r="B359" s="13" t="s">
        <v>1351</v>
      </c>
      <c r="C359" s="11" t="s">
        <v>1369</v>
      </c>
      <c r="D359" s="11" t="s">
        <v>3746</v>
      </c>
      <c r="E359" s="17" t="s">
        <v>1370</v>
      </c>
      <c r="F359" s="4" t="s">
        <v>1375</v>
      </c>
      <c r="G359" s="4" t="s">
        <v>3682</v>
      </c>
      <c r="H359" s="4" t="s">
        <v>3683</v>
      </c>
      <c r="I359" s="8">
        <v>44123</v>
      </c>
      <c r="J359" s="4" t="s">
        <v>1355</v>
      </c>
      <c r="K359" s="6">
        <f>I359/1/30*0.7</f>
        <v>1029.5366666666666</v>
      </c>
      <c r="L359" s="38" t="s">
        <v>18</v>
      </c>
      <c r="M359" s="11" t="s">
        <v>1362</v>
      </c>
      <c r="N359" s="60" t="s">
        <v>1363</v>
      </c>
    </row>
    <row r="360" spans="1:14" ht="33.75">
      <c r="A360" s="50" t="s">
        <v>1376</v>
      </c>
      <c r="B360" s="11" t="s">
        <v>1377</v>
      </c>
      <c r="C360" s="11" t="s">
        <v>1378</v>
      </c>
      <c r="D360" s="11" t="s">
        <v>1379</v>
      </c>
      <c r="E360" s="4" t="s">
        <v>281</v>
      </c>
      <c r="F360" s="4" t="s">
        <v>1380</v>
      </c>
      <c r="G360" s="4" t="s">
        <v>1381</v>
      </c>
      <c r="H360" s="4" t="s">
        <v>175</v>
      </c>
      <c r="I360" s="6">
        <v>56444.4</v>
      </c>
      <c r="J360" s="4" t="s">
        <v>1382</v>
      </c>
      <c r="K360" s="6">
        <f>I360/1/60*3</f>
        <v>2822.2200000000003</v>
      </c>
      <c r="L360" s="25" t="s">
        <v>18</v>
      </c>
      <c r="M360" s="11" t="s">
        <v>1383</v>
      </c>
      <c r="N360" s="11" t="s">
        <v>1363</v>
      </c>
    </row>
    <row r="361" spans="1:14" ht="33.75">
      <c r="A361" s="50" t="s">
        <v>1384</v>
      </c>
      <c r="B361" s="11" t="s">
        <v>1377</v>
      </c>
      <c r="C361" s="11" t="s">
        <v>1378</v>
      </c>
      <c r="D361" s="11" t="s">
        <v>1379</v>
      </c>
      <c r="E361" s="4" t="s">
        <v>281</v>
      </c>
      <c r="F361" s="4" t="s">
        <v>1385</v>
      </c>
      <c r="G361" s="4" t="s">
        <v>1381</v>
      </c>
      <c r="H361" s="4" t="s">
        <v>175</v>
      </c>
      <c r="I361" s="6">
        <v>77416.2</v>
      </c>
      <c r="J361" s="4" t="s">
        <v>1382</v>
      </c>
      <c r="K361" s="6">
        <f>I361/1/90*3</f>
        <v>2580.54</v>
      </c>
      <c r="L361" s="25" t="s">
        <v>18</v>
      </c>
      <c r="M361" s="11" t="s">
        <v>1383</v>
      </c>
      <c r="N361" s="11" t="s">
        <v>1363</v>
      </c>
    </row>
    <row r="362" spans="1:14" ht="33.75">
      <c r="A362" s="50" t="s">
        <v>1386</v>
      </c>
      <c r="B362" s="11" t="s">
        <v>1377</v>
      </c>
      <c r="C362" s="11" t="s">
        <v>1378</v>
      </c>
      <c r="D362" s="11" t="s">
        <v>1379</v>
      </c>
      <c r="E362" s="4" t="s">
        <v>281</v>
      </c>
      <c r="F362" s="4" t="s">
        <v>1387</v>
      </c>
      <c r="G362" s="4" t="s">
        <v>1381</v>
      </c>
      <c r="H362" s="4" t="s">
        <v>175</v>
      </c>
      <c r="I362" s="6">
        <v>94960.9</v>
      </c>
      <c r="J362" s="4" t="s">
        <v>1382</v>
      </c>
      <c r="K362" s="6">
        <f>I362/1/120*3</f>
        <v>2374.0225</v>
      </c>
      <c r="L362" s="25" t="s">
        <v>18</v>
      </c>
      <c r="M362" s="11" t="s">
        <v>1383</v>
      </c>
      <c r="N362" s="11" t="s">
        <v>1363</v>
      </c>
    </row>
    <row r="363" spans="1:14" ht="45">
      <c r="A363" s="50" t="s">
        <v>1388</v>
      </c>
      <c r="B363" s="11" t="s">
        <v>1389</v>
      </c>
      <c r="C363" s="11" t="s">
        <v>1390</v>
      </c>
      <c r="D363" s="11" t="s">
        <v>1391</v>
      </c>
      <c r="E363" s="4" t="s">
        <v>281</v>
      </c>
      <c r="F363" s="4" t="s">
        <v>1392</v>
      </c>
      <c r="G363" s="4" t="s">
        <v>3349</v>
      </c>
      <c r="H363" s="4" t="s">
        <v>155</v>
      </c>
      <c r="I363" s="6">
        <v>1818.6</v>
      </c>
      <c r="J363" s="4" t="s">
        <v>1302</v>
      </c>
      <c r="K363" s="6">
        <f>+I363/0.25*0.25</f>
        <v>1818.6</v>
      </c>
      <c r="L363" s="25" t="s">
        <v>18</v>
      </c>
      <c r="M363" s="11" t="s">
        <v>1303</v>
      </c>
      <c r="N363" s="11" t="s">
        <v>1304</v>
      </c>
    </row>
    <row r="364" spans="1:14" ht="45">
      <c r="A364" s="50" t="s">
        <v>3778</v>
      </c>
      <c r="B364" s="11" t="s">
        <v>1389</v>
      </c>
      <c r="C364" s="11" t="s">
        <v>1390</v>
      </c>
      <c r="D364" s="11" t="s">
        <v>3779</v>
      </c>
      <c r="E364" s="4" t="s">
        <v>281</v>
      </c>
      <c r="F364" s="4" t="s">
        <v>3780</v>
      </c>
      <c r="G364" s="4" t="s">
        <v>360</v>
      </c>
      <c r="H364" s="4" t="s">
        <v>361</v>
      </c>
      <c r="I364" s="6">
        <v>1390.8</v>
      </c>
      <c r="J364" s="4" t="s">
        <v>118</v>
      </c>
      <c r="K364" s="6">
        <f>+I364/0.25*0.25</f>
        <v>1390.8</v>
      </c>
      <c r="L364" s="25" t="s">
        <v>18</v>
      </c>
      <c r="M364" s="11" t="s">
        <v>1303</v>
      </c>
      <c r="N364" s="11" t="s">
        <v>1304</v>
      </c>
    </row>
    <row r="365" spans="1:14" ht="45">
      <c r="A365" s="50" t="s">
        <v>1393</v>
      </c>
      <c r="B365" s="11" t="s">
        <v>1394</v>
      </c>
      <c r="C365" s="11" t="s">
        <v>1395</v>
      </c>
      <c r="D365" s="11" t="s">
        <v>1396</v>
      </c>
      <c r="E365" s="4" t="s">
        <v>345</v>
      </c>
      <c r="F365" s="4" t="s">
        <v>1397</v>
      </c>
      <c r="G365" s="4" t="s">
        <v>1398</v>
      </c>
      <c r="H365" s="4" t="s">
        <v>34</v>
      </c>
      <c r="I365" s="6">
        <v>3872.8</v>
      </c>
      <c r="J365" s="4" t="s">
        <v>1302</v>
      </c>
      <c r="K365" s="6">
        <f>+I365/0.25*0.25</f>
        <v>3872.8</v>
      </c>
      <c r="L365" s="25" t="s">
        <v>18</v>
      </c>
      <c r="M365" s="11" t="s">
        <v>1303</v>
      </c>
      <c r="N365" s="11" t="s">
        <v>1304</v>
      </c>
    </row>
    <row r="366" spans="1:14" ht="22.5">
      <c r="A366" s="50" t="s">
        <v>1399</v>
      </c>
      <c r="B366" s="11" t="s">
        <v>1400</v>
      </c>
      <c r="C366" s="11" t="s">
        <v>1401</v>
      </c>
      <c r="D366" s="11" t="s">
        <v>1402</v>
      </c>
      <c r="E366" s="4" t="s">
        <v>1403</v>
      </c>
      <c r="F366" s="4" t="s">
        <v>1404</v>
      </c>
      <c r="G366" s="4" t="s">
        <v>3673</v>
      </c>
      <c r="H366" s="4" t="s">
        <v>284</v>
      </c>
      <c r="I366" s="6">
        <v>1445.3</v>
      </c>
      <c r="J366" s="25" t="s">
        <v>1405</v>
      </c>
      <c r="K366" s="6">
        <f>I366/7/5*0.4</f>
        <v>16.517714285714288</v>
      </c>
      <c r="L366" s="25" t="s">
        <v>18</v>
      </c>
      <c r="M366" s="11"/>
      <c r="N366" s="11"/>
    </row>
    <row r="367" spans="1:14" ht="22.5">
      <c r="A367" s="50" t="s">
        <v>1406</v>
      </c>
      <c r="B367" s="11" t="s">
        <v>1407</v>
      </c>
      <c r="C367" s="11" t="s">
        <v>1408</v>
      </c>
      <c r="D367" s="11" t="s">
        <v>1409</v>
      </c>
      <c r="E367" s="4" t="s">
        <v>71</v>
      </c>
      <c r="F367" s="4" t="s">
        <v>1410</v>
      </c>
      <c r="G367" s="4" t="s">
        <v>90</v>
      </c>
      <c r="H367" s="4" t="s">
        <v>16</v>
      </c>
      <c r="I367" s="6">
        <v>1101.7</v>
      </c>
      <c r="J367" s="25" t="s">
        <v>75</v>
      </c>
      <c r="K367" s="6">
        <f>I367/25/4*1.5</f>
        <v>16.525500000000001</v>
      </c>
      <c r="L367" s="25" t="s">
        <v>18</v>
      </c>
      <c r="M367" s="11"/>
      <c r="N367" s="11"/>
    </row>
    <row r="368" spans="1:14" ht="22.5">
      <c r="A368" s="50" t="s">
        <v>1411</v>
      </c>
      <c r="B368" s="11" t="s">
        <v>1407</v>
      </c>
      <c r="C368" s="11" t="s">
        <v>1408</v>
      </c>
      <c r="D368" s="11" t="s">
        <v>1412</v>
      </c>
      <c r="E368" s="4" t="s">
        <v>71</v>
      </c>
      <c r="F368" s="4" t="s">
        <v>1413</v>
      </c>
      <c r="G368" s="4" t="s">
        <v>1414</v>
      </c>
      <c r="H368" s="4" t="s">
        <v>34</v>
      </c>
      <c r="I368" s="6">
        <v>165.1</v>
      </c>
      <c r="J368" s="25" t="s">
        <v>75</v>
      </c>
      <c r="K368" s="6">
        <f>I368/3/8*1.5</f>
        <v>10.31875</v>
      </c>
      <c r="L368" s="25" t="s">
        <v>18</v>
      </c>
      <c r="M368" s="11"/>
      <c r="N368" s="11"/>
    </row>
    <row r="369" spans="1:14" ht="22.5">
      <c r="A369" s="50" t="s">
        <v>1415</v>
      </c>
      <c r="B369" s="11" t="s">
        <v>1407</v>
      </c>
      <c r="C369" s="11" t="s">
        <v>1408</v>
      </c>
      <c r="D369" s="11" t="s">
        <v>1416</v>
      </c>
      <c r="E369" s="4" t="s">
        <v>71</v>
      </c>
      <c r="F369" s="4" t="s">
        <v>1417</v>
      </c>
      <c r="G369" s="4" t="s">
        <v>73</v>
      </c>
      <c r="H369" s="4" t="s">
        <v>74</v>
      </c>
      <c r="I369" s="6">
        <v>396.6</v>
      </c>
      <c r="J369" s="25" t="s">
        <v>75</v>
      </c>
      <c r="K369" s="6">
        <f>I369/10/4*1.5</f>
        <v>14.872500000000002</v>
      </c>
      <c r="L369" s="25" t="s">
        <v>18</v>
      </c>
      <c r="M369" s="11"/>
      <c r="N369" s="11"/>
    </row>
    <row r="370" spans="1:14" ht="22.5">
      <c r="A370" s="50" t="s">
        <v>1418</v>
      </c>
      <c r="B370" s="11" t="s">
        <v>1407</v>
      </c>
      <c r="C370" s="11" t="s">
        <v>1408</v>
      </c>
      <c r="D370" s="11" t="s">
        <v>1419</v>
      </c>
      <c r="E370" s="4" t="s">
        <v>14</v>
      </c>
      <c r="F370" s="4" t="s">
        <v>1420</v>
      </c>
      <c r="G370" s="4" t="s">
        <v>1421</v>
      </c>
      <c r="H370" s="4" t="s">
        <v>618</v>
      </c>
      <c r="I370" s="6">
        <v>96.3</v>
      </c>
      <c r="J370" s="25" t="s">
        <v>1422</v>
      </c>
      <c r="K370" s="6">
        <f>I370/3/4*1.5</f>
        <v>12.037500000000001</v>
      </c>
      <c r="L370" s="25" t="s">
        <v>18</v>
      </c>
      <c r="M370" s="11"/>
      <c r="N370" s="11"/>
    </row>
    <row r="371" spans="1:14" ht="22.5">
      <c r="A371" s="50" t="s">
        <v>1423</v>
      </c>
      <c r="B371" s="11" t="s">
        <v>1407</v>
      </c>
      <c r="C371" s="11" t="s">
        <v>1408</v>
      </c>
      <c r="D371" s="11" t="s">
        <v>1419</v>
      </c>
      <c r="E371" s="4" t="s">
        <v>14</v>
      </c>
      <c r="F371" s="4" t="s">
        <v>1424</v>
      </c>
      <c r="G371" s="4" t="s">
        <v>1421</v>
      </c>
      <c r="H371" s="4" t="s">
        <v>618</v>
      </c>
      <c r="I371" s="6">
        <v>160.5</v>
      </c>
      <c r="J371" s="25" t="s">
        <v>1422</v>
      </c>
      <c r="K371" s="6">
        <f>I371/5/4*1.5</f>
        <v>12.037500000000001</v>
      </c>
      <c r="L371" s="25" t="s">
        <v>18</v>
      </c>
      <c r="M371" s="11"/>
      <c r="N371" s="11"/>
    </row>
    <row r="372" spans="1:14" ht="22.5">
      <c r="A372" s="50" t="s">
        <v>1425</v>
      </c>
      <c r="B372" s="11" t="s">
        <v>1407</v>
      </c>
      <c r="C372" s="11" t="s">
        <v>1408</v>
      </c>
      <c r="D372" s="11" t="s">
        <v>1419</v>
      </c>
      <c r="E372" s="4" t="s">
        <v>14</v>
      </c>
      <c r="F372" s="4" t="s">
        <v>1426</v>
      </c>
      <c r="G372" s="4" t="s">
        <v>1421</v>
      </c>
      <c r="H372" s="4" t="s">
        <v>618</v>
      </c>
      <c r="I372" s="6">
        <v>165.1</v>
      </c>
      <c r="J372" s="25" t="s">
        <v>1422</v>
      </c>
      <c r="K372" s="6">
        <f>I372/3/8*1.5</f>
        <v>10.31875</v>
      </c>
      <c r="L372" s="25" t="s">
        <v>18</v>
      </c>
      <c r="M372" s="11"/>
      <c r="N372" s="11"/>
    </row>
    <row r="373" spans="1:14" ht="22.5">
      <c r="A373" s="50" t="s">
        <v>1427</v>
      </c>
      <c r="B373" s="11" t="s">
        <v>1407</v>
      </c>
      <c r="C373" s="11" t="s">
        <v>1408</v>
      </c>
      <c r="D373" s="11" t="s">
        <v>1419</v>
      </c>
      <c r="E373" s="4" t="s">
        <v>14</v>
      </c>
      <c r="F373" s="4" t="s">
        <v>1428</v>
      </c>
      <c r="G373" s="4" t="s">
        <v>1421</v>
      </c>
      <c r="H373" s="4" t="s">
        <v>618</v>
      </c>
      <c r="I373" s="6">
        <v>275.3</v>
      </c>
      <c r="J373" s="25" t="s">
        <v>1422</v>
      </c>
      <c r="K373" s="6">
        <f>I373/5/8*1.5</f>
        <v>10.32375</v>
      </c>
      <c r="L373" s="25" t="s">
        <v>18</v>
      </c>
      <c r="M373" s="11"/>
      <c r="N373" s="11"/>
    </row>
    <row r="374" spans="1:14" ht="22.5">
      <c r="A374" s="50" t="s">
        <v>3625</v>
      </c>
      <c r="B374" s="11" t="s">
        <v>1407</v>
      </c>
      <c r="C374" s="11" t="s">
        <v>1408</v>
      </c>
      <c r="D374" s="11" t="s">
        <v>3626</v>
      </c>
      <c r="E374" s="4" t="s">
        <v>14</v>
      </c>
      <c r="F374" s="4" t="s">
        <v>3627</v>
      </c>
      <c r="G374" s="4" t="s">
        <v>2945</v>
      </c>
      <c r="H374" s="4" t="s">
        <v>2677</v>
      </c>
      <c r="I374" s="6">
        <v>321</v>
      </c>
      <c r="J374" s="25" t="s">
        <v>1422</v>
      </c>
      <c r="K374" s="6">
        <f>I374/10/4*1.5</f>
        <v>12.037500000000001</v>
      </c>
      <c r="L374" s="25" t="s">
        <v>18</v>
      </c>
      <c r="M374" s="11"/>
      <c r="N374" s="11"/>
    </row>
    <row r="375" spans="1:14" ht="22.5">
      <c r="A375" s="50" t="s">
        <v>3628</v>
      </c>
      <c r="B375" s="11" t="s">
        <v>1407</v>
      </c>
      <c r="C375" s="11" t="s">
        <v>1408</v>
      </c>
      <c r="D375" s="11" t="s">
        <v>3626</v>
      </c>
      <c r="E375" s="4" t="s">
        <v>14</v>
      </c>
      <c r="F375" s="4" t="s">
        <v>3629</v>
      </c>
      <c r="G375" s="4" t="s">
        <v>2945</v>
      </c>
      <c r="H375" s="4" t="s">
        <v>2677</v>
      </c>
      <c r="I375" s="6">
        <v>550.6</v>
      </c>
      <c r="J375" s="25" t="s">
        <v>1422</v>
      </c>
      <c r="K375" s="6">
        <f>I375/10/8*1.5</f>
        <v>10.32375</v>
      </c>
      <c r="L375" s="25" t="s">
        <v>18</v>
      </c>
      <c r="M375" s="11"/>
      <c r="N375" s="11"/>
    </row>
    <row r="376" spans="1:14" ht="45">
      <c r="A376" s="50" t="s">
        <v>1429</v>
      </c>
      <c r="B376" s="11" t="s">
        <v>1430</v>
      </c>
      <c r="C376" s="11" t="s">
        <v>1431</v>
      </c>
      <c r="D376" s="11" t="s">
        <v>1432</v>
      </c>
      <c r="E376" s="4" t="s">
        <v>266</v>
      </c>
      <c r="F376" s="4" t="s">
        <v>1433</v>
      </c>
      <c r="G376" s="4" t="s">
        <v>15</v>
      </c>
      <c r="H376" s="4" t="s">
        <v>16</v>
      </c>
      <c r="I376" s="6">
        <v>752.4</v>
      </c>
      <c r="J376" s="4" t="s">
        <v>1434</v>
      </c>
      <c r="K376" s="6">
        <f>I376/1/500*20</f>
        <v>30.095999999999997</v>
      </c>
      <c r="L376" s="25" t="s">
        <v>18</v>
      </c>
      <c r="M376" s="11"/>
      <c r="N376" s="11"/>
    </row>
    <row r="377" spans="1:14" ht="33.75">
      <c r="A377" s="50" t="s">
        <v>1435</v>
      </c>
      <c r="B377" s="11" t="s">
        <v>1430</v>
      </c>
      <c r="C377" s="11" t="s">
        <v>1431</v>
      </c>
      <c r="D377" s="11" t="s">
        <v>1432</v>
      </c>
      <c r="E377" s="4" t="s">
        <v>266</v>
      </c>
      <c r="F377" s="4" t="s">
        <v>1436</v>
      </c>
      <c r="G377" s="4" t="s">
        <v>15</v>
      </c>
      <c r="H377" s="4" t="s">
        <v>16</v>
      </c>
      <c r="I377" s="6">
        <v>1701</v>
      </c>
      <c r="J377" s="4" t="s">
        <v>1434</v>
      </c>
      <c r="K377" s="6">
        <f>I377/15/40*20</f>
        <v>56.7</v>
      </c>
      <c r="L377" s="25" t="s">
        <v>18</v>
      </c>
      <c r="M377" s="11"/>
      <c r="N377" s="11"/>
    </row>
    <row r="378" spans="1:14" ht="191.25">
      <c r="A378" s="71" t="s">
        <v>1437</v>
      </c>
      <c r="B378" s="72" t="s">
        <v>1438</v>
      </c>
      <c r="C378" s="72" t="s">
        <v>1439</v>
      </c>
      <c r="D378" s="72" t="s">
        <v>1440</v>
      </c>
      <c r="E378" s="35" t="s">
        <v>71</v>
      </c>
      <c r="F378" s="94" t="s">
        <v>1441</v>
      </c>
      <c r="G378" s="35" t="s">
        <v>639</v>
      </c>
      <c r="H378" s="35" t="s">
        <v>54</v>
      </c>
      <c r="I378" s="6">
        <v>4450</v>
      </c>
      <c r="J378" s="36" t="s">
        <v>1442</v>
      </c>
      <c r="K378" s="6">
        <f>I378/5/5*2</f>
        <v>356</v>
      </c>
      <c r="L378" s="25" t="s">
        <v>18</v>
      </c>
      <c r="M378" s="11" t="s">
        <v>1443</v>
      </c>
      <c r="N378" s="11" t="s">
        <v>1444</v>
      </c>
    </row>
    <row r="379" spans="1:14" ht="191.25">
      <c r="A379" s="62">
        <v>1050014</v>
      </c>
      <c r="B379" s="62" t="s">
        <v>1438</v>
      </c>
      <c r="C379" s="54" t="s">
        <v>1439</v>
      </c>
      <c r="D379" s="54" t="s">
        <v>1440</v>
      </c>
      <c r="E379" s="55" t="s">
        <v>1445</v>
      </c>
      <c r="F379" s="55" t="s">
        <v>1446</v>
      </c>
      <c r="G379" s="55" t="s">
        <v>1447</v>
      </c>
      <c r="H379" s="55" t="s">
        <v>161</v>
      </c>
      <c r="I379" s="6">
        <v>4039.6</v>
      </c>
      <c r="J379" s="21" t="s">
        <v>1442</v>
      </c>
      <c r="K379" s="24">
        <f>I379/28/1*2</f>
        <v>288.54285714285714</v>
      </c>
      <c r="L379" s="57" t="s">
        <v>18</v>
      </c>
      <c r="M379" s="11" t="s">
        <v>1443</v>
      </c>
      <c r="N379" s="54" t="s">
        <v>1444</v>
      </c>
    </row>
    <row r="380" spans="1:14" ht="191.25">
      <c r="A380" s="62">
        <v>1050017</v>
      </c>
      <c r="B380" s="62" t="s">
        <v>1438</v>
      </c>
      <c r="C380" s="54" t="s">
        <v>1439</v>
      </c>
      <c r="D380" s="54" t="s">
        <v>1440</v>
      </c>
      <c r="E380" s="55" t="s">
        <v>1445</v>
      </c>
      <c r="F380" s="55" t="s">
        <v>1448</v>
      </c>
      <c r="G380" s="55" t="s">
        <v>1447</v>
      </c>
      <c r="H380" s="55" t="s">
        <v>161</v>
      </c>
      <c r="I380" s="6">
        <v>8006.1</v>
      </c>
      <c r="J380" s="21" t="s">
        <v>1442</v>
      </c>
      <c r="K380" s="24">
        <f>I380/28/2*2</f>
        <v>285.93214285714288</v>
      </c>
      <c r="L380" s="57" t="s">
        <v>18</v>
      </c>
      <c r="M380" s="11" t="s">
        <v>1443</v>
      </c>
      <c r="N380" s="54" t="s">
        <v>1444</v>
      </c>
    </row>
    <row r="381" spans="1:14" ht="22.5">
      <c r="A381" s="12" t="s">
        <v>1449</v>
      </c>
      <c r="B381" s="12" t="s">
        <v>1450</v>
      </c>
      <c r="C381" s="11" t="s">
        <v>1451</v>
      </c>
      <c r="D381" s="11" t="s">
        <v>1452</v>
      </c>
      <c r="E381" s="4" t="s">
        <v>23</v>
      </c>
      <c r="F381" s="4" t="s">
        <v>1917</v>
      </c>
      <c r="G381" s="4" t="s">
        <v>1453</v>
      </c>
      <c r="H381" s="4" t="s">
        <v>471</v>
      </c>
      <c r="I381" s="6">
        <v>29786.400000000001</v>
      </c>
      <c r="J381" s="7" t="s">
        <v>339</v>
      </c>
      <c r="K381" s="6">
        <f>I381/10/50*100</f>
        <v>5957.2800000000007</v>
      </c>
      <c r="L381" s="25" t="s">
        <v>18</v>
      </c>
      <c r="M381" s="11"/>
      <c r="N381" s="11" t="s">
        <v>1454</v>
      </c>
    </row>
    <row r="382" spans="1:14" ht="90">
      <c r="A382" s="12" t="s">
        <v>1457</v>
      </c>
      <c r="B382" s="12" t="s">
        <v>1450</v>
      </c>
      <c r="C382" s="11" t="s">
        <v>1451</v>
      </c>
      <c r="D382" s="11" t="s">
        <v>1455</v>
      </c>
      <c r="E382" s="4" t="s">
        <v>23</v>
      </c>
      <c r="F382" s="4" t="s">
        <v>1917</v>
      </c>
      <c r="G382" s="70" t="s">
        <v>3706</v>
      </c>
      <c r="H382" s="70" t="s">
        <v>3707</v>
      </c>
      <c r="I382" s="6">
        <v>20011.099999999999</v>
      </c>
      <c r="J382" s="7" t="s">
        <v>339</v>
      </c>
      <c r="K382" s="6">
        <f>I382/10/50*100</f>
        <v>4002.22</v>
      </c>
      <c r="L382" s="25" t="s">
        <v>18</v>
      </c>
      <c r="M382" s="11"/>
      <c r="N382" s="11" t="s">
        <v>1454</v>
      </c>
    </row>
    <row r="383" spans="1:14" ht="22.5">
      <c r="A383" s="12" t="s">
        <v>3630</v>
      </c>
      <c r="B383" s="12" t="s">
        <v>1450</v>
      </c>
      <c r="C383" s="11" t="s">
        <v>1451</v>
      </c>
      <c r="D383" s="11" t="s">
        <v>3631</v>
      </c>
      <c r="E383" s="4" t="s">
        <v>23</v>
      </c>
      <c r="F383" s="4" t="s">
        <v>3632</v>
      </c>
      <c r="G383" s="4" t="s">
        <v>64</v>
      </c>
      <c r="H383" s="4" t="s">
        <v>54</v>
      </c>
      <c r="I383" s="6">
        <v>20011.099999999999</v>
      </c>
      <c r="J383" s="7" t="s">
        <v>3633</v>
      </c>
      <c r="K383" s="6">
        <f>I383/10/50*100</f>
        <v>4002.22</v>
      </c>
      <c r="L383" s="25" t="s">
        <v>18</v>
      </c>
      <c r="M383" s="11"/>
      <c r="N383" s="11" t="s">
        <v>1454</v>
      </c>
    </row>
    <row r="384" spans="1:14" ht="33.75">
      <c r="A384" s="12" t="s">
        <v>3634</v>
      </c>
      <c r="B384" s="12" t="s">
        <v>1450</v>
      </c>
      <c r="C384" s="11" t="s">
        <v>1451</v>
      </c>
      <c r="D384" s="11" t="s">
        <v>3635</v>
      </c>
      <c r="E384" s="4" t="s">
        <v>23</v>
      </c>
      <c r="F384" s="4" t="s">
        <v>3632</v>
      </c>
      <c r="G384" s="4" t="s">
        <v>3636</v>
      </c>
      <c r="H384" s="4" t="s">
        <v>26</v>
      </c>
      <c r="I384" s="6">
        <v>20011.099999999999</v>
      </c>
      <c r="J384" s="7" t="s">
        <v>2856</v>
      </c>
      <c r="K384" s="6">
        <f>+I384/(10*50)*100</f>
        <v>4002.22</v>
      </c>
      <c r="L384" s="25" t="s">
        <v>18</v>
      </c>
      <c r="M384" s="11"/>
      <c r="N384" s="11" t="s">
        <v>1454</v>
      </c>
    </row>
    <row r="385" spans="1:14" ht="22.5">
      <c r="A385" s="50" t="s">
        <v>1458</v>
      </c>
      <c r="B385" s="11" t="s">
        <v>1459</v>
      </c>
      <c r="C385" s="11" t="s">
        <v>1460</v>
      </c>
      <c r="D385" s="11" t="s">
        <v>1461</v>
      </c>
      <c r="E385" s="4" t="s">
        <v>59</v>
      </c>
      <c r="F385" s="4" t="s">
        <v>1462</v>
      </c>
      <c r="G385" s="4" t="s">
        <v>1463</v>
      </c>
      <c r="H385" s="4" t="s">
        <v>129</v>
      </c>
      <c r="I385" s="92">
        <v>764</v>
      </c>
      <c r="J385" s="4" t="s">
        <v>415</v>
      </c>
      <c r="K385" s="6">
        <f>I385/10/1*2</f>
        <v>152.80000000000001</v>
      </c>
      <c r="L385" s="25" t="s">
        <v>18</v>
      </c>
      <c r="M385" s="11"/>
      <c r="N385" s="11"/>
    </row>
    <row r="386" spans="1:14" ht="22.5">
      <c r="A386" s="50" t="s">
        <v>1464</v>
      </c>
      <c r="B386" s="11" t="s">
        <v>1459</v>
      </c>
      <c r="C386" s="11" t="s">
        <v>1460</v>
      </c>
      <c r="D386" s="11" t="s">
        <v>1461</v>
      </c>
      <c r="E386" s="4" t="s">
        <v>59</v>
      </c>
      <c r="F386" s="4" t="s">
        <v>1465</v>
      </c>
      <c r="G386" s="4" t="s">
        <v>1463</v>
      </c>
      <c r="H386" s="4" t="s">
        <v>129</v>
      </c>
      <c r="I386" s="92">
        <v>7639.9</v>
      </c>
      <c r="J386" s="4" t="s">
        <v>415</v>
      </c>
      <c r="K386" s="6">
        <f>I386/100/1*2</f>
        <v>152.798</v>
      </c>
      <c r="L386" s="25" t="s">
        <v>18</v>
      </c>
      <c r="M386" s="11"/>
      <c r="N386" s="11"/>
    </row>
    <row r="387" spans="1:14" ht="22.5">
      <c r="A387" s="11" t="s">
        <v>1469</v>
      </c>
      <c r="B387" s="11" t="s">
        <v>1459</v>
      </c>
      <c r="C387" s="11" t="s">
        <v>1460</v>
      </c>
      <c r="D387" s="11" t="s">
        <v>1466</v>
      </c>
      <c r="E387" s="4" t="s">
        <v>59</v>
      </c>
      <c r="F387" s="4" t="s">
        <v>1470</v>
      </c>
      <c r="G387" s="4" t="s">
        <v>1467</v>
      </c>
      <c r="H387" s="4" t="s">
        <v>1468</v>
      </c>
      <c r="I387" s="6">
        <v>3820</v>
      </c>
      <c r="J387" s="4" t="s">
        <v>415</v>
      </c>
      <c r="K387" s="6">
        <f>I387/50/1*2</f>
        <v>152.80000000000001</v>
      </c>
      <c r="L387" s="25" t="s">
        <v>18</v>
      </c>
      <c r="M387" s="11"/>
      <c r="N387" s="11"/>
    </row>
    <row r="388" spans="1:14" ht="22.5">
      <c r="A388" s="50" t="s">
        <v>1471</v>
      </c>
      <c r="B388" s="11" t="s">
        <v>1472</v>
      </c>
      <c r="C388" s="11" t="s">
        <v>1473</v>
      </c>
      <c r="D388" s="11" t="s">
        <v>1474</v>
      </c>
      <c r="E388" s="4" t="s">
        <v>32</v>
      </c>
      <c r="F388" s="4" t="s">
        <v>1475</v>
      </c>
      <c r="G388" s="4" t="s">
        <v>1476</v>
      </c>
      <c r="H388" s="4" t="s">
        <v>175</v>
      </c>
      <c r="I388" s="6">
        <v>2953.6</v>
      </c>
      <c r="J388" s="6" t="s">
        <v>1477</v>
      </c>
      <c r="K388" s="6">
        <f>I388/25/0.6*3.6</f>
        <v>708.86400000000003</v>
      </c>
      <c r="L388" s="25" t="s">
        <v>18</v>
      </c>
      <c r="M388" s="11"/>
      <c r="N388" s="11"/>
    </row>
    <row r="389" spans="1:14" ht="33.75">
      <c r="A389" s="50" t="s">
        <v>1478</v>
      </c>
      <c r="B389" s="11" t="s">
        <v>1479</v>
      </c>
      <c r="C389" s="11" t="s">
        <v>1480</v>
      </c>
      <c r="D389" s="11" t="s">
        <v>1481</v>
      </c>
      <c r="E389" s="4" t="s">
        <v>1482</v>
      </c>
      <c r="F389" s="4" t="s">
        <v>1483</v>
      </c>
      <c r="G389" s="4" t="s">
        <v>15</v>
      </c>
      <c r="H389" s="4" t="s">
        <v>16</v>
      </c>
      <c r="I389" s="6">
        <v>2519.1</v>
      </c>
      <c r="J389" s="4" t="s">
        <v>1484</v>
      </c>
      <c r="K389" s="6">
        <f>I389/600000/50*6000000</f>
        <v>503.82</v>
      </c>
      <c r="L389" s="25" t="s">
        <v>18</v>
      </c>
      <c r="M389" s="11"/>
      <c r="N389" s="11"/>
    </row>
    <row r="390" spans="1:14" ht="33.75">
      <c r="A390" s="50" t="s">
        <v>1485</v>
      </c>
      <c r="B390" s="11" t="s">
        <v>1486</v>
      </c>
      <c r="C390" s="11" t="s">
        <v>1487</v>
      </c>
      <c r="D390" s="11" t="s">
        <v>1488</v>
      </c>
      <c r="E390" s="4" t="s">
        <v>59</v>
      </c>
      <c r="F390" s="4" t="s">
        <v>1489</v>
      </c>
      <c r="G390" s="4" t="s">
        <v>617</v>
      </c>
      <c r="H390" s="4" t="s">
        <v>618</v>
      </c>
      <c r="I390" s="6">
        <v>926.1</v>
      </c>
      <c r="J390" s="4" t="s">
        <v>1490</v>
      </c>
      <c r="K390" s="6">
        <f>I390/5/1000*3000</f>
        <v>555.66</v>
      </c>
      <c r="L390" s="25" t="s">
        <v>18</v>
      </c>
      <c r="M390" s="11"/>
      <c r="N390" s="11" t="s">
        <v>340</v>
      </c>
    </row>
    <row r="391" spans="1:14" ht="33.75">
      <c r="A391" s="50" t="s">
        <v>1491</v>
      </c>
      <c r="B391" s="11" t="s">
        <v>1486</v>
      </c>
      <c r="C391" s="11" t="s">
        <v>1487</v>
      </c>
      <c r="D391" s="11" t="s">
        <v>1492</v>
      </c>
      <c r="E391" s="4" t="s">
        <v>59</v>
      </c>
      <c r="F391" s="4" t="s">
        <v>1493</v>
      </c>
      <c r="G391" s="4" t="s">
        <v>1463</v>
      </c>
      <c r="H391" s="4" t="s">
        <v>129</v>
      </c>
      <c r="I391" s="6">
        <v>926.1</v>
      </c>
      <c r="J391" s="4" t="s">
        <v>1490</v>
      </c>
      <c r="K391" s="6">
        <f>I391/5/1000*3000</f>
        <v>555.66</v>
      </c>
      <c r="L391" s="25" t="s">
        <v>18</v>
      </c>
      <c r="M391" s="11"/>
      <c r="N391" s="11" t="s">
        <v>340</v>
      </c>
    </row>
    <row r="392" spans="1:14" ht="33.75">
      <c r="A392" s="50" t="s">
        <v>1494</v>
      </c>
      <c r="B392" s="11" t="s">
        <v>1495</v>
      </c>
      <c r="C392" s="11" t="s">
        <v>1487</v>
      </c>
      <c r="D392" s="11" t="s">
        <v>1496</v>
      </c>
      <c r="E392" s="4" t="s">
        <v>1497</v>
      </c>
      <c r="F392" s="4" t="s">
        <v>1498</v>
      </c>
      <c r="G392" s="4" t="s">
        <v>1467</v>
      </c>
      <c r="H392" s="4" t="s">
        <v>1468</v>
      </c>
      <c r="I392" s="6">
        <v>9261</v>
      </c>
      <c r="J392" s="25" t="s">
        <v>1490</v>
      </c>
      <c r="K392" s="25">
        <f>I392/50/1000*3000</f>
        <v>555.66</v>
      </c>
      <c r="L392" s="25" t="s">
        <v>18</v>
      </c>
      <c r="M392" s="11"/>
      <c r="N392" s="11" t="s">
        <v>340</v>
      </c>
    </row>
    <row r="393" spans="1:14" ht="33.75">
      <c r="A393" s="61" t="s">
        <v>1500</v>
      </c>
      <c r="B393" s="11" t="s">
        <v>1495</v>
      </c>
      <c r="C393" s="11" t="s">
        <v>1487</v>
      </c>
      <c r="D393" s="11" t="s">
        <v>1496</v>
      </c>
      <c r="E393" s="4" t="s">
        <v>59</v>
      </c>
      <c r="F393" s="4" t="s">
        <v>1501</v>
      </c>
      <c r="G393" s="4" t="s">
        <v>1502</v>
      </c>
      <c r="H393" s="4" t="s">
        <v>1468</v>
      </c>
      <c r="I393" s="6">
        <v>1852.2</v>
      </c>
      <c r="J393" s="4" t="s">
        <v>1490</v>
      </c>
      <c r="K393" s="6">
        <f>I393/10/1000*3000</f>
        <v>555.66</v>
      </c>
      <c r="L393" s="25" t="s">
        <v>18</v>
      </c>
      <c r="M393" s="11"/>
      <c r="N393" s="11" t="s">
        <v>340</v>
      </c>
    </row>
    <row r="394" spans="1:14" ht="33.75">
      <c r="A394" s="61" t="s">
        <v>1503</v>
      </c>
      <c r="B394" s="11" t="s">
        <v>1495</v>
      </c>
      <c r="C394" s="11" t="s">
        <v>1487</v>
      </c>
      <c r="D394" s="11" t="s">
        <v>1496</v>
      </c>
      <c r="E394" s="4" t="s">
        <v>59</v>
      </c>
      <c r="F394" s="4" t="s">
        <v>1504</v>
      </c>
      <c r="G394" s="4" t="s">
        <v>1502</v>
      </c>
      <c r="H394" s="4" t="s">
        <v>1468</v>
      </c>
      <c r="I394" s="6">
        <v>4630.5</v>
      </c>
      <c r="J394" s="4" t="s">
        <v>1490</v>
      </c>
      <c r="K394" s="6">
        <f>I394/25/1000*3000</f>
        <v>555.66</v>
      </c>
      <c r="L394" s="25" t="s">
        <v>18</v>
      </c>
      <c r="M394" s="11"/>
      <c r="N394" s="11" t="s">
        <v>340</v>
      </c>
    </row>
    <row r="395" spans="1:14" ht="22.5">
      <c r="A395" s="50" t="s">
        <v>1505</v>
      </c>
      <c r="B395" s="11" t="s">
        <v>1506</v>
      </c>
      <c r="C395" s="11" t="s">
        <v>1507</v>
      </c>
      <c r="D395" s="11" t="s">
        <v>1508</v>
      </c>
      <c r="E395" s="4" t="s">
        <v>59</v>
      </c>
      <c r="F395" s="4" t="s">
        <v>1509</v>
      </c>
      <c r="G395" s="4" t="s">
        <v>120</v>
      </c>
      <c r="H395" s="4" t="s">
        <v>16</v>
      </c>
      <c r="I395" s="6">
        <v>5472.1</v>
      </c>
      <c r="J395" s="4" t="s">
        <v>1510</v>
      </c>
      <c r="K395" s="6">
        <f>I395/12/4*14</f>
        <v>1596.0291666666669</v>
      </c>
      <c r="L395" s="25" t="s">
        <v>18</v>
      </c>
      <c r="M395" s="11"/>
      <c r="N395" s="11" t="s">
        <v>1454</v>
      </c>
    </row>
    <row r="396" spans="1:14" ht="45">
      <c r="A396" s="50" t="s">
        <v>1511</v>
      </c>
      <c r="B396" s="12" t="s">
        <v>1506</v>
      </c>
      <c r="C396" s="11" t="s">
        <v>1507</v>
      </c>
      <c r="D396" s="11" t="s">
        <v>1512</v>
      </c>
      <c r="E396" s="4" t="s">
        <v>23</v>
      </c>
      <c r="F396" s="4" t="s">
        <v>1513</v>
      </c>
      <c r="G396" s="4" t="s">
        <v>1514</v>
      </c>
      <c r="H396" s="4" t="s">
        <v>1515</v>
      </c>
      <c r="I396" s="6">
        <v>4235.6000000000004</v>
      </c>
      <c r="J396" s="4" t="s">
        <v>1510</v>
      </c>
      <c r="K396" s="5">
        <f>I396/10/4*14</f>
        <v>1482.4600000000003</v>
      </c>
      <c r="L396" s="24" t="s">
        <v>18</v>
      </c>
      <c r="M396" s="79"/>
      <c r="N396" s="54" t="s">
        <v>1454</v>
      </c>
    </row>
    <row r="397" spans="1:14" ht="22.5">
      <c r="A397" s="50" t="s">
        <v>3781</v>
      </c>
      <c r="B397" s="12" t="s">
        <v>1506</v>
      </c>
      <c r="C397" s="11" t="s">
        <v>1507</v>
      </c>
      <c r="D397" s="11" t="s">
        <v>3782</v>
      </c>
      <c r="E397" s="4" t="s">
        <v>23</v>
      </c>
      <c r="F397" s="4" t="s">
        <v>3783</v>
      </c>
      <c r="G397" s="4" t="s">
        <v>1786</v>
      </c>
      <c r="H397" s="4" t="s">
        <v>54</v>
      </c>
      <c r="I397" s="6">
        <v>413.1</v>
      </c>
      <c r="J397" s="4" t="s">
        <v>1510</v>
      </c>
      <c r="K397" s="5">
        <f>I397/1/4*14</f>
        <v>1445.8500000000001</v>
      </c>
      <c r="L397" s="24" t="s">
        <v>18</v>
      </c>
      <c r="M397" s="79"/>
      <c r="N397" s="54" t="s">
        <v>1454</v>
      </c>
    </row>
    <row r="398" spans="1:14" ht="22.5">
      <c r="A398" s="9" t="s">
        <v>1516</v>
      </c>
      <c r="B398" s="11" t="s">
        <v>1517</v>
      </c>
      <c r="C398" s="1" t="s">
        <v>1518</v>
      </c>
      <c r="D398" s="11" t="s">
        <v>1519</v>
      </c>
      <c r="E398" s="4" t="s">
        <v>1520</v>
      </c>
      <c r="F398" s="4" t="s">
        <v>1521</v>
      </c>
      <c r="G398" s="4" t="s">
        <v>90</v>
      </c>
      <c r="H398" s="4" t="s">
        <v>1522</v>
      </c>
      <c r="I398" s="29">
        <v>5872.5</v>
      </c>
      <c r="J398" s="6" t="s">
        <v>1490</v>
      </c>
      <c r="K398" s="6">
        <f>I398/50*3</f>
        <v>352.35</v>
      </c>
      <c r="L398" s="25" t="s">
        <v>18</v>
      </c>
      <c r="M398" s="11"/>
      <c r="N398" s="11"/>
    </row>
    <row r="399" spans="1:14" ht="22.5">
      <c r="A399" s="50" t="s">
        <v>1523</v>
      </c>
      <c r="B399" s="11" t="s">
        <v>1517</v>
      </c>
      <c r="C399" s="11" t="s">
        <v>1518</v>
      </c>
      <c r="D399" s="11" t="s">
        <v>1524</v>
      </c>
      <c r="E399" s="4" t="s">
        <v>59</v>
      </c>
      <c r="F399" s="4" t="s">
        <v>1525</v>
      </c>
      <c r="G399" s="4" t="s">
        <v>120</v>
      </c>
      <c r="H399" s="4" t="s">
        <v>16</v>
      </c>
      <c r="I399" s="29">
        <v>5872.5</v>
      </c>
      <c r="J399" s="4" t="s">
        <v>1490</v>
      </c>
      <c r="K399" s="6">
        <f>I399/50/1*3</f>
        <v>352.35</v>
      </c>
      <c r="L399" s="25" t="s">
        <v>18</v>
      </c>
      <c r="M399" s="11"/>
      <c r="N399" s="11"/>
    </row>
    <row r="400" spans="1:14" ht="22.5">
      <c r="A400" s="50" t="s">
        <v>1526</v>
      </c>
      <c r="B400" s="11" t="s">
        <v>1517</v>
      </c>
      <c r="C400" s="11" t="s">
        <v>1518</v>
      </c>
      <c r="D400" s="11" t="s">
        <v>1527</v>
      </c>
      <c r="E400" s="4" t="s">
        <v>59</v>
      </c>
      <c r="F400" s="4" t="s">
        <v>1528</v>
      </c>
      <c r="G400" s="4" t="s">
        <v>1529</v>
      </c>
      <c r="H400" s="4" t="s">
        <v>34</v>
      </c>
      <c r="I400" s="6">
        <v>1587.6</v>
      </c>
      <c r="J400" s="4" t="s">
        <v>1490</v>
      </c>
      <c r="K400" s="6">
        <f>I400/10/2*3</f>
        <v>238.14</v>
      </c>
      <c r="L400" s="25" t="s">
        <v>18</v>
      </c>
      <c r="M400" s="11"/>
      <c r="N400" s="11"/>
    </row>
    <row r="401" spans="1:14" ht="22.5">
      <c r="A401" s="50" t="s">
        <v>1530</v>
      </c>
      <c r="B401" s="11" t="s">
        <v>1517</v>
      </c>
      <c r="C401" s="11" t="s">
        <v>1518</v>
      </c>
      <c r="D401" s="11" t="s">
        <v>3669</v>
      </c>
      <c r="E401" s="4" t="s">
        <v>59</v>
      </c>
      <c r="F401" s="4" t="s">
        <v>1531</v>
      </c>
      <c r="G401" s="4" t="s">
        <v>1532</v>
      </c>
      <c r="H401" s="4" t="s">
        <v>618</v>
      </c>
      <c r="I401" s="6">
        <v>459.7</v>
      </c>
      <c r="J401" s="4" t="s">
        <v>1490</v>
      </c>
      <c r="K401" s="6">
        <f>I401/5/1*3</f>
        <v>275.82</v>
      </c>
      <c r="L401" s="25" t="s">
        <v>18</v>
      </c>
      <c r="M401" s="11"/>
      <c r="N401" s="11"/>
    </row>
    <row r="402" spans="1:14" ht="33.75">
      <c r="A402" s="61" t="s">
        <v>1533</v>
      </c>
      <c r="B402" s="61" t="s">
        <v>1517</v>
      </c>
      <c r="C402" s="12" t="s">
        <v>1518</v>
      </c>
      <c r="D402" s="61" t="s">
        <v>1519</v>
      </c>
      <c r="E402" s="4" t="s">
        <v>59</v>
      </c>
      <c r="F402" s="4" t="s">
        <v>1534</v>
      </c>
      <c r="G402" s="4" t="s">
        <v>3550</v>
      </c>
      <c r="H402" s="4" t="s">
        <v>1535</v>
      </c>
      <c r="I402" s="6">
        <v>1174.5</v>
      </c>
      <c r="J402" s="6" t="s">
        <v>1490</v>
      </c>
      <c r="K402" s="6">
        <f>I402/10/1*3</f>
        <v>352.35</v>
      </c>
      <c r="L402" s="7" t="s">
        <v>18</v>
      </c>
      <c r="M402" s="11"/>
      <c r="N402" s="11"/>
    </row>
    <row r="403" spans="1:14" ht="22.5">
      <c r="A403" s="50" t="s">
        <v>1536</v>
      </c>
      <c r="B403" s="11" t="s">
        <v>1517</v>
      </c>
      <c r="C403" s="11" t="s">
        <v>1518</v>
      </c>
      <c r="D403" s="11" t="s">
        <v>1537</v>
      </c>
      <c r="E403" s="4" t="s">
        <v>59</v>
      </c>
      <c r="F403" s="4" t="s">
        <v>1534</v>
      </c>
      <c r="G403" s="4" t="s">
        <v>3708</v>
      </c>
      <c r="H403" s="4" t="s">
        <v>129</v>
      </c>
      <c r="I403" s="16">
        <v>919.3</v>
      </c>
      <c r="J403" s="6" t="s">
        <v>1490</v>
      </c>
      <c r="K403" s="6">
        <f>I403/10/1*3</f>
        <v>275.78999999999996</v>
      </c>
      <c r="L403" s="7" t="s">
        <v>18</v>
      </c>
      <c r="M403" s="11"/>
      <c r="N403" s="11"/>
    </row>
    <row r="404" spans="1:14" ht="33.75">
      <c r="A404" s="50" t="s">
        <v>1538</v>
      </c>
      <c r="B404" s="13" t="s">
        <v>1517</v>
      </c>
      <c r="C404" s="11" t="s">
        <v>1518</v>
      </c>
      <c r="D404" s="11" t="s">
        <v>1539</v>
      </c>
      <c r="E404" s="4" t="s">
        <v>59</v>
      </c>
      <c r="F404" s="4" t="s">
        <v>1540</v>
      </c>
      <c r="G404" s="55" t="s">
        <v>1541</v>
      </c>
      <c r="H404" s="55" t="s">
        <v>1542</v>
      </c>
      <c r="I404" s="16">
        <v>919.3</v>
      </c>
      <c r="J404" s="6" t="s">
        <v>1490</v>
      </c>
      <c r="K404" s="6">
        <f>+I404/10 *3</f>
        <v>275.78999999999996</v>
      </c>
      <c r="L404" s="7" t="s">
        <v>18</v>
      </c>
      <c r="M404" s="11"/>
      <c r="N404" s="11"/>
    </row>
    <row r="405" spans="1:14" ht="33.75">
      <c r="A405" s="50" t="s">
        <v>1543</v>
      </c>
      <c r="B405" s="13" t="s">
        <v>1517</v>
      </c>
      <c r="C405" s="11" t="s">
        <v>1518</v>
      </c>
      <c r="D405" s="11" t="s">
        <v>1539</v>
      </c>
      <c r="E405" s="4" t="s">
        <v>59</v>
      </c>
      <c r="F405" s="4" t="s">
        <v>1544</v>
      </c>
      <c r="G405" s="55" t="s">
        <v>1541</v>
      </c>
      <c r="H405" s="55" t="s">
        <v>1542</v>
      </c>
      <c r="I405" s="16">
        <v>9193</v>
      </c>
      <c r="J405" s="6" t="s">
        <v>1490</v>
      </c>
      <c r="K405" s="6">
        <f>+I405/100 *3</f>
        <v>275.79000000000002</v>
      </c>
      <c r="L405" s="7" t="s">
        <v>18</v>
      </c>
      <c r="M405" s="11"/>
      <c r="N405" s="11"/>
    </row>
    <row r="406" spans="1:14" ht="22.5">
      <c r="A406" s="50" t="s">
        <v>1545</v>
      </c>
      <c r="B406" s="11" t="s">
        <v>1546</v>
      </c>
      <c r="C406" s="11" t="s">
        <v>1547</v>
      </c>
      <c r="D406" s="11" t="s">
        <v>1548</v>
      </c>
      <c r="E406" s="4" t="s">
        <v>1549</v>
      </c>
      <c r="F406" s="4" t="s">
        <v>1550</v>
      </c>
      <c r="G406" s="4" t="s">
        <v>225</v>
      </c>
      <c r="H406" s="4" t="s">
        <v>16</v>
      </c>
      <c r="I406" s="6">
        <v>137.69999999999999</v>
      </c>
      <c r="J406" s="4" t="s">
        <v>1490</v>
      </c>
      <c r="K406" s="6">
        <f>I406/1500*3000</f>
        <v>275.39999999999998</v>
      </c>
      <c r="L406" s="25" t="s">
        <v>18</v>
      </c>
      <c r="M406" s="11"/>
      <c r="N406" s="11"/>
    </row>
    <row r="407" spans="1:14" ht="22.5">
      <c r="A407" s="50" t="s">
        <v>1551</v>
      </c>
      <c r="B407" s="11" t="s">
        <v>1546</v>
      </c>
      <c r="C407" s="11" t="s">
        <v>1547</v>
      </c>
      <c r="D407" s="11" t="s">
        <v>1548</v>
      </c>
      <c r="E407" s="4" t="s">
        <v>59</v>
      </c>
      <c r="F407" s="4" t="s">
        <v>1552</v>
      </c>
      <c r="G407" s="4" t="s">
        <v>225</v>
      </c>
      <c r="H407" s="4" t="s">
        <v>16</v>
      </c>
      <c r="I407" s="6">
        <v>89.6</v>
      </c>
      <c r="J407" s="4" t="s">
        <v>1490</v>
      </c>
      <c r="K407" s="6">
        <f>I407/750/1*3000</f>
        <v>358.4</v>
      </c>
      <c r="L407" s="25" t="s">
        <v>18</v>
      </c>
      <c r="M407" s="11"/>
      <c r="N407" s="11"/>
    </row>
    <row r="408" spans="1:14" ht="22.5">
      <c r="A408" s="50" t="s">
        <v>1553</v>
      </c>
      <c r="B408" s="11" t="s">
        <v>1546</v>
      </c>
      <c r="C408" s="11" t="s">
        <v>1547</v>
      </c>
      <c r="D408" s="11" t="s">
        <v>1554</v>
      </c>
      <c r="E408" s="4" t="s">
        <v>59</v>
      </c>
      <c r="F408" s="4" t="s">
        <v>1555</v>
      </c>
      <c r="G408" s="4" t="s">
        <v>1529</v>
      </c>
      <c r="H408" s="4" t="s">
        <v>34</v>
      </c>
      <c r="I408" s="6">
        <v>895.8</v>
      </c>
      <c r="J408" s="4" t="s">
        <v>1490</v>
      </c>
      <c r="K408" s="6">
        <f>I408/10/750*3000</f>
        <v>358.32</v>
      </c>
      <c r="L408" s="25" t="s">
        <v>18</v>
      </c>
      <c r="M408" s="11"/>
      <c r="N408" s="11"/>
    </row>
    <row r="409" spans="1:14" ht="22.5">
      <c r="A409" s="50" t="s">
        <v>1556</v>
      </c>
      <c r="B409" s="11" t="s">
        <v>1546</v>
      </c>
      <c r="C409" s="11" t="s">
        <v>1547</v>
      </c>
      <c r="D409" s="11" t="s">
        <v>1554</v>
      </c>
      <c r="E409" s="4" t="s">
        <v>59</v>
      </c>
      <c r="F409" s="4" t="s">
        <v>1557</v>
      </c>
      <c r="G409" s="4" t="s">
        <v>1529</v>
      </c>
      <c r="H409" s="4" t="s">
        <v>34</v>
      </c>
      <c r="I409" s="6">
        <v>1377</v>
      </c>
      <c r="J409" s="4" t="s">
        <v>1490</v>
      </c>
      <c r="K409" s="6">
        <f>I409/10/1500*3000</f>
        <v>275.39999999999998</v>
      </c>
      <c r="L409" s="25" t="s">
        <v>18</v>
      </c>
      <c r="M409" s="11"/>
      <c r="N409" s="11"/>
    </row>
    <row r="410" spans="1:14" ht="33.75">
      <c r="A410" s="50" t="s">
        <v>1558</v>
      </c>
      <c r="B410" s="11" t="s">
        <v>1546</v>
      </c>
      <c r="C410" s="11" t="s">
        <v>1547</v>
      </c>
      <c r="D410" s="11" t="s">
        <v>1559</v>
      </c>
      <c r="E410" s="4" t="s">
        <v>59</v>
      </c>
      <c r="F410" s="4" t="s">
        <v>1555</v>
      </c>
      <c r="G410" s="41" t="s">
        <v>1560</v>
      </c>
      <c r="H410" s="4" t="s">
        <v>129</v>
      </c>
      <c r="I410" s="6">
        <v>895.8</v>
      </c>
      <c r="J410" s="4" t="s">
        <v>1490</v>
      </c>
      <c r="K410" s="6">
        <f>I410/10/750*3000</f>
        <v>358.32</v>
      </c>
      <c r="L410" s="25" t="s">
        <v>18</v>
      </c>
      <c r="M410" s="11"/>
      <c r="N410" s="11"/>
    </row>
    <row r="411" spans="1:14" ht="33.75">
      <c r="A411" s="50" t="s">
        <v>1561</v>
      </c>
      <c r="B411" s="11" t="s">
        <v>1546</v>
      </c>
      <c r="C411" s="11" t="s">
        <v>1547</v>
      </c>
      <c r="D411" s="11" t="s">
        <v>1559</v>
      </c>
      <c r="E411" s="4" t="s">
        <v>59</v>
      </c>
      <c r="F411" s="4" t="s">
        <v>1562</v>
      </c>
      <c r="G411" s="41" t="s">
        <v>1560</v>
      </c>
      <c r="H411" s="4" t="s">
        <v>129</v>
      </c>
      <c r="I411" s="6">
        <v>1377</v>
      </c>
      <c r="J411" s="4" t="s">
        <v>1490</v>
      </c>
      <c r="K411" s="6">
        <f>I411/10/1500*3000</f>
        <v>275.39999999999998</v>
      </c>
      <c r="L411" s="25" t="s">
        <v>18</v>
      </c>
      <c r="M411" s="11"/>
      <c r="N411" s="11"/>
    </row>
    <row r="412" spans="1:14" ht="33.75">
      <c r="A412" s="53" t="s">
        <v>1563</v>
      </c>
      <c r="B412" s="54" t="s">
        <v>1546</v>
      </c>
      <c r="C412" s="54" t="s">
        <v>1547</v>
      </c>
      <c r="D412" s="54" t="s">
        <v>1564</v>
      </c>
      <c r="E412" s="55" t="s">
        <v>59</v>
      </c>
      <c r="F412" s="55" t="s">
        <v>1555</v>
      </c>
      <c r="G412" s="55" t="s">
        <v>1565</v>
      </c>
      <c r="H412" s="55" t="s">
        <v>26</v>
      </c>
      <c r="I412" s="6">
        <v>895.8</v>
      </c>
      <c r="J412" s="4" t="s">
        <v>1490</v>
      </c>
      <c r="K412" s="6">
        <f>I412/10/750*3000</f>
        <v>358.32</v>
      </c>
      <c r="L412" s="57" t="s">
        <v>18</v>
      </c>
      <c r="M412" s="54"/>
      <c r="N412" s="54"/>
    </row>
    <row r="413" spans="1:14" ht="33.75">
      <c r="A413" s="53" t="s">
        <v>1566</v>
      </c>
      <c r="B413" s="54" t="s">
        <v>1546</v>
      </c>
      <c r="C413" s="54" t="s">
        <v>1547</v>
      </c>
      <c r="D413" s="54" t="s">
        <v>1564</v>
      </c>
      <c r="E413" s="55" t="s">
        <v>59</v>
      </c>
      <c r="F413" s="55" t="s">
        <v>1562</v>
      </c>
      <c r="G413" s="55" t="s">
        <v>1565</v>
      </c>
      <c r="H413" s="55" t="s">
        <v>26</v>
      </c>
      <c r="I413" s="6">
        <v>1377</v>
      </c>
      <c r="J413" s="4" t="s">
        <v>1490</v>
      </c>
      <c r="K413" s="6">
        <f>I413/10/1500*3000</f>
        <v>275.39999999999998</v>
      </c>
      <c r="L413" s="57" t="s">
        <v>18</v>
      </c>
      <c r="M413" s="54"/>
      <c r="N413" s="54"/>
    </row>
    <row r="414" spans="1:14" ht="33.75">
      <c r="A414" s="61" t="s">
        <v>1567</v>
      </c>
      <c r="B414" s="11" t="s">
        <v>1546</v>
      </c>
      <c r="C414" s="12" t="s">
        <v>1547</v>
      </c>
      <c r="D414" s="12" t="s">
        <v>1568</v>
      </c>
      <c r="E414" s="4" t="s">
        <v>59</v>
      </c>
      <c r="F414" s="4" t="s">
        <v>1555</v>
      </c>
      <c r="G414" s="4" t="s">
        <v>1569</v>
      </c>
      <c r="H414" s="4" t="s">
        <v>1570</v>
      </c>
      <c r="I414" s="6">
        <v>895.8</v>
      </c>
      <c r="J414" s="6" t="s">
        <v>1490</v>
      </c>
      <c r="K414" s="6">
        <f>I414/10/750*3000</f>
        <v>358.32</v>
      </c>
      <c r="L414" s="25" t="s">
        <v>18</v>
      </c>
      <c r="M414" s="11"/>
      <c r="N414" s="11"/>
    </row>
    <row r="415" spans="1:14" ht="33.75">
      <c r="A415" s="61" t="s">
        <v>1571</v>
      </c>
      <c r="B415" s="11" t="s">
        <v>1546</v>
      </c>
      <c r="C415" s="12" t="s">
        <v>1547</v>
      </c>
      <c r="D415" s="12" t="s">
        <v>1568</v>
      </c>
      <c r="E415" s="4" t="s">
        <v>59</v>
      </c>
      <c r="F415" s="4" t="s">
        <v>1562</v>
      </c>
      <c r="G415" s="4" t="s">
        <v>1569</v>
      </c>
      <c r="H415" s="4" t="s">
        <v>1570</v>
      </c>
      <c r="I415" s="6">
        <v>1377</v>
      </c>
      <c r="J415" s="6" t="s">
        <v>1490</v>
      </c>
      <c r="K415" s="6">
        <f>I415/10/1500*3000</f>
        <v>275.39999999999998</v>
      </c>
      <c r="L415" s="25" t="s">
        <v>18</v>
      </c>
      <c r="M415" s="11"/>
      <c r="N415" s="11"/>
    </row>
    <row r="416" spans="1:14" ht="22.5">
      <c r="A416" s="50" t="s">
        <v>1572</v>
      </c>
      <c r="B416" s="11" t="s">
        <v>1573</v>
      </c>
      <c r="C416" s="11" t="s">
        <v>1574</v>
      </c>
      <c r="D416" s="11" t="s">
        <v>1575</v>
      </c>
      <c r="E416" s="4" t="s">
        <v>59</v>
      </c>
      <c r="F416" s="4" t="s">
        <v>1462</v>
      </c>
      <c r="G416" s="4" t="s">
        <v>1576</v>
      </c>
      <c r="H416" s="4" t="s">
        <v>129</v>
      </c>
      <c r="I416" s="6">
        <v>1523.2</v>
      </c>
      <c r="J416" s="4" t="s">
        <v>1577</v>
      </c>
      <c r="K416" s="6">
        <f>I416/10/1000*4000</f>
        <v>609.28</v>
      </c>
      <c r="L416" s="25" t="s">
        <v>18</v>
      </c>
      <c r="M416" s="11"/>
      <c r="N416" s="11" t="s">
        <v>340</v>
      </c>
    </row>
    <row r="417" spans="1:14" ht="22.5">
      <c r="A417" s="50" t="s">
        <v>1578</v>
      </c>
      <c r="B417" s="11" t="s">
        <v>1573</v>
      </c>
      <c r="C417" s="11" t="s">
        <v>1574</v>
      </c>
      <c r="D417" s="11" t="s">
        <v>1575</v>
      </c>
      <c r="E417" s="4" t="s">
        <v>59</v>
      </c>
      <c r="F417" s="4" t="s">
        <v>1465</v>
      </c>
      <c r="G417" s="4" t="s">
        <v>1576</v>
      </c>
      <c r="H417" s="4" t="s">
        <v>129</v>
      </c>
      <c r="I417" s="6">
        <v>15231.8</v>
      </c>
      <c r="J417" s="4" t="s">
        <v>1577</v>
      </c>
      <c r="K417" s="6">
        <f>I417/100/1000*4000</f>
        <v>609.27199999999993</v>
      </c>
      <c r="L417" s="25" t="s">
        <v>18</v>
      </c>
      <c r="M417" s="11"/>
      <c r="N417" s="11" t="s">
        <v>340</v>
      </c>
    </row>
    <row r="418" spans="1:14" ht="22.5">
      <c r="A418" s="53" t="s">
        <v>1579</v>
      </c>
      <c r="B418" s="54" t="s">
        <v>1573</v>
      </c>
      <c r="C418" s="54" t="s">
        <v>1574</v>
      </c>
      <c r="D418" s="54" t="s">
        <v>1580</v>
      </c>
      <c r="E418" s="55" t="s">
        <v>59</v>
      </c>
      <c r="F418" s="55" t="s">
        <v>1462</v>
      </c>
      <c r="G418" s="55" t="s">
        <v>1581</v>
      </c>
      <c r="H418" s="55" t="s">
        <v>34</v>
      </c>
      <c r="I418" s="6">
        <v>1523.2</v>
      </c>
      <c r="J418" s="4" t="s">
        <v>1577</v>
      </c>
      <c r="K418" s="6">
        <f>I418/10/1*4</f>
        <v>609.28</v>
      </c>
      <c r="L418" s="57" t="s">
        <v>18</v>
      </c>
      <c r="M418" s="54"/>
      <c r="N418" s="54" t="s">
        <v>340</v>
      </c>
    </row>
    <row r="419" spans="1:14" ht="22.5">
      <c r="A419" s="53" t="s">
        <v>1582</v>
      </c>
      <c r="B419" s="54" t="s">
        <v>1573</v>
      </c>
      <c r="C419" s="54" t="s">
        <v>1574</v>
      </c>
      <c r="D419" s="54" t="s">
        <v>1580</v>
      </c>
      <c r="E419" s="55" t="s">
        <v>59</v>
      </c>
      <c r="F419" s="55" t="s">
        <v>1583</v>
      </c>
      <c r="G419" s="55" t="s">
        <v>1581</v>
      </c>
      <c r="H419" s="55" t="s">
        <v>34</v>
      </c>
      <c r="I419" s="6">
        <v>2812</v>
      </c>
      <c r="J419" s="4" t="s">
        <v>1577</v>
      </c>
      <c r="K419" s="6">
        <f>I419/10/2*4</f>
        <v>562.4</v>
      </c>
      <c r="L419" s="57" t="s">
        <v>18</v>
      </c>
      <c r="M419" s="54"/>
      <c r="N419" s="54" t="s">
        <v>340</v>
      </c>
    </row>
    <row r="420" spans="1:14" ht="33.75">
      <c r="A420" s="50" t="s">
        <v>1584</v>
      </c>
      <c r="B420" s="11" t="s">
        <v>1585</v>
      </c>
      <c r="C420" s="11" t="s">
        <v>1586</v>
      </c>
      <c r="D420" s="11" t="s">
        <v>1587</v>
      </c>
      <c r="E420" s="4" t="s">
        <v>32</v>
      </c>
      <c r="F420" s="4" t="s">
        <v>1588</v>
      </c>
      <c r="G420" s="4" t="s">
        <v>1589</v>
      </c>
      <c r="H420" s="4" t="s">
        <v>471</v>
      </c>
      <c r="I420" s="6">
        <v>308.89999999999998</v>
      </c>
      <c r="J420" s="4" t="s">
        <v>1577</v>
      </c>
      <c r="K420" s="6">
        <f>I420/1/1000*4000</f>
        <v>1235.5999999999999</v>
      </c>
      <c r="L420" s="25" t="s">
        <v>18</v>
      </c>
      <c r="M420" s="11"/>
      <c r="N420" s="11" t="s">
        <v>340</v>
      </c>
    </row>
    <row r="421" spans="1:14" ht="33.75">
      <c r="A421" s="50" t="s">
        <v>1590</v>
      </c>
      <c r="B421" s="11" t="s">
        <v>1585</v>
      </c>
      <c r="C421" s="11" t="s">
        <v>1586</v>
      </c>
      <c r="D421" s="11" t="s">
        <v>1587</v>
      </c>
      <c r="E421" s="4" t="s">
        <v>32</v>
      </c>
      <c r="F421" s="4" t="s">
        <v>1591</v>
      </c>
      <c r="G421" s="4" t="s">
        <v>1589</v>
      </c>
      <c r="H421" s="4" t="s">
        <v>471</v>
      </c>
      <c r="I421" s="6">
        <v>163.80000000000001</v>
      </c>
      <c r="J421" s="4" t="s">
        <v>1577</v>
      </c>
      <c r="K421" s="6">
        <f>I421/1/500*4000</f>
        <v>1310.4000000000001</v>
      </c>
      <c r="L421" s="25" t="s">
        <v>18</v>
      </c>
      <c r="M421" s="11"/>
      <c r="N421" s="11" t="s">
        <v>340</v>
      </c>
    </row>
    <row r="422" spans="1:14" ht="22.5">
      <c r="A422" s="50" t="s">
        <v>1592</v>
      </c>
      <c r="B422" s="11" t="s">
        <v>1585</v>
      </c>
      <c r="C422" s="11" t="s">
        <v>1586</v>
      </c>
      <c r="D422" s="11" t="s">
        <v>1593</v>
      </c>
      <c r="E422" s="4" t="s">
        <v>59</v>
      </c>
      <c r="F422" s="4" t="s">
        <v>1594</v>
      </c>
      <c r="G422" s="4" t="s">
        <v>90</v>
      </c>
      <c r="H422" s="4" t="s">
        <v>16</v>
      </c>
      <c r="I422" s="6">
        <v>308.89999999999998</v>
      </c>
      <c r="J422" s="4" t="s">
        <v>1577</v>
      </c>
      <c r="K422" s="6">
        <f>I422/1*4</f>
        <v>1235.5999999999999</v>
      </c>
      <c r="L422" s="25" t="s">
        <v>18</v>
      </c>
      <c r="M422" s="11"/>
      <c r="N422" s="11" t="s">
        <v>340</v>
      </c>
    </row>
    <row r="423" spans="1:14" ht="22.5">
      <c r="A423" s="50" t="s">
        <v>1595</v>
      </c>
      <c r="B423" s="11" t="s">
        <v>1585</v>
      </c>
      <c r="C423" s="11" t="s">
        <v>1586</v>
      </c>
      <c r="D423" s="11" t="s">
        <v>1596</v>
      </c>
      <c r="E423" s="4" t="s">
        <v>59</v>
      </c>
      <c r="F423" s="4" t="s">
        <v>1470</v>
      </c>
      <c r="G423" s="4" t="s">
        <v>120</v>
      </c>
      <c r="H423" s="4" t="s">
        <v>16</v>
      </c>
      <c r="I423" s="6">
        <v>15445</v>
      </c>
      <c r="J423" s="4" t="s">
        <v>1577</v>
      </c>
      <c r="K423" s="6">
        <f>I423/50/1*4</f>
        <v>1235.5999999999999</v>
      </c>
      <c r="L423" s="25" t="s">
        <v>18</v>
      </c>
      <c r="M423" s="11"/>
      <c r="N423" s="11" t="s">
        <v>340</v>
      </c>
    </row>
    <row r="424" spans="1:14" ht="22.5">
      <c r="A424" s="50" t="s">
        <v>1597</v>
      </c>
      <c r="B424" s="11" t="s">
        <v>1585</v>
      </c>
      <c r="C424" s="11" t="s">
        <v>1586</v>
      </c>
      <c r="D424" s="11" t="s">
        <v>3684</v>
      </c>
      <c r="E424" s="4" t="s">
        <v>59</v>
      </c>
      <c r="F424" s="4" t="s">
        <v>1594</v>
      </c>
      <c r="G424" s="4" t="s">
        <v>1598</v>
      </c>
      <c r="H424" s="4" t="s">
        <v>45</v>
      </c>
      <c r="I424" s="6">
        <v>308.89999999999998</v>
      </c>
      <c r="J424" s="7" t="s">
        <v>1577</v>
      </c>
      <c r="K424" s="6">
        <f>I424/1/1*4</f>
        <v>1235.5999999999999</v>
      </c>
      <c r="L424" s="25" t="s">
        <v>18</v>
      </c>
      <c r="M424" s="11"/>
      <c r="N424" s="11" t="s">
        <v>340</v>
      </c>
    </row>
    <row r="425" spans="1:14" ht="22.5">
      <c r="A425" s="50" t="s">
        <v>3611</v>
      </c>
      <c r="B425" s="11" t="s">
        <v>1585</v>
      </c>
      <c r="C425" s="11" t="s">
        <v>1586</v>
      </c>
      <c r="D425" s="11" t="s">
        <v>3612</v>
      </c>
      <c r="E425" s="4" t="s">
        <v>59</v>
      </c>
      <c r="F425" s="4" t="s">
        <v>1462</v>
      </c>
      <c r="G425" s="4" t="s">
        <v>2451</v>
      </c>
      <c r="H425" s="4" t="s">
        <v>34</v>
      </c>
      <c r="I425" s="6">
        <v>3089</v>
      </c>
      <c r="J425" s="7" t="s">
        <v>1577</v>
      </c>
      <c r="K425" s="6">
        <f>+I425/10*4</f>
        <v>1235.5999999999999</v>
      </c>
      <c r="L425" s="25" t="s">
        <v>18</v>
      </c>
      <c r="M425" s="11"/>
      <c r="N425" s="11" t="s">
        <v>340</v>
      </c>
    </row>
    <row r="426" spans="1:14" ht="22.5">
      <c r="A426" s="50" t="s">
        <v>3613</v>
      </c>
      <c r="B426" s="11" t="s">
        <v>1585</v>
      </c>
      <c r="C426" s="11" t="s">
        <v>1586</v>
      </c>
      <c r="D426" s="11" t="s">
        <v>3612</v>
      </c>
      <c r="E426" s="4" t="s">
        <v>59</v>
      </c>
      <c r="F426" s="4" t="s">
        <v>1583</v>
      </c>
      <c r="G426" s="4" t="s">
        <v>2451</v>
      </c>
      <c r="H426" s="4" t="s">
        <v>34</v>
      </c>
      <c r="I426" s="6">
        <v>6178</v>
      </c>
      <c r="J426" s="7" t="s">
        <v>1577</v>
      </c>
      <c r="K426" s="6">
        <f>+I426/20*4</f>
        <v>1235.5999999999999</v>
      </c>
      <c r="L426" s="25" t="s">
        <v>18</v>
      </c>
      <c r="M426" s="11"/>
      <c r="N426" s="11" t="s">
        <v>340</v>
      </c>
    </row>
    <row r="427" spans="1:14" ht="22.5">
      <c r="A427" s="50" t="s">
        <v>1599</v>
      </c>
      <c r="B427" s="11" t="s">
        <v>1600</v>
      </c>
      <c r="C427" s="11" t="s">
        <v>1601</v>
      </c>
      <c r="D427" s="11" t="s">
        <v>1602</v>
      </c>
      <c r="E427" s="4" t="s">
        <v>32</v>
      </c>
      <c r="F427" s="4" t="s">
        <v>1603</v>
      </c>
      <c r="G427" s="4" t="s">
        <v>15</v>
      </c>
      <c r="H427" s="4" t="s">
        <v>16</v>
      </c>
      <c r="I427" s="6">
        <v>5849</v>
      </c>
      <c r="J427" s="4" t="s">
        <v>415</v>
      </c>
      <c r="K427" s="6">
        <f>I427/50/1000*2000</f>
        <v>233.96</v>
      </c>
      <c r="L427" s="25" t="s">
        <v>18</v>
      </c>
      <c r="M427" s="11"/>
      <c r="N427" s="11" t="s">
        <v>1604</v>
      </c>
    </row>
    <row r="428" spans="1:14" ht="22.5">
      <c r="A428" s="50" t="s">
        <v>1605</v>
      </c>
      <c r="B428" s="11" t="s">
        <v>1600</v>
      </c>
      <c r="C428" s="11" t="s">
        <v>1601</v>
      </c>
      <c r="D428" s="11" t="s">
        <v>1606</v>
      </c>
      <c r="E428" s="4" t="s">
        <v>1549</v>
      </c>
      <c r="F428" s="4" t="s">
        <v>1462</v>
      </c>
      <c r="G428" s="4" t="s">
        <v>90</v>
      </c>
      <c r="H428" s="4" t="s">
        <v>16</v>
      </c>
      <c r="I428" s="6">
        <v>1169.8</v>
      </c>
      <c r="J428" s="4" t="s">
        <v>415</v>
      </c>
      <c r="K428" s="6">
        <f>I428/1000/10*2000</f>
        <v>233.96</v>
      </c>
      <c r="L428" s="25" t="s">
        <v>18</v>
      </c>
      <c r="M428" s="11"/>
      <c r="N428" s="11" t="s">
        <v>1607</v>
      </c>
    </row>
    <row r="429" spans="1:14" ht="22.5">
      <c r="A429" s="50" t="s">
        <v>1608</v>
      </c>
      <c r="B429" s="11" t="s">
        <v>1600</v>
      </c>
      <c r="C429" s="11" t="s">
        <v>1601</v>
      </c>
      <c r="D429" s="11" t="s">
        <v>1609</v>
      </c>
      <c r="E429" s="4" t="s">
        <v>59</v>
      </c>
      <c r="F429" s="4" t="s">
        <v>1610</v>
      </c>
      <c r="G429" s="4" t="s">
        <v>1611</v>
      </c>
      <c r="H429" s="4" t="s">
        <v>133</v>
      </c>
      <c r="I429" s="6">
        <v>1169.8</v>
      </c>
      <c r="J429" s="4" t="s">
        <v>415</v>
      </c>
      <c r="K429" s="6">
        <f>I429/10/1000*2000</f>
        <v>233.95999999999998</v>
      </c>
      <c r="L429" s="25" t="s">
        <v>18</v>
      </c>
      <c r="M429" s="11"/>
      <c r="N429" s="11" t="s">
        <v>1607</v>
      </c>
    </row>
    <row r="430" spans="1:14" ht="22.5">
      <c r="A430" s="50" t="s">
        <v>1612</v>
      </c>
      <c r="B430" s="11" t="s">
        <v>1600</v>
      </c>
      <c r="C430" s="11" t="s">
        <v>1601</v>
      </c>
      <c r="D430" s="11" t="s">
        <v>1613</v>
      </c>
      <c r="E430" s="4" t="s">
        <v>59</v>
      </c>
      <c r="F430" s="4" t="s">
        <v>1462</v>
      </c>
      <c r="G430" s="4" t="s">
        <v>1529</v>
      </c>
      <c r="H430" s="4" t="s">
        <v>34</v>
      </c>
      <c r="I430" s="6">
        <v>1169.8</v>
      </c>
      <c r="J430" s="4" t="s">
        <v>415</v>
      </c>
      <c r="K430" s="6">
        <f>I430/10*2</f>
        <v>233.95999999999998</v>
      </c>
      <c r="L430" s="25" t="s">
        <v>18</v>
      </c>
      <c r="M430" s="11"/>
      <c r="N430" s="11" t="s">
        <v>1607</v>
      </c>
    </row>
    <row r="431" spans="1:14" ht="22.5">
      <c r="A431" s="50" t="s">
        <v>1614</v>
      </c>
      <c r="B431" s="11" t="s">
        <v>1600</v>
      </c>
      <c r="C431" s="11" t="s">
        <v>1601</v>
      </c>
      <c r="D431" s="11" t="s">
        <v>1613</v>
      </c>
      <c r="E431" s="4" t="s">
        <v>59</v>
      </c>
      <c r="F431" s="4" t="s">
        <v>1583</v>
      </c>
      <c r="G431" s="4" t="s">
        <v>1529</v>
      </c>
      <c r="H431" s="4" t="s">
        <v>34</v>
      </c>
      <c r="I431" s="6">
        <v>4259</v>
      </c>
      <c r="J431" s="4" t="s">
        <v>415</v>
      </c>
      <c r="K431" s="6">
        <f>I431/10/2*2</f>
        <v>425.9</v>
      </c>
      <c r="L431" s="25" t="s">
        <v>18</v>
      </c>
      <c r="M431" s="11"/>
      <c r="N431" s="11" t="s">
        <v>1607</v>
      </c>
    </row>
    <row r="432" spans="1:14" ht="22.5">
      <c r="A432" s="50" t="s">
        <v>1615</v>
      </c>
      <c r="B432" s="11" t="s">
        <v>1600</v>
      </c>
      <c r="C432" s="11" t="s">
        <v>1601</v>
      </c>
      <c r="D432" s="11" t="s">
        <v>3670</v>
      </c>
      <c r="E432" s="4" t="s">
        <v>59</v>
      </c>
      <c r="F432" s="4" t="s">
        <v>1531</v>
      </c>
      <c r="G432" s="4" t="s">
        <v>1532</v>
      </c>
      <c r="H432" s="4" t="s">
        <v>618</v>
      </c>
      <c r="I432" s="6">
        <v>584.9</v>
      </c>
      <c r="J432" s="4" t="s">
        <v>415</v>
      </c>
      <c r="K432" s="6">
        <f>I432/5/1*2</f>
        <v>233.95999999999998</v>
      </c>
      <c r="L432" s="25" t="s">
        <v>18</v>
      </c>
      <c r="M432" s="11"/>
      <c r="N432" s="11" t="s">
        <v>1607</v>
      </c>
    </row>
    <row r="433" spans="1:14" ht="22.5">
      <c r="A433" s="61" t="s">
        <v>1616</v>
      </c>
      <c r="B433" s="12" t="s">
        <v>1600</v>
      </c>
      <c r="C433" s="13" t="s">
        <v>1601</v>
      </c>
      <c r="D433" s="13" t="s">
        <v>1617</v>
      </c>
      <c r="E433" s="17" t="s">
        <v>59</v>
      </c>
      <c r="F433" s="17" t="s">
        <v>1462</v>
      </c>
      <c r="G433" s="17" t="s">
        <v>1618</v>
      </c>
      <c r="H433" s="17" t="s">
        <v>129</v>
      </c>
      <c r="I433" s="16">
        <v>1169.8</v>
      </c>
      <c r="J433" s="6" t="s">
        <v>415</v>
      </c>
      <c r="K433" s="6">
        <f>I433/10/1*2</f>
        <v>233.95999999999998</v>
      </c>
      <c r="L433" s="7" t="s">
        <v>18</v>
      </c>
      <c r="M433" s="11"/>
      <c r="N433" s="11" t="s">
        <v>1607</v>
      </c>
    </row>
    <row r="434" spans="1:14" ht="22.5">
      <c r="A434" s="61" t="s">
        <v>3784</v>
      </c>
      <c r="B434" s="12" t="s">
        <v>1600</v>
      </c>
      <c r="C434" s="13" t="s">
        <v>1601</v>
      </c>
      <c r="D434" s="13" t="s">
        <v>3785</v>
      </c>
      <c r="E434" s="17" t="s">
        <v>59</v>
      </c>
      <c r="F434" s="17" t="s">
        <v>1465</v>
      </c>
      <c r="G434" s="17" t="s">
        <v>3646</v>
      </c>
      <c r="H434" s="17" t="s">
        <v>45</v>
      </c>
      <c r="I434" s="16">
        <v>11698</v>
      </c>
      <c r="J434" s="6" t="s">
        <v>3786</v>
      </c>
      <c r="K434" s="6">
        <f>I434/100/1*2</f>
        <v>233.96</v>
      </c>
      <c r="L434" s="7" t="s">
        <v>18</v>
      </c>
      <c r="M434" s="11"/>
      <c r="N434" s="11" t="s">
        <v>1607</v>
      </c>
    </row>
    <row r="435" spans="1:14" ht="22.5">
      <c r="A435" s="61" t="s">
        <v>3787</v>
      </c>
      <c r="B435" s="12" t="s">
        <v>1600</v>
      </c>
      <c r="C435" s="13" t="s">
        <v>1601</v>
      </c>
      <c r="D435" s="13" t="s">
        <v>3788</v>
      </c>
      <c r="E435" s="17" t="s">
        <v>59</v>
      </c>
      <c r="F435" s="17" t="s">
        <v>1462</v>
      </c>
      <c r="G435" s="17" t="s">
        <v>2451</v>
      </c>
      <c r="H435" s="17" t="s">
        <v>34</v>
      </c>
      <c r="I435" s="16">
        <v>1169.8</v>
      </c>
      <c r="J435" s="6" t="s">
        <v>415</v>
      </c>
      <c r="K435" s="6">
        <f>I435/10/1*2</f>
        <v>233.95999999999998</v>
      </c>
      <c r="L435" s="7" t="s">
        <v>18</v>
      </c>
      <c r="M435" s="11"/>
      <c r="N435" s="11" t="s">
        <v>1607</v>
      </c>
    </row>
    <row r="436" spans="1:14" ht="22.5">
      <c r="A436" s="61" t="s">
        <v>3789</v>
      </c>
      <c r="B436" s="12" t="s">
        <v>1600</v>
      </c>
      <c r="C436" s="13" t="s">
        <v>1601</v>
      </c>
      <c r="D436" s="13" t="s">
        <v>3788</v>
      </c>
      <c r="E436" s="17" t="s">
        <v>59</v>
      </c>
      <c r="F436" s="17" t="s">
        <v>1583</v>
      </c>
      <c r="G436" s="17" t="s">
        <v>2451</v>
      </c>
      <c r="H436" s="17" t="s">
        <v>34</v>
      </c>
      <c r="I436" s="16">
        <v>4259</v>
      </c>
      <c r="J436" s="6" t="s">
        <v>415</v>
      </c>
      <c r="K436" s="6">
        <f>I436/10/2*2</f>
        <v>425.9</v>
      </c>
      <c r="L436" s="7" t="s">
        <v>18</v>
      </c>
      <c r="M436" s="11"/>
      <c r="N436" s="11" t="s">
        <v>1607</v>
      </c>
    </row>
    <row r="437" spans="1:14" ht="22.5">
      <c r="A437" s="11" t="s">
        <v>1619</v>
      </c>
      <c r="B437" s="11" t="s">
        <v>1620</v>
      </c>
      <c r="C437" s="11" t="s">
        <v>1621</v>
      </c>
      <c r="D437" s="11" t="s">
        <v>1622</v>
      </c>
      <c r="E437" s="4" t="s">
        <v>59</v>
      </c>
      <c r="F437" s="4" t="s">
        <v>1623</v>
      </c>
      <c r="G437" s="4" t="s">
        <v>15</v>
      </c>
      <c r="H437" s="4" t="s">
        <v>16</v>
      </c>
      <c r="I437" s="6">
        <v>507.2</v>
      </c>
      <c r="J437" s="4" t="s">
        <v>1577</v>
      </c>
      <c r="K437" s="6">
        <f>I437/1*4</f>
        <v>2028.8</v>
      </c>
      <c r="L437" s="25" t="s">
        <v>18</v>
      </c>
      <c r="M437" s="11"/>
      <c r="N437" s="11" t="s">
        <v>340</v>
      </c>
    </row>
    <row r="438" spans="1:14" ht="33.75">
      <c r="A438" s="50" t="s">
        <v>1624</v>
      </c>
      <c r="B438" s="11" t="s">
        <v>1620</v>
      </c>
      <c r="C438" s="11" t="s">
        <v>1621</v>
      </c>
      <c r="D438" s="11" t="s">
        <v>1625</v>
      </c>
      <c r="E438" s="4" t="s">
        <v>59</v>
      </c>
      <c r="F438" s="17" t="s">
        <v>1462</v>
      </c>
      <c r="G438" s="4" t="s">
        <v>1565</v>
      </c>
      <c r="H438" s="4" t="s">
        <v>26</v>
      </c>
      <c r="I438" s="5">
        <v>5072</v>
      </c>
      <c r="J438" s="4" t="s">
        <v>1577</v>
      </c>
      <c r="K438" s="5">
        <f>I438/10/1*4</f>
        <v>2028.8</v>
      </c>
      <c r="L438" s="25" t="s">
        <v>18</v>
      </c>
      <c r="M438" s="11"/>
      <c r="N438" s="11" t="s">
        <v>148</v>
      </c>
    </row>
    <row r="439" spans="1:14" ht="45">
      <c r="A439" s="50" t="s">
        <v>1626</v>
      </c>
      <c r="B439" s="11" t="s">
        <v>1620</v>
      </c>
      <c r="C439" s="11" t="s">
        <v>1621</v>
      </c>
      <c r="D439" s="11" t="s">
        <v>1627</v>
      </c>
      <c r="E439" s="4" t="s">
        <v>266</v>
      </c>
      <c r="F439" s="4" t="s">
        <v>1628</v>
      </c>
      <c r="G439" s="4" t="s">
        <v>1629</v>
      </c>
      <c r="H439" s="4" t="s">
        <v>54</v>
      </c>
      <c r="I439" s="16">
        <v>4565</v>
      </c>
      <c r="J439" s="4" t="s">
        <v>1577</v>
      </c>
      <c r="K439" s="5">
        <f>I439/10/1*4</f>
        <v>1826</v>
      </c>
      <c r="L439" s="25" t="s">
        <v>18</v>
      </c>
      <c r="M439" s="11"/>
      <c r="N439" s="11" t="s">
        <v>148</v>
      </c>
    </row>
    <row r="440" spans="1:14" ht="33.75">
      <c r="A440" s="50" t="s">
        <v>1630</v>
      </c>
      <c r="B440" s="13" t="s">
        <v>1620</v>
      </c>
      <c r="C440" s="11" t="s">
        <v>1621</v>
      </c>
      <c r="D440" s="11" t="s">
        <v>1631</v>
      </c>
      <c r="E440" s="4" t="s">
        <v>59</v>
      </c>
      <c r="F440" s="4" t="s">
        <v>1462</v>
      </c>
      <c r="G440" s="4" t="s">
        <v>1133</v>
      </c>
      <c r="H440" s="4" t="s">
        <v>26</v>
      </c>
      <c r="I440" s="16">
        <v>4108.5</v>
      </c>
      <c r="J440" s="6" t="s">
        <v>1577</v>
      </c>
      <c r="K440" s="6">
        <f>(I440/10)*4</f>
        <v>1643.4</v>
      </c>
      <c r="L440" s="25" t="s">
        <v>18</v>
      </c>
      <c r="M440" s="11"/>
      <c r="N440" s="11" t="s">
        <v>148</v>
      </c>
    </row>
    <row r="441" spans="1:14" ht="22.5">
      <c r="A441" s="50" t="s">
        <v>3790</v>
      </c>
      <c r="B441" s="13" t="s">
        <v>1620</v>
      </c>
      <c r="C441" s="11" t="s">
        <v>1621</v>
      </c>
      <c r="D441" s="11" t="s">
        <v>3791</v>
      </c>
      <c r="E441" s="4" t="s">
        <v>59</v>
      </c>
      <c r="F441" s="4" t="s">
        <v>1534</v>
      </c>
      <c r="G441" s="4" t="s">
        <v>3646</v>
      </c>
      <c r="H441" s="4" t="s">
        <v>45</v>
      </c>
      <c r="I441" s="16">
        <v>4108.5</v>
      </c>
      <c r="J441" s="6" t="s">
        <v>1577</v>
      </c>
      <c r="K441" s="6">
        <f t="shared" ref="K441:K443" si="1">(I441/10)*4</f>
        <v>1643.4</v>
      </c>
      <c r="L441" s="25" t="s">
        <v>18</v>
      </c>
      <c r="M441" s="11"/>
      <c r="N441" s="11" t="s">
        <v>148</v>
      </c>
    </row>
    <row r="442" spans="1:14" ht="22.5">
      <c r="A442" s="50" t="s">
        <v>3792</v>
      </c>
      <c r="B442" s="13" t="s">
        <v>1620</v>
      </c>
      <c r="C442" s="11" t="s">
        <v>1621</v>
      </c>
      <c r="D442" s="11" t="s">
        <v>3791</v>
      </c>
      <c r="E442" s="4" t="s">
        <v>59</v>
      </c>
      <c r="F442" s="4" t="s">
        <v>3793</v>
      </c>
      <c r="G442" s="4" t="s">
        <v>3646</v>
      </c>
      <c r="H442" s="4" t="s">
        <v>45</v>
      </c>
      <c r="I442" s="16">
        <v>20542.5</v>
      </c>
      <c r="J442" s="6" t="s">
        <v>1577</v>
      </c>
      <c r="K442" s="6">
        <f>(I442/50)*4</f>
        <v>1643.4</v>
      </c>
      <c r="L442" s="25" t="s">
        <v>18</v>
      </c>
      <c r="M442" s="11"/>
      <c r="N442" s="11" t="s">
        <v>148</v>
      </c>
    </row>
    <row r="443" spans="1:14" ht="33.75">
      <c r="A443" s="50" t="s">
        <v>3794</v>
      </c>
      <c r="B443" s="13" t="s">
        <v>1620</v>
      </c>
      <c r="C443" s="11" t="s">
        <v>1621</v>
      </c>
      <c r="D443" s="11" t="s">
        <v>3795</v>
      </c>
      <c r="E443" s="4" t="s">
        <v>59</v>
      </c>
      <c r="F443" s="4" t="s">
        <v>1462</v>
      </c>
      <c r="G443" s="4" t="s">
        <v>3796</v>
      </c>
      <c r="H443" s="4" t="s">
        <v>3797</v>
      </c>
      <c r="I443" s="16">
        <v>4108.5</v>
      </c>
      <c r="J443" s="6" t="s">
        <v>1577</v>
      </c>
      <c r="K443" s="6">
        <f t="shared" si="1"/>
        <v>1643.4</v>
      </c>
      <c r="L443" s="25" t="s">
        <v>18</v>
      </c>
      <c r="M443" s="11"/>
      <c r="N443" s="11" t="s">
        <v>148</v>
      </c>
    </row>
    <row r="444" spans="1:14" ht="22.5">
      <c r="A444" s="50" t="s">
        <v>1632</v>
      </c>
      <c r="B444" s="11" t="s">
        <v>1633</v>
      </c>
      <c r="C444" s="11" t="s">
        <v>1634</v>
      </c>
      <c r="D444" s="11" t="s">
        <v>1635</v>
      </c>
      <c r="E444" s="4" t="s">
        <v>59</v>
      </c>
      <c r="F444" s="4" t="s">
        <v>1636</v>
      </c>
      <c r="G444" s="4" t="s">
        <v>120</v>
      </c>
      <c r="H444" s="4" t="s">
        <v>16</v>
      </c>
      <c r="I444" s="6">
        <v>6493.9</v>
      </c>
      <c r="J444" s="4" t="s">
        <v>1490</v>
      </c>
      <c r="K444" s="6">
        <f>I444/10/1000*3000</f>
        <v>1948.17</v>
      </c>
      <c r="L444" s="25" t="s">
        <v>18</v>
      </c>
      <c r="M444" s="11"/>
      <c r="N444" s="11" t="s">
        <v>1454</v>
      </c>
    </row>
    <row r="445" spans="1:14" ht="22.5">
      <c r="A445" s="50" t="s">
        <v>1637</v>
      </c>
      <c r="B445" s="11" t="s">
        <v>1633</v>
      </c>
      <c r="C445" s="11" t="s">
        <v>1634</v>
      </c>
      <c r="D445" s="11" t="s">
        <v>1638</v>
      </c>
      <c r="E445" s="4" t="s">
        <v>59</v>
      </c>
      <c r="F445" s="4" t="s">
        <v>1639</v>
      </c>
      <c r="G445" s="4" t="s">
        <v>90</v>
      </c>
      <c r="H445" s="4" t="s">
        <v>16</v>
      </c>
      <c r="I445" s="6">
        <v>2881.9</v>
      </c>
      <c r="J445" s="4" t="s">
        <v>1490</v>
      </c>
      <c r="K445" s="6">
        <f>I445/10/500*3000</f>
        <v>1729.14</v>
      </c>
      <c r="L445" s="25" t="s">
        <v>18</v>
      </c>
      <c r="M445" s="11"/>
      <c r="N445" s="11" t="s">
        <v>1454</v>
      </c>
    </row>
    <row r="446" spans="1:14" ht="22.5">
      <c r="A446" s="50" t="s">
        <v>1640</v>
      </c>
      <c r="B446" s="11" t="s">
        <v>1633</v>
      </c>
      <c r="C446" s="11" t="s">
        <v>1634</v>
      </c>
      <c r="D446" s="11" t="s">
        <v>1638</v>
      </c>
      <c r="E446" s="4" t="s">
        <v>59</v>
      </c>
      <c r="F446" s="4" t="s">
        <v>1462</v>
      </c>
      <c r="G446" s="4" t="s">
        <v>90</v>
      </c>
      <c r="H446" s="4" t="s">
        <v>16</v>
      </c>
      <c r="I446" s="6">
        <v>6493.9</v>
      </c>
      <c r="J446" s="4" t="s">
        <v>1490</v>
      </c>
      <c r="K446" s="6">
        <f>I446/10/1000*3000</f>
        <v>1948.17</v>
      </c>
      <c r="L446" s="25" t="s">
        <v>18</v>
      </c>
      <c r="M446" s="11"/>
      <c r="N446" s="11" t="s">
        <v>1454</v>
      </c>
    </row>
    <row r="447" spans="1:14" s="52" customFormat="1" ht="22.5">
      <c r="A447" s="85" t="s">
        <v>1641</v>
      </c>
      <c r="B447" s="86" t="s">
        <v>1633</v>
      </c>
      <c r="C447" s="86" t="s">
        <v>1634</v>
      </c>
      <c r="D447" s="86" t="s">
        <v>1642</v>
      </c>
      <c r="E447" s="87" t="s">
        <v>1497</v>
      </c>
      <c r="F447" s="87" t="s">
        <v>1639</v>
      </c>
      <c r="G447" s="87" t="s">
        <v>1576</v>
      </c>
      <c r="H447" s="87" t="s">
        <v>129</v>
      </c>
      <c r="I447" s="6">
        <v>2881.9</v>
      </c>
      <c r="J447" s="4" t="s">
        <v>1490</v>
      </c>
      <c r="K447" s="6">
        <f>I447/10/500*3000</f>
        <v>1729.14</v>
      </c>
      <c r="L447" s="25" t="s">
        <v>18</v>
      </c>
      <c r="M447" s="11"/>
      <c r="N447" s="11" t="s">
        <v>1454</v>
      </c>
    </row>
    <row r="448" spans="1:14" s="52" customFormat="1" ht="22.5">
      <c r="A448" s="85" t="s">
        <v>1643</v>
      </c>
      <c r="B448" s="86" t="s">
        <v>1633</v>
      </c>
      <c r="C448" s="86" t="s">
        <v>1634</v>
      </c>
      <c r="D448" s="86" t="s">
        <v>1642</v>
      </c>
      <c r="E448" s="87" t="s">
        <v>1497</v>
      </c>
      <c r="F448" s="87" t="s">
        <v>1462</v>
      </c>
      <c r="G448" s="87" t="s">
        <v>1576</v>
      </c>
      <c r="H448" s="87" t="s">
        <v>129</v>
      </c>
      <c r="I448" s="6">
        <v>6493.9</v>
      </c>
      <c r="J448" s="4" t="s">
        <v>1490</v>
      </c>
      <c r="K448" s="6">
        <f>I448/10/1000*3000</f>
        <v>1948.17</v>
      </c>
      <c r="L448" s="25" t="s">
        <v>18</v>
      </c>
      <c r="M448" s="11"/>
      <c r="N448" s="11" t="s">
        <v>1454</v>
      </c>
    </row>
    <row r="449" spans="1:14" s="52" customFormat="1" ht="22.5">
      <c r="A449" s="61" t="s">
        <v>1644</v>
      </c>
      <c r="B449" s="12" t="s">
        <v>1633</v>
      </c>
      <c r="C449" s="10" t="s">
        <v>1634</v>
      </c>
      <c r="D449" s="10" t="s">
        <v>1645</v>
      </c>
      <c r="E449" s="95" t="s">
        <v>59</v>
      </c>
      <c r="F449" s="95" t="s">
        <v>1639</v>
      </c>
      <c r="G449" s="95" t="s">
        <v>1646</v>
      </c>
      <c r="H449" s="95" t="s">
        <v>471</v>
      </c>
      <c r="I449" s="5">
        <v>2881.9</v>
      </c>
      <c r="J449" s="6" t="s">
        <v>1490</v>
      </c>
      <c r="K449" s="5">
        <f>I449/10/500*3000</f>
        <v>1729.14</v>
      </c>
      <c r="L449" s="25" t="s">
        <v>18</v>
      </c>
      <c r="M449" s="11"/>
      <c r="N449" s="11" t="s">
        <v>1454</v>
      </c>
    </row>
    <row r="450" spans="1:14" s="52" customFormat="1" ht="22.5">
      <c r="A450" s="61" t="s">
        <v>1647</v>
      </c>
      <c r="B450" s="12" t="s">
        <v>1633</v>
      </c>
      <c r="C450" s="10" t="s">
        <v>1634</v>
      </c>
      <c r="D450" s="10" t="s">
        <v>1645</v>
      </c>
      <c r="E450" s="95" t="s">
        <v>59</v>
      </c>
      <c r="F450" s="95" t="s">
        <v>1648</v>
      </c>
      <c r="G450" s="95" t="s">
        <v>1646</v>
      </c>
      <c r="H450" s="95" t="s">
        <v>471</v>
      </c>
      <c r="I450" s="5">
        <v>6493.9</v>
      </c>
      <c r="J450" s="6" t="s">
        <v>1490</v>
      </c>
      <c r="K450" s="5">
        <f>I450/10/1000*3000</f>
        <v>1948.17</v>
      </c>
      <c r="L450" s="25" t="s">
        <v>18</v>
      </c>
      <c r="M450" s="11"/>
      <c r="N450" s="11" t="s">
        <v>1454</v>
      </c>
    </row>
    <row r="451" spans="1:14" s="52" customFormat="1" ht="33.75">
      <c r="A451" s="50" t="s">
        <v>1649</v>
      </c>
      <c r="B451" s="12" t="s">
        <v>1633</v>
      </c>
      <c r="C451" s="11" t="s">
        <v>1634</v>
      </c>
      <c r="D451" s="11" t="s">
        <v>1650</v>
      </c>
      <c r="E451" s="4" t="s">
        <v>59</v>
      </c>
      <c r="F451" s="4" t="s">
        <v>1639</v>
      </c>
      <c r="G451" s="4" t="s">
        <v>53</v>
      </c>
      <c r="H451" s="4" t="s">
        <v>54</v>
      </c>
      <c r="I451" s="5">
        <v>2881.9</v>
      </c>
      <c r="J451" s="4" t="s">
        <v>1490</v>
      </c>
      <c r="K451" s="5">
        <f>I451/10/500*3000</f>
        <v>1729.14</v>
      </c>
      <c r="L451" s="25" t="s">
        <v>18</v>
      </c>
      <c r="M451" s="11"/>
      <c r="N451" s="11" t="s">
        <v>1454</v>
      </c>
    </row>
    <row r="452" spans="1:14" s="52" customFormat="1" ht="33.75">
      <c r="A452" s="50" t="s">
        <v>1651</v>
      </c>
      <c r="B452" s="12" t="s">
        <v>1633</v>
      </c>
      <c r="C452" s="11" t="s">
        <v>1634</v>
      </c>
      <c r="D452" s="11" t="s">
        <v>1650</v>
      </c>
      <c r="E452" s="4" t="s">
        <v>59</v>
      </c>
      <c r="F452" s="4" t="s">
        <v>1648</v>
      </c>
      <c r="G452" s="4" t="s">
        <v>53</v>
      </c>
      <c r="H452" s="4" t="s">
        <v>54</v>
      </c>
      <c r="I452" s="5">
        <v>6493.9</v>
      </c>
      <c r="J452" s="4" t="s">
        <v>1490</v>
      </c>
      <c r="K452" s="5">
        <f>I452/10/1000*3000</f>
        <v>1948.17</v>
      </c>
      <c r="L452" s="25" t="s">
        <v>18</v>
      </c>
      <c r="M452" s="11"/>
      <c r="N452" s="11" t="s">
        <v>1454</v>
      </c>
    </row>
    <row r="453" spans="1:14" s="52" customFormat="1" ht="22.5">
      <c r="A453" s="50" t="s">
        <v>3605</v>
      </c>
      <c r="B453" s="12" t="s">
        <v>1633</v>
      </c>
      <c r="C453" s="11" t="s">
        <v>1634</v>
      </c>
      <c r="D453" s="11" t="s">
        <v>3606</v>
      </c>
      <c r="E453" s="4" t="s">
        <v>59</v>
      </c>
      <c r="F453" s="4" t="s">
        <v>1639</v>
      </c>
      <c r="G453" s="4" t="s">
        <v>2451</v>
      </c>
      <c r="H453" s="4" t="s">
        <v>34</v>
      </c>
      <c r="I453" s="5">
        <v>2881.9</v>
      </c>
      <c r="J453" s="4" t="s">
        <v>1490</v>
      </c>
      <c r="K453" s="5">
        <f>I453/10/500*3000</f>
        <v>1729.14</v>
      </c>
      <c r="L453" s="25" t="s">
        <v>18</v>
      </c>
      <c r="M453" s="11"/>
      <c r="N453" s="11" t="s">
        <v>1454</v>
      </c>
    </row>
    <row r="454" spans="1:14" s="52" customFormat="1" ht="22.5">
      <c r="A454" s="50" t="s">
        <v>3607</v>
      </c>
      <c r="B454" s="12" t="s">
        <v>1633</v>
      </c>
      <c r="C454" s="11" t="s">
        <v>1634</v>
      </c>
      <c r="D454" s="11" t="s">
        <v>3606</v>
      </c>
      <c r="E454" s="4" t="s">
        <v>59</v>
      </c>
      <c r="F454" s="4" t="s">
        <v>1648</v>
      </c>
      <c r="G454" s="4" t="s">
        <v>2451</v>
      </c>
      <c r="H454" s="4" t="s">
        <v>34</v>
      </c>
      <c r="I454" s="5">
        <v>6493.9</v>
      </c>
      <c r="J454" s="4" t="s">
        <v>1490</v>
      </c>
      <c r="K454" s="5">
        <f>I454/(10*1000)*3000</f>
        <v>1948.1699999999998</v>
      </c>
      <c r="L454" s="25" t="s">
        <v>18</v>
      </c>
      <c r="M454" s="11"/>
      <c r="N454" s="11" t="s">
        <v>1454</v>
      </c>
    </row>
    <row r="455" spans="1:14" s="52" customFormat="1" ht="33.75">
      <c r="A455" s="50" t="s">
        <v>3656</v>
      </c>
      <c r="B455" s="12" t="s">
        <v>1633</v>
      </c>
      <c r="C455" s="11" t="s">
        <v>1634</v>
      </c>
      <c r="D455" s="11" t="s">
        <v>3608</v>
      </c>
      <c r="E455" s="4" t="s">
        <v>59</v>
      </c>
      <c r="F455" s="4" t="s">
        <v>1639</v>
      </c>
      <c r="G455" s="4" t="s">
        <v>3609</v>
      </c>
      <c r="H455" s="4" t="s">
        <v>3610</v>
      </c>
      <c r="I455" s="5">
        <v>2881.9</v>
      </c>
      <c r="J455" s="4" t="s">
        <v>1490</v>
      </c>
      <c r="K455" s="5">
        <f>I455/10/500*3000</f>
        <v>1729.14</v>
      </c>
      <c r="L455" s="25" t="s">
        <v>18</v>
      </c>
      <c r="M455" s="11"/>
      <c r="N455" s="11" t="s">
        <v>1454</v>
      </c>
    </row>
    <row r="456" spans="1:14" s="52" customFormat="1" ht="33.75">
      <c r="A456" s="50" t="s">
        <v>3655</v>
      </c>
      <c r="B456" s="12" t="s">
        <v>1633</v>
      </c>
      <c r="C456" s="11" t="s">
        <v>1634</v>
      </c>
      <c r="D456" s="11" t="s">
        <v>3608</v>
      </c>
      <c r="E456" s="4" t="s">
        <v>59</v>
      </c>
      <c r="F456" s="4" t="s">
        <v>1648</v>
      </c>
      <c r="G456" s="4" t="s">
        <v>3609</v>
      </c>
      <c r="H456" s="4" t="s">
        <v>3610</v>
      </c>
      <c r="I456" s="5">
        <v>6493.9</v>
      </c>
      <c r="J456" s="4" t="s">
        <v>1490</v>
      </c>
      <c r="K456" s="5">
        <f>I456/(10*1000)*3000</f>
        <v>1948.1699999999998</v>
      </c>
      <c r="L456" s="25" t="s">
        <v>18</v>
      </c>
      <c r="M456" s="11"/>
      <c r="N456" s="11" t="s">
        <v>1454</v>
      </c>
    </row>
    <row r="457" spans="1:14" s="52" customFormat="1" ht="22.5">
      <c r="A457" s="50" t="s">
        <v>3798</v>
      </c>
      <c r="B457" s="12" t="s">
        <v>1633</v>
      </c>
      <c r="C457" s="11" t="s">
        <v>1634</v>
      </c>
      <c r="D457" s="11" t="s">
        <v>3799</v>
      </c>
      <c r="E457" s="4" t="s">
        <v>59</v>
      </c>
      <c r="F457" s="4" t="s">
        <v>1591</v>
      </c>
      <c r="G457" s="4" t="s">
        <v>3800</v>
      </c>
      <c r="H457" s="4" t="s">
        <v>54</v>
      </c>
      <c r="I457" s="5">
        <v>288.2</v>
      </c>
      <c r="J457" s="4" t="s">
        <v>1490</v>
      </c>
      <c r="K457" s="5">
        <f>I457/500*3000</f>
        <v>1729.2</v>
      </c>
      <c r="L457" s="25" t="s">
        <v>18</v>
      </c>
      <c r="M457" s="11"/>
      <c r="N457" s="11" t="s">
        <v>1454</v>
      </c>
    </row>
    <row r="458" spans="1:14" s="52" customFormat="1" ht="22.5">
      <c r="A458" s="50" t="s">
        <v>3801</v>
      </c>
      <c r="B458" s="12" t="s">
        <v>1633</v>
      </c>
      <c r="C458" s="11" t="s">
        <v>1634</v>
      </c>
      <c r="D458" s="11" t="s">
        <v>3799</v>
      </c>
      <c r="E458" s="4" t="s">
        <v>59</v>
      </c>
      <c r="F458" s="4" t="s">
        <v>1588</v>
      </c>
      <c r="G458" s="4" t="s">
        <v>3800</v>
      </c>
      <c r="H458" s="4" t="s">
        <v>54</v>
      </c>
      <c r="I458" s="5">
        <v>649.4</v>
      </c>
      <c r="J458" s="4" t="s">
        <v>1490</v>
      </c>
      <c r="K458" s="5">
        <f>I458/1000*3000</f>
        <v>1948.1999999999998</v>
      </c>
      <c r="L458" s="25" t="s">
        <v>18</v>
      </c>
      <c r="M458" s="11"/>
      <c r="N458" s="11" t="s">
        <v>1454</v>
      </c>
    </row>
    <row r="459" spans="1:14" s="52" customFormat="1" ht="22.5">
      <c r="A459" s="50" t="s">
        <v>3802</v>
      </c>
      <c r="B459" s="12" t="s">
        <v>1633</v>
      </c>
      <c r="C459" s="11" t="s">
        <v>1634</v>
      </c>
      <c r="D459" s="11" t="s">
        <v>3803</v>
      </c>
      <c r="E459" s="4" t="s">
        <v>59</v>
      </c>
      <c r="F459" s="4" t="s">
        <v>1639</v>
      </c>
      <c r="G459" s="4" t="s">
        <v>1502</v>
      </c>
      <c r="H459" s="4" t="s">
        <v>1468</v>
      </c>
      <c r="I459" s="5">
        <v>2881.9</v>
      </c>
      <c r="J459" s="4" t="s">
        <v>1490</v>
      </c>
      <c r="K459" s="5">
        <f>I459/10/500*3000</f>
        <v>1729.14</v>
      </c>
      <c r="L459" s="25" t="s">
        <v>18</v>
      </c>
      <c r="M459" s="11"/>
      <c r="N459" s="11" t="s">
        <v>1454</v>
      </c>
    </row>
    <row r="460" spans="1:14" s="52" customFormat="1" ht="22.5">
      <c r="A460" s="50" t="s">
        <v>3804</v>
      </c>
      <c r="B460" s="12" t="s">
        <v>1633</v>
      </c>
      <c r="C460" s="11" t="s">
        <v>1634</v>
      </c>
      <c r="D460" s="11" t="s">
        <v>3803</v>
      </c>
      <c r="E460" s="4" t="s">
        <v>59</v>
      </c>
      <c r="F460" s="4" t="s">
        <v>1648</v>
      </c>
      <c r="G460" s="4" t="s">
        <v>1502</v>
      </c>
      <c r="H460" s="4" t="s">
        <v>1468</v>
      </c>
      <c r="I460" s="5">
        <v>6493.9</v>
      </c>
      <c r="J460" s="4" t="s">
        <v>1490</v>
      </c>
      <c r="K460" s="5">
        <f>I460/(10*1000)*3000</f>
        <v>1948.1699999999998</v>
      </c>
      <c r="L460" s="25" t="s">
        <v>18</v>
      </c>
      <c r="M460" s="11"/>
      <c r="N460" s="11" t="s">
        <v>1454</v>
      </c>
    </row>
    <row r="461" spans="1:14" ht="33.75">
      <c r="A461" s="50" t="s">
        <v>1652</v>
      </c>
      <c r="B461" s="11" t="s">
        <v>1653</v>
      </c>
      <c r="C461" s="11" t="s">
        <v>1660</v>
      </c>
      <c r="D461" s="11" t="s">
        <v>1654</v>
      </c>
      <c r="E461" s="4" t="s">
        <v>1655</v>
      </c>
      <c r="F461" s="4" t="s">
        <v>1656</v>
      </c>
      <c r="G461" s="4" t="s">
        <v>1657</v>
      </c>
      <c r="H461" s="4" t="s">
        <v>175</v>
      </c>
      <c r="I461" s="6">
        <v>3257.3</v>
      </c>
      <c r="J461" s="6" t="s">
        <v>1658</v>
      </c>
      <c r="K461" s="6">
        <f>I461/1/1*1</f>
        <v>3257.3</v>
      </c>
      <c r="L461" s="25" t="s">
        <v>18</v>
      </c>
      <c r="M461" s="11"/>
      <c r="N461" s="11" t="s">
        <v>148</v>
      </c>
    </row>
    <row r="462" spans="1:14" ht="33.75">
      <c r="A462" s="50" t="s">
        <v>1659</v>
      </c>
      <c r="B462" s="11" t="s">
        <v>1653</v>
      </c>
      <c r="C462" s="13" t="s">
        <v>1660</v>
      </c>
      <c r="D462" s="13" t="s">
        <v>1661</v>
      </c>
      <c r="E462" s="17" t="s">
        <v>1655</v>
      </c>
      <c r="F462" s="17" t="s">
        <v>1534</v>
      </c>
      <c r="G462" s="4" t="s">
        <v>1662</v>
      </c>
      <c r="H462" s="4" t="s">
        <v>471</v>
      </c>
      <c r="I462" s="6">
        <v>23333.7</v>
      </c>
      <c r="J462" s="34" t="s">
        <v>1658</v>
      </c>
      <c r="K462" s="6">
        <f>I462/10/1*1</f>
        <v>2333.37</v>
      </c>
      <c r="L462" s="25" t="s">
        <v>18</v>
      </c>
      <c r="M462" s="11"/>
      <c r="N462" s="11" t="s">
        <v>148</v>
      </c>
    </row>
    <row r="463" spans="1:14" ht="33.75">
      <c r="A463" s="50" t="s">
        <v>1663</v>
      </c>
      <c r="B463" s="11" t="s">
        <v>1653</v>
      </c>
      <c r="C463" s="2" t="s">
        <v>1660</v>
      </c>
      <c r="D463" s="11" t="s">
        <v>1664</v>
      </c>
      <c r="E463" s="4" t="s">
        <v>1655</v>
      </c>
      <c r="F463" s="4" t="s">
        <v>1534</v>
      </c>
      <c r="G463" s="4" t="s">
        <v>1662</v>
      </c>
      <c r="H463" s="4" t="s">
        <v>471</v>
      </c>
      <c r="I463" s="6">
        <v>23333.7</v>
      </c>
      <c r="J463" s="34" t="s">
        <v>1658</v>
      </c>
      <c r="K463" s="6">
        <f>I463/10/1*1</f>
        <v>2333.37</v>
      </c>
      <c r="L463" s="25" t="s">
        <v>18</v>
      </c>
      <c r="M463" s="11"/>
      <c r="N463" s="11" t="s">
        <v>148</v>
      </c>
    </row>
    <row r="464" spans="1:14" ht="33.75">
      <c r="A464" s="50" t="s">
        <v>1665</v>
      </c>
      <c r="B464" s="11" t="s">
        <v>1653</v>
      </c>
      <c r="C464" s="2" t="s">
        <v>1660</v>
      </c>
      <c r="D464" s="11" t="s">
        <v>1666</v>
      </c>
      <c r="E464" s="4" t="s">
        <v>1655</v>
      </c>
      <c r="F464" s="4" t="s">
        <v>1534</v>
      </c>
      <c r="G464" s="4" t="s">
        <v>1662</v>
      </c>
      <c r="H464" s="4" t="s">
        <v>471</v>
      </c>
      <c r="I464" s="6">
        <v>23333.7</v>
      </c>
      <c r="J464" s="34" t="s">
        <v>1658</v>
      </c>
      <c r="K464" s="6">
        <f>I464/10/1*1</f>
        <v>2333.37</v>
      </c>
      <c r="L464" s="25" t="s">
        <v>18</v>
      </c>
      <c r="M464" s="11"/>
      <c r="N464" s="11" t="s">
        <v>148</v>
      </c>
    </row>
    <row r="465" spans="1:14" ht="33.75">
      <c r="A465" s="50" t="s">
        <v>1667</v>
      </c>
      <c r="B465" s="11" t="s">
        <v>1653</v>
      </c>
      <c r="C465" s="11" t="s">
        <v>1660</v>
      </c>
      <c r="D465" s="11" t="s">
        <v>1668</v>
      </c>
      <c r="E465" s="4" t="s">
        <v>1655</v>
      </c>
      <c r="F465" s="4" t="s">
        <v>1534</v>
      </c>
      <c r="G465" s="4" t="s">
        <v>1662</v>
      </c>
      <c r="H465" s="4" t="s">
        <v>471</v>
      </c>
      <c r="I465" s="6">
        <v>23333.7</v>
      </c>
      <c r="J465" s="34" t="s">
        <v>1658</v>
      </c>
      <c r="K465" s="6">
        <f>I465/10/1*1</f>
        <v>2333.37</v>
      </c>
      <c r="L465" s="25" t="s">
        <v>18</v>
      </c>
      <c r="M465" s="96"/>
      <c r="N465" s="11" t="s">
        <v>148</v>
      </c>
    </row>
    <row r="466" spans="1:14" ht="33.75">
      <c r="A466" s="50" t="s">
        <v>1669</v>
      </c>
      <c r="B466" s="12" t="s">
        <v>1653</v>
      </c>
      <c r="C466" s="11" t="s">
        <v>1660</v>
      </c>
      <c r="D466" s="11" t="s">
        <v>1670</v>
      </c>
      <c r="E466" s="4" t="s">
        <v>1655</v>
      </c>
      <c r="F466" s="4" t="s">
        <v>1534</v>
      </c>
      <c r="G466" s="4" t="s">
        <v>3709</v>
      </c>
      <c r="H466" s="4" t="s">
        <v>3710</v>
      </c>
      <c r="I466" s="6">
        <v>23333.7</v>
      </c>
      <c r="J466" s="34" t="s">
        <v>1658</v>
      </c>
      <c r="K466" s="6">
        <f>I466/10/1*1</f>
        <v>2333.37</v>
      </c>
      <c r="L466" s="25" t="s">
        <v>18</v>
      </c>
      <c r="M466" s="96"/>
      <c r="N466" s="11" t="s">
        <v>148</v>
      </c>
    </row>
    <row r="467" spans="1:14" ht="33.75">
      <c r="A467" s="50" t="s">
        <v>1671</v>
      </c>
      <c r="B467" s="13" t="s">
        <v>1653</v>
      </c>
      <c r="C467" s="11" t="s">
        <v>1660</v>
      </c>
      <c r="D467" s="11" t="s">
        <v>1672</v>
      </c>
      <c r="E467" s="55" t="s">
        <v>1655</v>
      </c>
      <c r="F467" s="55" t="s">
        <v>1462</v>
      </c>
      <c r="G467" s="55" t="s">
        <v>1662</v>
      </c>
      <c r="H467" s="55" t="s">
        <v>471</v>
      </c>
      <c r="I467" s="6">
        <v>23333.7</v>
      </c>
      <c r="J467" s="6" t="s">
        <v>1658</v>
      </c>
      <c r="K467" s="6">
        <f>(I467/10)/1*1</f>
        <v>2333.37</v>
      </c>
      <c r="L467" s="25" t="s">
        <v>18</v>
      </c>
      <c r="M467" s="96"/>
      <c r="N467" s="11" t="s">
        <v>148</v>
      </c>
    </row>
    <row r="468" spans="1:14" ht="22.5">
      <c r="A468" s="50" t="s">
        <v>1673</v>
      </c>
      <c r="B468" s="11" t="s">
        <v>1674</v>
      </c>
      <c r="C468" s="11" t="s">
        <v>1675</v>
      </c>
      <c r="D468" s="3" t="s">
        <v>1676</v>
      </c>
      <c r="E468" s="4" t="s">
        <v>23</v>
      </c>
      <c r="F468" s="4" t="s">
        <v>1677</v>
      </c>
      <c r="G468" s="4" t="s">
        <v>1678</v>
      </c>
      <c r="H468" s="4" t="s">
        <v>16</v>
      </c>
      <c r="I468" s="29">
        <v>4944.8999999999996</v>
      </c>
      <c r="J468" s="4" t="s">
        <v>415</v>
      </c>
      <c r="K468" s="6">
        <f>I468/10/500*2000</f>
        <v>1977.9599999999998</v>
      </c>
      <c r="L468" s="25" t="s">
        <v>18</v>
      </c>
      <c r="M468" s="11"/>
      <c r="N468" s="11" t="s">
        <v>1679</v>
      </c>
    </row>
    <row r="469" spans="1:14" ht="22.5">
      <c r="A469" s="53" t="s">
        <v>1680</v>
      </c>
      <c r="B469" s="54" t="s">
        <v>1674</v>
      </c>
      <c r="C469" s="54" t="s">
        <v>1675</v>
      </c>
      <c r="D469" s="54" t="s">
        <v>1681</v>
      </c>
      <c r="E469" s="55" t="s">
        <v>23</v>
      </c>
      <c r="F469" s="56" t="s">
        <v>1682</v>
      </c>
      <c r="G469" s="89" t="s">
        <v>1683</v>
      </c>
      <c r="H469" s="55" t="s">
        <v>471</v>
      </c>
      <c r="I469" s="29">
        <v>4944.8999999999996</v>
      </c>
      <c r="J469" s="8" t="s">
        <v>415</v>
      </c>
      <c r="K469" s="5">
        <f>I469/10/500*2000</f>
        <v>1977.9599999999998</v>
      </c>
      <c r="L469" s="21" t="s">
        <v>18</v>
      </c>
      <c r="M469" s="54"/>
      <c r="N469" s="54" t="s">
        <v>1679</v>
      </c>
    </row>
    <row r="470" spans="1:14" ht="22.5">
      <c r="A470" s="50" t="s">
        <v>1684</v>
      </c>
      <c r="B470" s="11" t="s">
        <v>1674</v>
      </c>
      <c r="C470" s="2" t="s">
        <v>1675</v>
      </c>
      <c r="D470" s="11" t="s">
        <v>1685</v>
      </c>
      <c r="E470" s="4" t="s">
        <v>23</v>
      </c>
      <c r="F470" s="4" t="s">
        <v>1686</v>
      </c>
      <c r="G470" s="4" t="s">
        <v>1662</v>
      </c>
      <c r="H470" s="4" t="s">
        <v>471</v>
      </c>
      <c r="I470" s="5">
        <v>4944.8999999999996</v>
      </c>
      <c r="J470" s="5" t="s">
        <v>415</v>
      </c>
      <c r="K470" s="5">
        <f>I470/10/500*2000</f>
        <v>1977.9599999999998</v>
      </c>
      <c r="L470" s="7" t="s">
        <v>18</v>
      </c>
      <c r="M470" s="11"/>
      <c r="N470" s="11" t="s">
        <v>1679</v>
      </c>
    </row>
    <row r="471" spans="1:14" ht="22.5">
      <c r="A471" s="11" t="s">
        <v>1687</v>
      </c>
      <c r="B471" s="11" t="s">
        <v>1674</v>
      </c>
      <c r="C471" s="11" t="s">
        <v>1675</v>
      </c>
      <c r="D471" s="11" t="s">
        <v>1688</v>
      </c>
      <c r="E471" s="4" t="s">
        <v>23</v>
      </c>
      <c r="F471" s="4" t="s">
        <v>1689</v>
      </c>
      <c r="G471" s="4" t="s">
        <v>1662</v>
      </c>
      <c r="H471" s="4" t="s">
        <v>471</v>
      </c>
      <c r="I471" s="5">
        <v>4944.8999999999996</v>
      </c>
      <c r="J471" s="5" t="s">
        <v>415</v>
      </c>
      <c r="K471" s="5">
        <f>I471/10/500*2000</f>
        <v>1977.9599999999998</v>
      </c>
      <c r="L471" s="7" t="s">
        <v>18</v>
      </c>
      <c r="M471" s="11"/>
      <c r="N471" s="11" t="s">
        <v>1679</v>
      </c>
    </row>
    <row r="472" spans="1:14" ht="33.75">
      <c r="A472" s="11" t="s">
        <v>1690</v>
      </c>
      <c r="B472" s="11" t="s">
        <v>1691</v>
      </c>
      <c r="C472" s="11" t="s">
        <v>1692</v>
      </c>
      <c r="D472" s="60" t="s">
        <v>1693</v>
      </c>
      <c r="E472" s="4" t="s">
        <v>981</v>
      </c>
      <c r="F472" s="4" t="s">
        <v>1694</v>
      </c>
      <c r="G472" s="4" t="s">
        <v>3690</v>
      </c>
      <c r="H472" s="4" t="s">
        <v>423</v>
      </c>
      <c r="I472" s="6">
        <v>2631.5</v>
      </c>
      <c r="J472" s="6" t="s">
        <v>1695</v>
      </c>
      <c r="K472" s="6">
        <f>I472/480/10*1920</f>
        <v>1052.5999999999999</v>
      </c>
      <c r="L472" s="25" t="s">
        <v>18</v>
      </c>
      <c r="M472" s="11"/>
      <c r="N472" s="11"/>
    </row>
    <row r="473" spans="1:14" ht="22.5">
      <c r="A473" s="50" t="s">
        <v>1696</v>
      </c>
      <c r="B473" s="11" t="s">
        <v>1697</v>
      </c>
      <c r="C473" s="11" t="s">
        <v>1698</v>
      </c>
      <c r="D473" s="11" t="s">
        <v>1699</v>
      </c>
      <c r="E473" s="4" t="s">
        <v>23</v>
      </c>
      <c r="F473" s="4" t="s">
        <v>1700</v>
      </c>
      <c r="G473" s="4" t="s">
        <v>15</v>
      </c>
      <c r="H473" s="4" t="s">
        <v>16</v>
      </c>
      <c r="I473" s="6">
        <v>513.5</v>
      </c>
      <c r="J473" s="4" t="s">
        <v>1080</v>
      </c>
      <c r="K473" s="6">
        <f>I473/500*500</f>
        <v>513.5</v>
      </c>
      <c r="L473" s="25" t="s">
        <v>18</v>
      </c>
      <c r="M473" s="11"/>
      <c r="N473" s="11" t="s">
        <v>340</v>
      </c>
    </row>
    <row r="474" spans="1:14" ht="22.5">
      <c r="A474" s="50" t="s">
        <v>1701</v>
      </c>
      <c r="B474" s="11" t="s">
        <v>1702</v>
      </c>
      <c r="C474" s="11" t="s">
        <v>1703</v>
      </c>
      <c r="D474" s="11" t="s">
        <v>3711</v>
      </c>
      <c r="E474" s="4" t="s">
        <v>14</v>
      </c>
      <c r="F474" s="4" t="s">
        <v>3712</v>
      </c>
      <c r="G474" s="4" t="s">
        <v>15</v>
      </c>
      <c r="H474" s="4" t="s">
        <v>16</v>
      </c>
      <c r="I474" s="6">
        <v>1313.7</v>
      </c>
      <c r="J474" s="4" t="s">
        <v>1704</v>
      </c>
      <c r="K474" s="6">
        <f>I474/10/300*1800</f>
        <v>788.22</v>
      </c>
      <c r="L474" s="25" t="s">
        <v>18</v>
      </c>
      <c r="M474" s="11"/>
      <c r="N474" s="11" t="s">
        <v>340</v>
      </c>
    </row>
    <row r="475" spans="1:14" ht="22.5">
      <c r="A475" s="50" t="s">
        <v>1705</v>
      </c>
      <c r="B475" s="11" t="s">
        <v>1702</v>
      </c>
      <c r="C475" s="11" t="s">
        <v>1703</v>
      </c>
      <c r="D475" s="11" t="s">
        <v>1706</v>
      </c>
      <c r="E475" s="4" t="s">
        <v>14</v>
      </c>
      <c r="F475" s="4" t="s">
        <v>1707</v>
      </c>
      <c r="G475" s="4" t="s">
        <v>3805</v>
      </c>
      <c r="H475" s="4" t="s">
        <v>34</v>
      </c>
      <c r="I475" s="6">
        <v>943.7</v>
      </c>
      <c r="J475" s="4" t="s">
        <v>1704</v>
      </c>
      <c r="K475" s="6">
        <f>I475/5/600*1800</f>
        <v>566.22</v>
      </c>
      <c r="L475" s="25" t="s">
        <v>18</v>
      </c>
      <c r="M475" s="11"/>
      <c r="N475" s="11" t="s">
        <v>340</v>
      </c>
    </row>
    <row r="476" spans="1:14" s="52" customFormat="1" ht="22.5">
      <c r="A476" s="50" t="s">
        <v>1708</v>
      </c>
      <c r="B476" s="11" t="s">
        <v>1702</v>
      </c>
      <c r="C476" s="11" t="s">
        <v>1703</v>
      </c>
      <c r="D476" s="11" t="s">
        <v>1709</v>
      </c>
      <c r="E476" s="4" t="s">
        <v>14</v>
      </c>
      <c r="F476" s="4" t="s">
        <v>1710</v>
      </c>
      <c r="G476" s="4" t="s">
        <v>1711</v>
      </c>
      <c r="H476" s="4" t="s">
        <v>54</v>
      </c>
      <c r="I476" s="6">
        <v>188.7</v>
      </c>
      <c r="J476" s="4" t="s">
        <v>1704</v>
      </c>
      <c r="K476" s="6">
        <f>I476/(150*4)*1800</f>
        <v>566.1</v>
      </c>
      <c r="L476" s="25" t="s">
        <v>18</v>
      </c>
      <c r="M476" s="11"/>
      <c r="N476" s="11" t="s">
        <v>340</v>
      </c>
    </row>
    <row r="477" spans="1:14" s="52" customFormat="1" ht="45">
      <c r="A477" s="11">
        <v>7024615</v>
      </c>
      <c r="B477" s="11" t="s">
        <v>1712</v>
      </c>
      <c r="C477" s="11" t="s">
        <v>1713</v>
      </c>
      <c r="D477" s="11" t="s">
        <v>1714</v>
      </c>
      <c r="E477" s="4" t="s">
        <v>1715</v>
      </c>
      <c r="F477" s="4" t="s">
        <v>1716</v>
      </c>
      <c r="G477" s="4" t="s">
        <v>1717</v>
      </c>
      <c r="H477" s="4" t="s">
        <v>3662</v>
      </c>
      <c r="I477" s="6">
        <v>136312.9</v>
      </c>
      <c r="J477" s="4" t="s">
        <v>1718</v>
      </c>
      <c r="K477" s="6">
        <f>I477/56/300*300</f>
        <v>2434.1589285714285</v>
      </c>
      <c r="L477" s="4" t="s">
        <v>18</v>
      </c>
      <c r="M477" s="11" t="s">
        <v>1719</v>
      </c>
      <c r="N477" s="11" t="s">
        <v>1720</v>
      </c>
    </row>
    <row r="478" spans="1:14" s="52" customFormat="1" ht="45">
      <c r="A478" s="50" t="s">
        <v>1721</v>
      </c>
      <c r="B478" s="11" t="s">
        <v>1712</v>
      </c>
      <c r="C478" s="11" t="s">
        <v>1713</v>
      </c>
      <c r="D478" s="11" t="s">
        <v>1722</v>
      </c>
      <c r="E478" s="4" t="s">
        <v>1715</v>
      </c>
      <c r="F478" s="4" t="s">
        <v>1723</v>
      </c>
      <c r="G478" s="4" t="s">
        <v>3747</v>
      </c>
      <c r="H478" s="4" t="s">
        <v>3748</v>
      </c>
      <c r="I478" s="16">
        <v>82995.600000000006</v>
      </c>
      <c r="J478" s="17" t="s">
        <v>17</v>
      </c>
      <c r="K478" s="6">
        <f>I478/56/300*300</f>
        <v>1482.0642857142859</v>
      </c>
      <c r="L478" s="4" t="s">
        <v>18</v>
      </c>
      <c r="M478" s="11" t="s">
        <v>1719</v>
      </c>
      <c r="N478" s="11" t="s">
        <v>1720</v>
      </c>
    </row>
    <row r="479" spans="1:14" ht="22.5">
      <c r="A479" s="50" t="s">
        <v>1724</v>
      </c>
      <c r="B479" s="11" t="s">
        <v>1725</v>
      </c>
      <c r="C479" s="11" t="s">
        <v>1726</v>
      </c>
      <c r="D479" s="11" t="s">
        <v>1727</v>
      </c>
      <c r="E479" s="4" t="s">
        <v>71</v>
      </c>
      <c r="F479" s="4" t="s">
        <v>1728</v>
      </c>
      <c r="G479" s="4" t="s">
        <v>90</v>
      </c>
      <c r="H479" s="4" t="s">
        <v>16</v>
      </c>
      <c r="I479" s="6">
        <v>354.5</v>
      </c>
      <c r="J479" s="4" t="s">
        <v>1167</v>
      </c>
      <c r="K479" s="6">
        <f>I479/10/80*240</f>
        <v>106.35000000000001</v>
      </c>
      <c r="L479" s="25" t="s">
        <v>18</v>
      </c>
      <c r="M479" s="11"/>
      <c r="N479" s="11"/>
    </row>
    <row r="480" spans="1:14" ht="22.5">
      <c r="A480" s="50" t="s">
        <v>1729</v>
      </c>
      <c r="B480" s="11" t="s">
        <v>1725</v>
      </c>
      <c r="C480" s="11" t="s">
        <v>1726</v>
      </c>
      <c r="D480" s="11" t="s">
        <v>1727</v>
      </c>
      <c r="E480" s="4" t="s">
        <v>71</v>
      </c>
      <c r="F480" s="4" t="s">
        <v>1730</v>
      </c>
      <c r="G480" s="4" t="s">
        <v>90</v>
      </c>
      <c r="H480" s="4" t="s">
        <v>16</v>
      </c>
      <c r="I480" s="6">
        <v>590.70000000000005</v>
      </c>
      <c r="J480" s="4" t="s">
        <v>1167</v>
      </c>
      <c r="K480" s="6">
        <f>I480/10/120*240</f>
        <v>118.14000000000001</v>
      </c>
      <c r="L480" s="25" t="s">
        <v>18</v>
      </c>
      <c r="M480" s="11"/>
      <c r="N480" s="11"/>
    </row>
    <row r="481" spans="1:14" ht="22.5">
      <c r="A481" s="50" t="s">
        <v>1731</v>
      </c>
      <c r="B481" s="11" t="s">
        <v>1725</v>
      </c>
      <c r="C481" s="11" t="s">
        <v>1726</v>
      </c>
      <c r="D481" s="54" t="s">
        <v>1732</v>
      </c>
      <c r="E481" s="4" t="s">
        <v>71</v>
      </c>
      <c r="F481" s="4" t="s">
        <v>1728</v>
      </c>
      <c r="G481" s="55" t="s">
        <v>1733</v>
      </c>
      <c r="H481" s="4" t="s">
        <v>16</v>
      </c>
      <c r="I481" s="6">
        <v>354.5</v>
      </c>
      <c r="J481" s="4" t="s">
        <v>1167</v>
      </c>
      <c r="K481" s="6">
        <f>I481/10/80*240</f>
        <v>106.35000000000001</v>
      </c>
      <c r="L481" s="25" t="s">
        <v>18</v>
      </c>
      <c r="M481" s="11"/>
      <c r="N481" s="11"/>
    </row>
    <row r="482" spans="1:14" ht="22.5">
      <c r="A482" s="50" t="s">
        <v>1734</v>
      </c>
      <c r="B482" s="11" t="s">
        <v>1725</v>
      </c>
      <c r="C482" s="11" t="s">
        <v>1726</v>
      </c>
      <c r="D482" s="54" t="s">
        <v>1732</v>
      </c>
      <c r="E482" s="4" t="s">
        <v>71</v>
      </c>
      <c r="F482" s="4" t="s">
        <v>1735</v>
      </c>
      <c r="G482" s="55" t="s">
        <v>1733</v>
      </c>
      <c r="H482" s="4" t="s">
        <v>16</v>
      </c>
      <c r="I482" s="6">
        <v>590.70000000000005</v>
      </c>
      <c r="J482" s="4" t="s">
        <v>1167</v>
      </c>
      <c r="K482" s="6">
        <f>I482/10/120*240</f>
        <v>118.14000000000001</v>
      </c>
      <c r="L482" s="25" t="s">
        <v>18</v>
      </c>
      <c r="M482" s="11"/>
      <c r="N482" s="11"/>
    </row>
    <row r="483" spans="1:14" s="52" customFormat="1" ht="22.5">
      <c r="A483" s="59" t="s">
        <v>1736</v>
      </c>
      <c r="B483" s="59" t="s">
        <v>1725</v>
      </c>
      <c r="C483" s="59" t="s">
        <v>1726</v>
      </c>
      <c r="D483" s="59" t="s">
        <v>1737</v>
      </c>
      <c r="E483" s="97" t="s">
        <v>14</v>
      </c>
      <c r="F483" s="97" t="s">
        <v>1738</v>
      </c>
      <c r="G483" s="97" t="s">
        <v>1739</v>
      </c>
      <c r="H483" s="97" t="s">
        <v>618</v>
      </c>
      <c r="I483" s="6">
        <v>138.4</v>
      </c>
      <c r="J483" s="31" t="s">
        <v>1740</v>
      </c>
      <c r="K483" s="31">
        <f>+I483/10/40*240</f>
        <v>83.039999999999992</v>
      </c>
      <c r="L483" s="7" t="s">
        <v>18</v>
      </c>
      <c r="M483" s="12"/>
      <c r="N483" s="12"/>
    </row>
    <row r="484" spans="1:14" s="52" customFormat="1" ht="22.5">
      <c r="A484" s="53" t="s">
        <v>1741</v>
      </c>
      <c r="B484" s="54" t="s">
        <v>1725</v>
      </c>
      <c r="C484" s="54" t="s">
        <v>1726</v>
      </c>
      <c r="D484" s="54" t="s">
        <v>1742</v>
      </c>
      <c r="E484" s="55" t="s">
        <v>14</v>
      </c>
      <c r="F484" s="56" t="s">
        <v>3551</v>
      </c>
      <c r="G484" s="55" t="s">
        <v>73</v>
      </c>
      <c r="H484" s="55" t="s">
        <v>74</v>
      </c>
      <c r="I484" s="6">
        <v>354.5</v>
      </c>
      <c r="J484" s="8" t="s">
        <v>1167</v>
      </c>
      <c r="K484" s="5">
        <f>I484/10/80*240</f>
        <v>106.35000000000001</v>
      </c>
      <c r="L484" s="21" t="s">
        <v>18</v>
      </c>
      <c r="M484" s="62"/>
      <c r="N484" s="62"/>
    </row>
    <row r="485" spans="1:14" ht="22.5">
      <c r="A485" s="50" t="s">
        <v>1743</v>
      </c>
      <c r="B485" s="11" t="s">
        <v>1744</v>
      </c>
      <c r="C485" s="11" t="s">
        <v>1745</v>
      </c>
      <c r="D485" s="11" t="s">
        <v>1746</v>
      </c>
      <c r="E485" s="4" t="s">
        <v>14</v>
      </c>
      <c r="F485" s="4" t="s">
        <v>1747</v>
      </c>
      <c r="G485" s="4" t="s">
        <v>90</v>
      </c>
      <c r="H485" s="4" t="s">
        <v>16</v>
      </c>
      <c r="I485" s="6">
        <v>623.79999999999995</v>
      </c>
      <c r="J485" s="4" t="s">
        <v>1658</v>
      </c>
      <c r="K485" s="6">
        <f>I485/10/100*1000</f>
        <v>623.79999999999995</v>
      </c>
      <c r="L485" s="25" t="s">
        <v>18</v>
      </c>
      <c r="M485" s="11"/>
      <c r="N485" s="11" t="s">
        <v>340</v>
      </c>
    </row>
    <row r="486" spans="1:14" ht="22.5">
      <c r="A486" s="50" t="s">
        <v>1748</v>
      </c>
      <c r="B486" s="11" t="s">
        <v>1744</v>
      </c>
      <c r="C486" s="11" t="s">
        <v>1745</v>
      </c>
      <c r="D486" s="11" t="s">
        <v>1746</v>
      </c>
      <c r="E486" s="4" t="s">
        <v>14</v>
      </c>
      <c r="F486" s="4" t="s">
        <v>1749</v>
      </c>
      <c r="G486" s="4" t="s">
        <v>90</v>
      </c>
      <c r="H486" s="4" t="s">
        <v>16</v>
      </c>
      <c r="I486" s="6">
        <v>1793.5</v>
      </c>
      <c r="J486" s="4" t="s">
        <v>1658</v>
      </c>
      <c r="K486" s="6">
        <f>I486/10/500*1000</f>
        <v>358.7</v>
      </c>
      <c r="L486" s="25" t="s">
        <v>18</v>
      </c>
      <c r="M486" s="11"/>
      <c r="N486" s="11" t="s">
        <v>340</v>
      </c>
    </row>
    <row r="487" spans="1:14" ht="33.75">
      <c r="A487" s="61" t="s">
        <v>1750</v>
      </c>
      <c r="B487" s="12" t="s">
        <v>1744</v>
      </c>
      <c r="C487" s="10" t="s">
        <v>1745</v>
      </c>
      <c r="D487" s="10" t="s">
        <v>1751</v>
      </c>
      <c r="E487" s="70" t="s">
        <v>14</v>
      </c>
      <c r="F487" s="70" t="s">
        <v>1752</v>
      </c>
      <c r="G487" s="70" t="s">
        <v>1753</v>
      </c>
      <c r="H487" s="70" t="s">
        <v>129</v>
      </c>
      <c r="I487" s="5">
        <v>1793.5</v>
      </c>
      <c r="J487" s="6" t="s">
        <v>1658</v>
      </c>
      <c r="K487" s="5">
        <f>I487/10/500*1000</f>
        <v>358.7</v>
      </c>
      <c r="L487" s="7" t="s">
        <v>18</v>
      </c>
      <c r="M487" s="11"/>
      <c r="N487" s="11" t="s">
        <v>340</v>
      </c>
    </row>
    <row r="488" spans="1:14" ht="22.5">
      <c r="A488" s="61" t="s">
        <v>3657</v>
      </c>
      <c r="B488" s="12" t="s">
        <v>1744</v>
      </c>
      <c r="C488" s="10" t="s">
        <v>1745</v>
      </c>
      <c r="D488" s="10" t="s">
        <v>3649</v>
      </c>
      <c r="E488" s="70" t="s">
        <v>166</v>
      </c>
      <c r="F488" s="70" t="s">
        <v>3650</v>
      </c>
      <c r="G488" s="70" t="s">
        <v>1798</v>
      </c>
      <c r="H488" s="70" t="s">
        <v>138</v>
      </c>
      <c r="I488" s="5">
        <v>1793.5</v>
      </c>
      <c r="J488" s="6" t="s">
        <v>1658</v>
      </c>
      <c r="K488" s="5">
        <f>I488/(10*5*100)*1000</f>
        <v>358.70000000000005</v>
      </c>
      <c r="L488" s="7" t="s">
        <v>18</v>
      </c>
      <c r="M488" s="11"/>
      <c r="N488" s="11" t="s">
        <v>340</v>
      </c>
    </row>
    <row r="489" spans="1:14" ht="22.5">
      <c r="A489" s="50" t="s">
        <v>1754</v>
      </c>
      <c r="B489" s="11" t="s">
        <v>1755</v>
      </c>
      <c r="C489" s="11" t="s">
        <v>1756</v>
      </c>
      <c r="D489" s="11" t="s">
        <v>1757</v>
      </c>
      <c r="E489" s="4" t="s">
        <v>981</v>
      </c>
      <c r="F489" s="4" t="s">
        <v>1758</v>
      </c>
      <c r="G489" s="4" t="s">
        <v>15</v>
      </c>
      <c r="H489" s="4" t="s">
        <v>16</v>
      </c>
      <c r="I489" s="6">
        <v>1079.9000000000001</v>
      </c>
      <c r="J489" s="4" t="s">
        <v>1080</v>
      </c>
      <c r="K489" s="6">
        <f>I489/5/100*500</f>
        <v>1079.9000000000001</v>
      </c>
      <c r="L489" s="25" t="s">
        <v>18</v>
      </c>
      <c r="M489" s="11"/>
      <c r="N489" s="11" t="s">
        <v>340</v>
      </c>
    </row>
    <row r="490" spans="1:14" ht="56.25">
      <c r="A490" s="50" t="s">
        <v>1759</v>
      </c>
      <c r="B490" s="11" t="s">
        <v>1755</v>
      </c>
      <c r="C490" s="11" t="s">
        <v>1756</v>
      </c>
      <c r="D490" s="11" t="s">
        <v>1760</v>
      </c>
      <c r="E490" s="4" t="s">
        <v>981</v>
      </c>
      <c r="F490" s="4" t="s">
        <v>1761</v>
      </c>
      <c r="G490" s="135" t="s">
        <v>1762</v>
      </c>
      <c r="H490" s="4" t="s">
        <v>1763</v>
      </c>
      <c r="I490" s="6">
        <v>1079.9000000000001</v>
      </c>
      <c r="J490" s="4" t="s">
        <v>1080</v>
      </c>
      <c r="K490" s="6">
        <f>I490/5/100*500</f>
        <v>1079.9000000000001</v>
      </c>
      <c r="L490" s="25" t="s">
        <v>18</v>
      </c>
      <c r="M490" s="11"/>
      <c r="N490" s="11" t="s">
        <v>340</v>
      </c>
    </row>
    <row r="491" spans="1:14" ht="22.5">
      <c r="A491" s="71" t="s">
        <v>1764</v>
      </c>
      <c r="B491" s="72" t="s">
        <v>1755</v>
      </c>
      <c r="C491" s="72" t="s">
        <v>1756</v>
      </c>
      <c r="D491" s="11" t="s">
        <v>1765</v>
      </c>
      <c r="E491" s="35" t="s">
        <v>166</v>
      </c>
      <c r="F491" s="35" t="s">
        <v>1766</v>
      </c>
      <c r="G491" s="98" t="s">
        <v>1767</v>
      </c>
      <c r="H491" s="35" t="s">
        <v>1468</v>
      </c>
      <c r="I491" s="6">
        <v>4347.3999999999996</v>
      </c>
      <c r="J491" s="35" t="s">
        <v>1080</v>
      </c>
      <c r="K491" s="36">
        <f>I491/1000/2*500</f>
        <v>1086.8499999999999</v>
      </c>
      <c r="L491" s="25" t="s">
        <v>18</v>
      </c>
      <c r="M491" s="11"/>
      <c r="N491" s="11" t="s">
        <v>340</v>
      </c>
    </row>
    <row r="492" spans="1:14" ht="22.5">
      <c r="A492" s="71" t="s">
        <v>1768</v>
      </c>
      <c r="B492" s="72" t="s">
        <v>1755</v>
      </c>
      <c r="C492" s="72" t="s">
        <v>1756</v>
      </c>
      <c r="D492" s="11" t="s">
        <v>1765</v>
      </c>
      <c r="E492" s="35" t="s">
        <v>166</v>
      </c>
      <c r="F492" s="35" t="s">
        <v>1769</v>
      </c>
      <c r="G492" s="98" t="s">
        <v>1767</v>
      </c>
      <c r="H492" s="35" t="s">
        <v>1468</v>
      </c>
      <c r="I492" s="6">
        <v>8694.7000000000007</v>
      </c>
      <c r="J492" s="35" t="s">
        <v>1080</v>
      </c>
      <c r="K492" s="36">
        <f>I492/2000/2*500</f>
        <v>1086.8375000000001</v>
      </c>
      <c r="L492" s="36" t="s">
        <v>18</v>
      </c>
      <c r="M492" s="11"/>
      <c r="N492" s="11" t="s">
        <v>340</v>
      </c>
    </row>
    <row r="493" spans="1:14" ht="22.5">
      <c r="A493" s="50" t="s">
        <v>1770</v>
      </c>
      <c r="B493" s="11" t="s">
        <v>1771</v>
      </c>
      <c r="C493" s="11" t="s">
        <v>1772</v>
      </c>
      <c r="D493" s="11" t="s">
        <v>1773</v>
      </c>
      <c r="E493" s="4" t="s">
        <v>166</v>
      </c>
      <c r="F493" s="4" t="s">
        <v>1774</v>
      </c>
      <c r="G493" s="4" t="s">
        <v>120</v>
      </c>
      <c r="H493" s="4" t="s">
        <v>16</v>
      </c>
      <c r="I493" s="6">
        <v>10421</v>
      </c>
      <c r="J493" s="4" t="s">
        <v>1080</v>
      </c>
      <c r="K493" s="6">
        <f>I493/10/500*500</f>
        <v>1042.0999999999999</v>
      </c>
      <c r="L493" s="4" t="s">
        <v>18</v>
      </c>
      <c r="M493" s="11"/>
      <c r="N493" s="11" t="s">
        <v>340</v>
      </c>
    </row>
    <row r="494" spans="1:14" ht="22.5">
      <c r="A494" s="50" t="s">
        <v>1775</v>
      </c>
      <c r="B494" s="11" t="s">
        <v>1771</v>
      </c>
      <c r="C494" s="11" t="s">
        <v>1772</v>
      </c>
      <c r="D494" s="11" t="s">
        <v>1776</v>
      </c>
      <c r="E494" s="4" t="s">
        <v>166</v>
      </c>
      <c r="F494" s="4" t="s">
        <v>3713</v>
      </c>
      <c r="G494" s="4" t="s">
        <v>1777</v>
      </c>
      <c r="H494" s="4" t="s">
        <v>1778</v>
      </c>
      <c r="I494" s="6">
        <v>10421</v>
      </c>
      <c r="J494" s="4" t="s">
        <v>1080</v>
      </c>
      <c r="K494" s="6">
        <f>I494/10/500*500</f>
        <v>1042.0999999999999</v>
      </c>
      <c r="L494" s="4" t="s">
        <v>18</v>
      </c>
      <c r="M494" s="11"/>
      <c r="N494" s="11" t="s">
        <v>340</v>
      </c>
    </row>
    <row r="495" spans="1:14" s="52" customFormat="1" ht="45">
      <c r="A495" s="50" t="s">
        <v>1779</v>
      </c>
      <c r="B495" s="11" t="s">
        <v>1771</v>
      </c>
      <c r="C495" s="11" t="s">
        <v>1772</v>
      </c>
      <c r="D495" s="11" t="s">
        <v>1780</v>
      </c>
      <c r="E495" s="4" t="s">
        <v>166</v>
      </c>
      <c r="F495" s="4" t="s">
        <v>1781</v>
      </c>
      <c r="G495" s="4" t="s">
        <v>1782</v>
      </c>
      <c r="H495" s="4" t="s">
        <v>1783</v>
      </c>
      <c r="I495" s="6">
        <v>1042.0999999999999</v>
      </c>
      <c r="J495" s="6" t="s">
        <v>1080</v>
      </c>
      <c r="K495" s="6">
        <f>I495/1/500*500</f>
        <v>1042.0999999999999</v>
      </c>
      <c r="L495" s="4" t="s">
        <v>18</v>
      </c>
      <c r="M495" s="11"/>
      <c r="N495" s="11" t="s">
        <v>340</v>
      </c>
    </row>
    <row r="496" spans="1:14" s="52" customFormat="1" ht="22.5">
      <c r="A496" s="50" t="s">
        <v>1784</v>
      </c>
      <c r="B496" s="11" t="s">
        <v>1771</v>
      </c>
      <c r="C496" s="11" t="s">
        <v>1772</v>
      </c>
      <c r="D496" s="11" t="s">
        <v>3578</v>
      </c>
      <c r="E496" s="4" t="s">
        <v>166</v>
      </c>
      <c r="F496" s="4" t="s">
        <v>1785</v>
      </c>
      <c r="G496" s="4" t="s">
        <v>1786</v>
      </c>
      <c r="H496" s="4" t="s">
        <v>54</v>
      </c>
      <c r="I496" s="6">
        <v>1042.0999999999999</v>
      </c>
      <c r="J496" s="4" t="s">
        <v>1080</v>
      </c>
      <c r="K496" s="6">
        <f>I496/1/500*500</f>
        <v>1042.0999999999999</v>
      </c>
      <c r="L496" s="25" t="s">
        <v>18</v>
      </c>
      <c r="M496" s="11"/>
      <c r="N496" s="11" t="s">
        <v>340</v>
      </c>
    </row>
    <row r="497" spans="1:14" s="52" customFormat="1" ht="33.75">
      <c r="A497" s="61" t="s">
        <v>1788</v>
      </c>
      <c r="B497" s="12" t="s">
        <v>1771</v>
      </c>
      <c r="C497" s="10" t="s">
        <v>1772</v>
      </c>
      <c r="D497" s="10" t="s">
        <v>3714</v>
      </c>
      <c r="E497" s="70" t="s">
        <v>166</v>
      </c>
      <c r="F497" s="70" t="s">
        <v>1789</v>
      </c>
      <c r="G497" s="70" t="s">
        <v>1790</v>
      </c>
      <c r="H497" s="70" t="s">
        <v>471</v>
      </c>
      <c r="I497" s="5">
        <v>26052.5</v>
      </c>
      <c r="J497" s="6" t="s">
        <v>1080</v>
      </c>
      <c r="K497" s="5">
        <f>I497/25/500*500</f>
        <v>1042.0999999999999</v>
      </c>
      <c r="L497" s="7" t="s">
        <v>18</v>
      </c>
      <c r="M497" s="11"/>
      <c r="N497" s="11" t="s">
        <v>340</v>
      </c>
    </row>
    <row r="498" spans="1:14" s="52" customFormat="1" ht="33.75">
      <c r="A498" s="50" t="s">
        <v>1791</v>
      </c>
      <c r="B498" s="11" t="s">
        <v>1771</v>
      </c>
      <c r="C498" s="2" t="s">
        <v>1772</v>
      </c>
      <c r="D498" s="11" t="s">
        <v>1792</v>
      </c>
      <c r="E498" s="4" t="s">
        <v>166</v>
      </c>
      <c r="F498" s="4" t="s">
        <v>1793</v>
      </c>
      <c r="G498" s="4" t="s">
        <v>1794</v>
      </c>
      <c r="H498" s="4" t="s">
        <v>45</v>
      </c>
      <c r="I498" s="6">
        <v>52105</v>
      </c>
      <c r="J498" s="4" t="s">
        <v>1080</v>
      </c>
      <c r="K498" s="5">
        <f>I498/50/500*500</f>
        <v>1042.0999999999999</v>
      </c>
      <c r="L498" s="7" t="s">
        <v>18</v>
      </c>
      <c r="M498" s="11"/>
      <c r="N498" s="11" t="s">
        <v>340</v>
      </c>
    </row>
    <row r="499" spans="1:14" s="52" customFormat="1" ht="22.5">
      <c r="A499" s="50" t="s">
        <v>1795</v>
      </c>
      <c r="B499" s="13" t="s">
        <v>1771</v>
      </c>
      <c r="C499" s="11" t="s">
        <v>1772</v>
      </c>
      <c r="D499" s="11" t="s">
        <v>1796</v>
      </c>
      <c r="E499" s="4" t="s">
        <v>166</v>
      </c>
      <c r="F499" s="4" t="s">
        <v>1797</v>
      </c>
      <c r="G499" s="4" t="s">
        <v>1798</v>
      </c>
      <c r="H499" s="4" t="s">
        <v>138</v>
      </c>
      <c r="I499" s="5">
        <v>10421</v>
      </c>
      <c r="J499" s="6" t="s">
        <v>1080</v>
      </c>
      <c r="K499" s="5">
        <f>+(I499/10 /500)*500</f>
        <v>1042.0999999999999</v>
      </c>
      <c r="L499" s="7" t="s">
        <v>18</v>
      </c>
      <c r="M499" s="11"/>
      <c r="N499" s="11" t="s">
        <v>340</v>
      </c>
    </row>
    <row r="500" spans="1:14" s="52" customFormat="1" ht="22.5">
      <c r="A500" s="99" t="s">
        <v>1799</v>
      </c>
      <c r="B500" s="100" t="s">
        <v>1800</v>
      </c>
      <c r="C500" s="101" t="s">
        <v>1801</v>
      </c>
      <c r="D500" s="99" t="s">
        <v>1802</v>
      </c>
      <c r="E500" s="89" t="s">
        <v>1803</v>
      </c>
      <c r="F500" s="102" t="s">
        <v>1804</v>
      </c>
      <c r="G500" s="103" t="s">
        <v>60</v>
      </c>
      <c r="H500" s="103" t="s">
        <v>16</v>
      </c>
      <c r="I500" s="6">
        <v>759.7</v>
      </c>
      <c r="J500" s="6" t="s">
        <v>1810</v>
      </c>
      <c r="K500" s="5">
        <f>I500/1/400*400</f>
        <v>759.7</v>
      </c>
      <c r="L500" s="7" t="s">
        <v>18</v>
      </c>
      <c r="M500" s="12"/>
      <c r="N500" s="12" t="s">
        <v>148</v>
      </c>
    </row>
    <row r="501" spans="1:14" s="52" customFormat="1" ht="22.5">
      <c r="A501" s="99" t="s">
        <v>1806</v>
      </c>
      <c r="B501" s="100" t="s">
        <v>1800</v>
      </c>
      <c r="C501" s="101" t="s">
        <v>1801</v>
      </c>
      <c r="D501" s="99" t="s">
        <v>1807</v>
      </c>
      <c r="E501" s="89" t="s">
        <v>166</v>
      </c>
      <c r="F501" s="102" t="s">
        <v>1808</v>
      </c>
      <c r="G501" s="103" t="s">
        <v>1809</v>
      </c>
      <c r="H501" s="103" t="s">
        <v>54</v>
      </c>
      <c r="I501" s="6">
        <v>759.7</v>
      </c>
      <c r="J501" s="6" t="s">
        <v>1810</v>
      </c>
      <c r="K501" s="5">
        <f>I501/1/400*400</f>
        <v>759.7</v>
      </c>
      <c r="L501" s="7" t="s">
        <v>18</v>
      </c>
      <c r="M501" s="12"/>
      <c r="N501" s="12" t="s">
        <v>148</v>
      </c>
    </row>
    <row r="502" spans="1:14" s="52" customFormat="1" ht="22.5">
      <c r="A502" s="53" t="s">
        <v>1811</v>
      </c>
      <c r="B502" s="54" t="s">
        <v>1800</v>
      </c>
      <c r="C502" s="54" t="s">
        <v>1801</v>
      </c>
      <c r="D502" s="54" t="s">
        <v>1812</v>
      </c>
      <c r="E502" s="55" t="s">
        <v>166</v>
      </c>
      <c r="F502" s="56" t="s">
        <v>1813</v>
      </c>
      <c r="G502" s="55" t="s">
        <v>1798</v>
      </c>
      <c r="H502" s="55" t="s">
        <v>138</v>
      </c>
      <c r="I502" s="5">
        <v>7597</v>
      </c>
      <c r="J502" s="6" t="s">
        <v>1810</v>
      </c>
      <c r="K502" s="5">
        <f>I502/10/400*400</f>
        <v>759.7</v>
      </c>
      <c r="L502" s="21" t="s">
        <v>18</v>
      </c>
      <c r="M502" s="62"/>
      <c r="N502" s="62" t="s">
        <v>148</v>
      </c>
    </row>
    <row r="503" spans="1:14" s="52" customFormat="1" ht="33.75">
      <c r="A503" s="50" t="s">
        <v>1814</v>
      </c>
      <c r="B503" s="11" t="s">
        <v>1800</v>
      </c>
      <c r="C503" s="13" t="s">
        <v>1801</v>
      </c>
      <c r="D503" s="13" t="s">
        <v>1815</v>
      </c>
      <c r="E503" s="17" t="s">
        <v>166</v>
      </c>
      <c r="F503" s="17" t="s">
        <v>1816</v>
      </c>
      <c r="G503" s="4" t="s">
        <v>1786</v>
      </c>
      <c r="H503" s="4" t="s">
        <v>54</v>
      </c>
      <c r="I503" s="6">
        <v>759.7</v>
      </c>
      <c r="J503" s="5" t="s">
        <v>1810</v>
      </c>
      <c r="K503" s="5">
        <f>I503/1/400*400</f>
        <v>759.7</v>
      </c>
      <c r="L503" s="7" t="s">
        <v>18</v>
      </c>
      <c r="M503" s="12"/>
      <c r="N503" s="12" t="s">
        <v>148</v>
      </c>
    </row>
    <row r="504" spans="1:14" ht="22.5">
      <c r="A504" s="50" t="s">
        <v>1817</v>
      </c>
      <c r="B504" s="11" t="s">
        <v>1818</v>
      </c>
      <c r="C504" s="11" t="s">
        <v>1819</v>
      </c>
      <c r="D504" s="11" t="s">
        <v>1820</v>
      </c>
      <c r="E504" s="4" t="s">
        <v>23</v>
      </c>
      <c r="F504" s="4" t="s">
        <v>1821</v>
      </c>
      <c r="G504" s="4" t="s">
        <v>1529</v>
      </c>
      <c r="H504" s="4" t="s">
        <v>34</v>
      </c>
      <c r="I504" s="6">
        <v>1065</v>
      </c>
      <c r="J504" s="4" t="s">
        <v>415</v>
      </c>
      <c r="K504" s="6">
        <f>I504/5/500*2000</f>
        <v>852</v>
      </c>
      <c r="L504" s="25" t="s">
        <v>18</v>
      </c>
      <c r="M504" s="11"/>
      <c r="N504" s="11" t="s">
        <v>1454</v>
      </c>
    </row>
    <row r="505" spans="1:14" ht="22.5">
      <c r="A505" s="50" t="s">
        <v>1822</v>
      </c>
      <c r="B505" s="11" t="s">
        <v>1818</v>
      </c>
      <c r="C505" s="11" t="s">
        <v>1819</v>
      </c>
      <c r="D505" s="11" t="s">
        <v>1820</v>
      </c>
      <c r="E505" s="4" t="s">
        <v>23</v>
      </c>
      <c r="F505" s="4" t="s">
        <v>1823</v>
      </c>
      <c r="G505" s="4" t="s">
        <v>1529</v>
      </c>
      <c r="H505" s="4" t="s">
        <v>34</v>
      </c>
      <c r="I505" s="6">
        <v>2608.3000000000002</v>
      </c>
      <c r="J505" s="4" t="s">
        <v>415</v>
      </c>
      <c r="K505" s="6">
        <f>I505/5/1000*2000</f>
        <v>1043.3200000000002</v>
      </c>
      <c r="L505" s="25" t="s">
        <v>18</v>
      </c>
      <c r="M505" s="11"/>
      <c r="N505" s="11" t="s">
        <v>1454</v>
      </c>
    </row>
    <row r="506" spans="1:14" ht="22.5">
      <c r="A506" s="50" t="s">
        <v>1824</v>
      </c>
      <c r="B506" s="11" t="s">
        <v>1818</v>
      </c>
      <c r="C506" s="11" t="s">
        <v>1819</v>
      </c>
      <c r="D506" s="11" t="s">
        <v>1825</v>
      </c>
      <c r="E506" s="4" t="s">
        <v>23</v>
      </c>
      <c r="F506" s="4" t="s">
        <v>1826</v>
      </c>
      <c r="G506" s="4" t="s">
        <v>1827</v>
      </c>
      <c r="H506" s="4" t="s">
        <v>54</v>
      </c>
      <c r="I506" s="6">
        <v>213</v>
      </c>
      <c r="J506" s="4" t="s">
        <v>415</v>
      </c>
      <c r="K506" s="6">
        <f>I506/500*2000</f>
        <v>852</v>
      </c>
      <c r="L506" s="25" t="s">
        <v>18</v>
      </c>
      <c r="M506" s="11"/>
      <c r="N506" s="11" t="s">
        <v>1454</v>
      </c>
    </row>
    <row r="507" spans="1:14" s="52" customFormat="1" ht="22.5">
      <c r="A507" s="50" t="s">
        <v>1828</v>
      </c>
      <c r="B507" s="11" t="s">
        <v>1818</v>
      </c>
      <c r="C507" s="11" t="s">
        <v>1819</v>
      </c>
      <c r="D507" s="11" t="s">
        <v>1825</v>
      </c>
      <c r="E507" s="4" t="s">
        <v>1829</v>
      </c>
      <c r="F507" s="4" t="s">
        <v>1830</v>
      </c>
      <c r="G507" s="4" t="s">
        <v>1827</v>
      </c>
      <c r="H507" s="4" t="s">
        <v>54</v>
      </c>
      <c r="I507" s="6">
        <v>521.70000000000005</v>
      </c>
      <c r="J507" s="4" t="s">
        <v>1831</v>
      </c>
      <c r="K507" s="6">
        <f>I507/1/1*2</f>
        <v>1043.4000000000001</v>
      </c>
      <c r="L507" s="25" t="s">
        <v>18</v>
      </c>
      <c r="M507" s="11"/>
      <c r="N507" s="11" t="s">
        <v>1454</v>
      </c>
    </row>
    <row r="508" spans="1:14" s="52" customFormat="1" ht="33.75">
      <c r="A508" s="50" t="s">
        <v>1832</v>
      </c>
      <c r="B508" s="11" t="s">
        <v>1818</v>
      </c>
      <c r="C508" s="11" t="s">
        <v>1819</v>
      </c>
      <c r="D508" s="11" t="s">
        <v>1833</v>
      </c>
      <c r="E508" s="4" t="s">
        <v>1655</v>
      </c>
      <c r="F508" s="4" t="s">
        <v>1639</v>
      </c>
      <c r="G508" s="4" t="s">
        <v>53</v>
      </c>
      <c r="H508" s="4" t="s">
        <v>54</v>
      </c>
      <c r="I508" s="6">
        <v>2130</v>
      </c>
      <c r="J508" s="25" t="s">
        <v>415</v>
      </c>
      <c r="K508" s="6">
        <f>I508/10/500*2000</f>
        <v>852</v>
      </c>
      <c r="L508" s="25" t="s">
        <v>18</v>
      </c>
      <c r="M508" s="11"/>
      <c r="N508" s="11" t="s">
        <v>1454</v>
      </c>
    </row>
    <row r="509" spans="1:14" s="52" customFormat="1" ht="33.75">
      <c r="A509" s="50" t="s">
        <v>1834</v>
      </c>
      <c r="B509" s="11" t="s">
        <v>1818</v>
      </c>
      <c r="C509" s="11" t="s">
        <v>1819</v>
      </c>
      <c r="D509" s="11" t="s">
        <v>1833</v>
      </c>
      <c r="E509" s="4" t="s">
        <v>1655</v>
      </c>
      <c r="F509" s="4" t="s">
        <v>1648</v>
      </c>
      <c r="G509" s="4" t="s">
        <v>53</v>
      </c>
      <c r="H509" s="4" t="s">
        <v>54</v>
      </c>
      <c r="I509" s="6">
        <v>5216.6000000000004</v>
      </c>
      <c r="J509" s="25" t="s">
        <v>415</v>
      </c>
      <c r="K509" s="6">
        <f>I509/10/1000*2000</f>
        <v>1043.3200000000002</v>
      </c>
      <c r="L509" s="25" t="s">
        <v>18</v>
      </c>
      <c r="M509" s="11"/>
      <c r="N509" s="11" t="s">
        <v>1454</v>
      </c>
    </row>
    <row r="510" spans="1:14" ht="45">
      <c r="A510" s="50" t="s">
        <v>1835</v>
      </c>
      <c r="B510" s="11" t="s">
        <v>1836</v>
      </c>
      <c r="C510" s="11" t="s">
        <v>1837</v>
      </c>
      <c r="D510" s="11" t="s">
        <v>1838</v>
      </c>
      <c r="E510" s="4" t="s">
        <v>266</v>
      </c>
      <c r="F510" s="4" t="s">
        <v>1839</v>
      </c>
      <c r="G510" s="41" t="s">
        <v>3806</v>
      </c>
      <c r="H510" s="4" t="s">
        <v>471</v>
      </c>
      <c r="I510" s="6">
        <v>1117.8</v>
      </c>
      <c r="J510" s="4" t="s">
        <v>1810</v>
      </c>
      <c r="K510" s="6">
        <f>I510/1/200*400</f>
        <v>2235.6</v>
      </c>
      <c r="L510" s="25" t="s">
        <v>18</v>
      </c>
      <c r="M510" s="11"/>
      <c r="N510" s="11" t="s">
        <v>1454</v>
      </c>
    </row>
    <row r="511" spans="1:14" ht="45">
      <c r="A511" s="50" t="s">
        <v>1840</v>
      </c>
      <c r="B511" s="11" t="s">
        <v>1836</v>
      </c>
      <c r="C511" s="11" t="s">
        <v>1837</v>
      </c>
      <c r="D511" s="11" t="s">
        <v>1838</v>
      </c>
      <c r="E511" s="4" t="s">
        <v>266</v>
      </c>
      <c r="F511" s="4" t="s">
        <v>1841</v>
      </c>
      <c r="G511" s="41" t="s">
        <v>3806</v>
      </c>
      <c r="H511" s="4" t="s">
        <v>471</v>
      </c>
      <c r="I511" s="6">
        <v>2052.8000000000002</v>
      </c>
      <c r="J511" s="4" t="s">
        <v>1810</v>
      </c>
      <c r="K511" s="6">
        <f>I511/1/400*400</f>
        <v>2052.8000000000002</v>
      </c>
      <c r="L511" s="25" t="s">
        <v>18</v>
      </c>
      <c r="M511" s="11"/>
      <c r="N511" s="11" t="s">
        <v>1454</v>
      </c>
    </row>
    <row r="512" spans="1:14" ht="45">
      <c r="A512" s="50" t="s">
        <v>3807</v>
      </c>
      <c r="B512" s="11" t="s">
        <v>1836</v>
      </c>
      <c r="C512" s="11" t="s">
        <v>1837</v>
      </c>
      <c r="D512" s="11" t="s">
        <v>3808</v>
      </c>
      <c r="E512" s="4" t="s">
        <v>266</v>
      </c>
      <c r="F512" s="4" t="s">
        <v>3809</v>
      </c>
      <c r="G512" s="41" t="s">
        <v>53</v>
      </c>
      <c r="H512" s="4" t="s">
        <v>54</v>
      </c>
      <c r="I512" s="6">
        <v>726.4</v>
      </c>
      <c r="J512" s="4" t="s">
        <v>3810</v>
      </c>
      <c r="K512" s="6">
        <f>I512/1/200*400</f>
        <v>1452.8</v>
      </c>
      <c r="L512" s="25" t="s">
        <v>18</v>
      </c>
      <c r="M512" s="11"/>
      <c r="N512" s="11" t="s">
        <v>1454</v>
      </c>
    </row>
    <row r="513" spans="1:14" ht="45">
      <c r="A513" s="50" t="s">
        <v>3811</v>
      </c>
      <c r="B513" s="11" t="s">
        <v>1836</v>
      </c>
      <c r="C513" s="11" t="s">
        <v>1837</v>
      </c>
      <c r="D513" s="11" t="s">
        <v>3808</v>
      </c>
      <c r="E513" s="4" t="s">
        <v>266</v>
      </c>
      <c r="F513" s="4" t="s">
        <v>3812</v>
      </c>
      <c r="G513" s="41" t="s">
        <v>53</v>
      </c>
      <c r="H513" s="4" t="s">
        <v>54</v>
      </c>
      <c r="I513" s="6">
        <v>1437</v>
      </c>
      <c r="J513" s="4" t="s">
        <v>3810</v>
      </c>
      <c r="K513" s="6">
        <f>I513/1/400*400</f>
        <v>1437</v>
      </c>
      <c r="L513" s="25" t="s">
        <v>18</v>
      </c>
      <c r="M513" s="11"/>
      <c r="N513" s="11" t="s">
        <v>1454</v>
      </c>
    </row>
    <row r="514" spans="1:14" s="52" customFormat="1" ht="33.75">
      <c r="A514" s="104" t="s">
        <v>1842</v>
      </c>
      <c r="B514" s="10" t="s">
        <v>1843</v>
      </c>
      <c r="C514" s="11" t="s">
        <v>1844</v>
      </c>
      <c r="D514" s="11" t="s">
        <v>1845</v>
      </c>
      <c r="E514" s="4" t="s">
        <v>59</v>
      </c>
      <c r="F514" s="105" t="s">
        <v>3715</v>
      </c>
      <c r="G514" s="4" t="s">
        <v>1846</v>
      </c>
      <c r="H514" s="4" t="s">
        <v>511</v>
      </c>
      <c r="I514" s="16">
        <v>7410.9</v>
      </c>
      <c r="J514" s="106" t="s">
        <v>1847</v>
      </c>
      <c r="K514" s="37">
        <f>I514/10/1000000*9000000</f>
        <v>6669.8099999999995</v>
      </c>
      <c r="L514" s="7" t="s">
        <v>18</v>
      </c>
      <c r="M514" s="12"/>
      <c r="N514" s="11" t="s">
        <v>1848</v>
      </c>
    </row>
    <row r="515" spans="1:14" s="52" customFormat="1" ht="33.75">
      <c r="A515" s="50" t="s">
        <v>1849</v>
      </c>
      <c r="B515" s="11" t="s">
        <v>1843</v>
      </c>
      <c r="C515" s="11" t="s">
        <v>1844</v>
      </c>
      <c r="D515" s="11" t="s">
        <v>1845</v>
      </c>
      <c r="E515" s="4" t="s">
        <v>59</v>
      </c>
      <c r="F515" s="105" t="s">
        <v>1850</v>
      </c>
      <c r="G515" s="4" t="s">
        <v>1846</v>
      </c>
      <c r="H515" s="4" t="s">
        <v>511</v>
      </c>
      <c r="I515" s="5">
        <v>13722.3</v>
      </c>
      <c r="J515" s="4" t="s">
        <v>1847</v>
      </c>
      <c r="K515" s="5">
        <f>I515/10/2*9</f>
        <v>6175.0349999999999</v>
      </c>
      <c r="L515" s="21" t="s">
        <v>18</v>
      </c>
      <c r="M515" s="62"/>
      <c r="N515" s="54" t="s">
        <v>1848</v>
      </c>
    </row>
    <row r="516" spans="1:14" s="52" customFormat="1" ht="33.75">
      <c r="A516" s="51" t="s">
        <v>1851</v>
      </c>
      <c r="B516" s="61" t="s">
        <v>1843</v>
      </c>
      <c r="C516" s="13" t="s">
        <v>1844</v>
      </c>
      <c r="D516" s="13" t="s">
        <v>1852</v>
      </c>
      <c r="E516" s="17" t="s">
        <v>59</v>
      </c>
      <c r="F516" s="17" t="s">
        <v>1853</v>
      </c>
      <c r="G516" s="17" t="s">
        <v>1854</v>
      </c>
      <c r="H516" s="17" t="s">
        <v>45</v>
      </c>
      <c r="I516" s="16">
        <v>7410.9</v>
      </c>
      <c r="J516" s="106" t="s">
        <v>1847</v>
      </c>
      <c r="K516" s="37">
        <f>I516/10/1000000*9000000</f>
        <v>6669.8099999999995</v>
      </c>
      <c r="L516" s="7" t="s">
        <v>18</v>
      </c>
      <c r="M516" s="12"/>
      <c r="N516" s="11" t="s">
        <v>1848</v>
      </c>
    </row>
    <row r="517" spans="1:14" s="52" customFormat="1" ht="22.5">
      <c r="A517" s="61" t="s">
        <v>1855</v>
      </c>
      <c r="B517" s="10" t="s">
        <v>1843</v>
      </c>
      <c r="C517" s="11" t="s">
        <v>1844</v>
      </c>
      <c r="D517" s="11" t="s">
        <v>1856</v>
      </c>
      <c r="E517" s="4" t="s">
        <v>59</v>
      </c>
      <c r="F517" s="4" t="s">
        <v>1853</v>
      </c>
      <c r="G517" s="4" t="s">
        <v>1502</v>
      </c>
      <c r="H517" s="4" t="s">
        <v>1468</v>
      </c>
      <c r="I517" s="16">
        <v>7410.9</v>
      </c>
      <c r="J517" s="106" t="s">
        <v>1847</v>
      </c>
      <c r="K517" s="37">
        <f>I517/10/1000000*9000000</f>
        <v>6669.8099999999995</v>
      </c>
      <c r="L517" s="7" t="s">
        <v>18</v>
      </c>
      <c r="M517" s="12"/>
      <c r="N517" s="11" t="s">
        <v>1848</v>
      </c>
    </row>
    <row r="518" spans="1:14" s="52" customFormat="1" ht="22.5">
      <c r="A518" s="61" t="s">
        <v>1857</v>
      </c>
      <c r="B518" s="12" t="s">
        <v>1843</v>
      </c>
      <c r="C518" s="11" t="s">
        <v>1844</v>
      </c>
      <c r="D518" s="11" t="s">
        <v>1858</v>
      </c>
      <c r="E518" s="4" t="s">
        <v>23</v>
      </c>
      <c r="F518" s="4" t="s">
        <v>1859</v>
      </c>
      <c r="G518" s="4" t="s">
        <v>1860</v>
      </c>
      <c r="H518" s="4" t="s">
        <v>54</v>
      </c>
      <c r="I518" s="6">
        <v>741.1</v>
      </c>
      <c r="J518" s="4" t="s">
        <v>1847</v>
      </c>
      <c r="K518" s="37">
        <f>I518/1/1000000*9000000</f>
        <v>6669.9000000000005</v>
      </c>
      <c r="L518" s="7" t="s">
        <v>18</v>
      </c>
      <c r="M518" s="12"/>
      <c r="N518" s="11" t="s">
        <v>1848</v>
      </c>
    </row>
    <row r="519" spans="1:14" s="52" customFormat="1" ht="33.75">
      <c r="A519" s="61" t="s">
        <v>1861</v>
      </c>
      <c r="B519" s="12" t="s">
        <v>1843</v>
      </c>
      <c r="C519" s="11" t="s">
        <v>1844</v>
      </c>
      <c r="D519" s="11" t="s">
        <v>1862</v>
      </c>
      <c r="E519" s="4" t="s">
        <v>59</v>
      </c>
      <c r="F519" s="4" t="s">
        <v>1853</v>
      </c>
      <c r="G519" s="4" t="s">
        <v>1846</v>
      </c>
      <c r="H519" s="4" t="s">
        <v>511</v>
      </c>
      <c r="I519" s="6">
        <v>7410.9</v>
      </c>
      <c r="J519" s="6" t="s">
        <v>1847</v>
      </c>
      <c r="K519" s="37">
        <f>(I519/ 10/ 1000000)*9000000</f>
        <v>6669.8099999999995</v>
      </c>
      <c r="L519" s="7" t="s">
        <v>18</v>
      </c>
      <c r="M519" s="12"/>
      <c r="N519" s="11" t="s">
        <v>1848</v>
      </c>
    </row>
    <row r="520" spans="1:14" ht="101.25">
      <c r="A520" s="62">
        <v>7029769</v>
      </c>
      <c r="B520" s="62" t="s">
        <v>1843</v>
      </c>
      <c r="C520" s="54" t="s">
        <v>1844</v>
      </c>
      <c r="D520" s="54" t="s">
        <v>1863</v>
      </c>
      <c r="E520" s="55" t="s">
        <v>1864</v>
      </c>
      <c r="F520" s="55" t="s">
        <v>1865</v>
      </c>
      <c r="G520" s="4" t="s">
        <v>3716</v>
      </c>
      <c r="H520" s="4" t="s">
        <v>3717</v>
      </c>
      <c r="I520" s="6">
        <v>99691</v>
      </c>
      <c r="J520" s="7" t="s">
        <v>1866</v>
      </c>
      <c r="K520" s="37">
        <f>I520/56/1662500*3000000</f>
        <v>3212.3845327604731</v>
      </c>
      <c r="L520" s="25" t="s">
        <v>18</v>
      </c>
      <c r="M520" s="11" t="s">
        <v>1867</v>
      </c>
      <c r="N520" s="11" t="s">
        <v>1720</v>
      </c>
    </row>
    <row r="521" spans="1:14" ht="45">
      <c r="A521" s="50" t="s">
        <v>1868</v>
      </c>
      <c r="B521" s="11" t="s">
        <v>1843</v>
      </c>
      <c r="C521" s="11" t="s">
        <v>1844</v>
      </c>
      <c r="D521" s="14" t="s">
        <v>1845</v>
      </c>
      <c r="E521" s="4" t="s">
        <v>1869</v>
      </c>
      <c r="F521" s="4" t="s">
        <v>1870</v>
      </c>
      <c r="G521" s="6" t="s">
        <v>1871</v>
      </c>
      <c r="H521" s="6" t="s">
        <v>511</v>
      </c>
      <c r="I521" s="6">
        <v>6861.1</v>
      </c>
      <c r="J521" s="6" t="s">
        <v>1872</v>
      </c>
      <c r="K521" s="37">
        <f>I521/10/1000000*3000000</f>
        <v>2058.33</v>
      </c>
      <c r="L521" s="7" t="s">
        <v>18</v>
      </c>
      <c r="M521" s="11" t="s">
        <v>1867</v>
      </c>
      <c r="N521" s="11" t="s">
        <v>1720</v>
      </c>
    </row>
    <row r="522" spans="1:14" ht="45">
      <c r="A522" s="50" t="s">
        <v>1873</v>
      </c>
      <c r="B522" s="11" t="s">
        <v>1843</v>
      </c>
      <c r="C522" s="11" t="s">
        <v>1844</v>
      </c>
      <c r="D522" s="14" t="s">
        <v>1845</v>
      </c>
      <c r="E522" s="4" t="s">
        <v>1869</v>
      </c>
      <c r="F522" s="4" t="s">
        <v>1874</v>
      </c>
      <c r="G522" s="6" t="s">
        <v>1871</v>
      </c>
      <c r="H522" s="6" t="s">
        <v>511</v>
      </c>
      <c r="I522" s="6">
        <v>13722.3</v>
      </c>
      <c r="J522" s="6" t="s">
        <v>1872</v>
      </c>
      <c r="K522" s="37">
        <f>I522/10/2000000*3000000</f>
        <v>2058.3450000000003</v>
      </c>
      <c r="L522" s="7" t="s">
        <v>18</v>
      </c>
      <c r="M522" s="11" t="s">
        <v>1867</v>
      </c>
      <c r="N522" s="11" t="s">
        <v>1720</v>
      </c>
    </row>
    <row r="523" spans="1:14" ht="22.5">
      <c r="A523" s="50" t="s">
        <v>1875</v>
      </c>
      <c r="B523" s="11" t="s">
        <v>1876</v>
      </c>
      <c r="C523" s="11" t="s">
        <v>1877</v>
      </c>
      <c r="D523" s="11" t="s">
        <v>1878</v>
      </c>
      <c r="E523" s="4" t="s">
        <v>166</v>
      </c>
      <c r="F523" s="4" t="s">
        <v>1879</v>
      </c>
      <c r="G523" s="4" t="s">
        <v>90</v>
      </c>
      <c r="H523" s="4" t="s">
        <v>16</v>
      </c>
      <c r="I523" s="6">
        <v>203.1</v>
      </c>
      <c r="J523" s="4" t="s">
        <v>192</v>
      </c>
      <c r="K523" s="6">
        <f>I523/500*1500</f>
        <v>609.29999999999995</v>
      </c>
      <c r="L523" s="25" t="s">
        <v>18</v>
      </c>
      <c r="M523" s="11"/>
      <c r="N523" s="11" t="s">
        <v>340</v>
      </c>
    </row>
    <row r="524" spans="1:14" ht="33.75">
      <c r="A524" s="50" t="s">
        <v>1880</v>
      </c>
      <c r="B524" s="11" t="s">
        <v>1876</v>
      </c>
      <c r="C524" s="11" t="s">
        <v>1877</v>
      </c>
      <c r="D524" s="11" t="s">
        <v>1881</v>
      </c>
      <c r="E524" s="4" t="s">
        <v>1882</v>
      </c>
      <c r="F524" s="4" t="s">
        <v>1883</v>
      </c>
      <c r="G524" s="4" t="s">
        <v>1884</v>
      </c>
      <c r="H524" s="4" t="s">
        <v>734</v>
      </c>
      <c r="I524" s="6">
        <v>2447.4</v>
      </c>
      <c r="J524" s="4" t="s">
        <v>192</v>
      </c>
      <c r="K524" s="6">
        <f>I524/20/500*1500</f>
        <v>367.11</v>
      </c>
      <c r="L524" s="25" t="s">
        <v>18</v>
      </c>
      <c r="M524" s="11"/>
      <c r="N524" s="11" t="s">
        <v>340</v>
      </c>
    </row>
    <row r="525" spans="1:14" s="52" customFormat="1" ht="22.5">
      <c r="A525" s="50" t="s">
        <v>1885</v>
      </c>
      <c r="B525" s="11" t="s">
        <v>1876</v>
      </c>
      <c r="C525" s="11" t="s">
        <v>1877</v>
      </c>
      <c r="D525" s="11" t="s">
        <v>1886</v>
      </c>
      <c r="E525" s="4" t="s">
        <v>166</v>
      </c>
      <c r="F525" s="4" t="s">
        <v>1887</v>
      </c>
      <c r="G525" s="4" t="s">
        <v>3679</v>
      </c>
      <c r="H525" s="4" t="s">
        <v>471</v>
      </c>
      <c r="I525" s="6">
        <v>1573.7</v>
      </c>
      <c r="J525" s="4" t="s">
        <v>192</v>
      </c>
      <c r="K525" s="38">
        <f>I525/10/500*1500</f>
        <v>472.11</v>
      </c>
      <c r="L525" s="25" t="s">
        <v>18</v>
      </c>
      <c r="M525" s="11"/>
      <c r="N525" s="11" t="s">
        <v>340</v>
      </c>
    </row>
    <row r="526" spans="1:14" s="52" customFormat="1" ht="33.75">
      <c r="A526" s="51" t="s">
        <v>1888</v>
      </c>
      <c r="B526" s="107" t="s">
        <v>1876</v>
      </c>
      <c r="C526" s="107" t="s">
        <v>1877</v>
      </c>
      <c r="D526" s="107" t="s">
        <v>1889</v>
      </c>
      <c r="E526" s="108" t="s">
        <v>166</v>
      </c>
      <c r="F526" s="108" t="s">
        <v>3741</v>
      </c>
      <c r="G526" s="108" t="s">
        <v>53</v>
      </c>
      <c r="H526" s="108" t="s">
        <v>54</v>
      </c>
      <c r="I526" s="8">
        <v>2447.4</v>
      </c>
      <c r="J526" s="4" t="s">
        <v>192</v>
      </c>
      <c r="K526" s="38">
        <f>I526/20/500*1500</f>
        <v>367.11</v>
      </c>
      <c r="L526" s="38" t="s">
        <v>18</v>
      </c>
      <c r="M526" s="11"/>
      <c r="N526" s="11" t="s">
        <v>340</v>
      </c>
    </row>
    <row r="527" spans="1:14" s="52" customFormat="1" ht="22.5">
      <c r="A527" s="50" t="s">
        <v>1891</v>
      </c>
      <c r="B527" s="11" t="s">
        <v>1876</v>
      </c>
      <c r="C527" s="11" t="s">
        <v>1877</v>
      </c>
      <c r="D527" s="11" t="s">
        <v>1892</v>
      </c>
      <c r="E527" s="4" t="s">
        <v>166</v>
      </c>
      <c r="F527" s="108" t="s">
        <v>1890</v>
      </c>
      <c r="G527" s="4" t="s">
        <v>1893</v>
      </c>
      <c r="H527" s="4" t="s">
        <v>138</v>
      </c>
      <c r="I527" s="16">
        <v>1573.7</v>
      </c>
      <c r="J527" s="6" t="s">
        <v>1894</v>
      </c>
      <c r="K527" s="38">
        <f>I527/10/500*1500</f>
        <v>472.11</v>
      </c>
      <c r="L527" s="38" t="s">
        <v>18</v>
      </c>
      <c r="M527" s="11"/>
      <c r="N527" s="11" t="s">
        <v>340</v>
      </c>
    </row>
    <row r="528" spans="1:14" s="52" customFormat="1" ht="33.75">
      <c r="A528" s="11" t="s">
        <v>1895</v>
      </c>
      <c r="B528" s="11" t="s">
        <v>1876</v>
      </c>
      <c r="C528" s="11" t="s">
        <v>1877</v>
      </c>
      <c r="D528" s="11" t="s">
        <v>1896</v>
      </c>
      <c r="E528" s="4" t="s">
        <v>166</v>
      </c>
      <c r="F528" s="4" t="s">
        <v>1897</v>
      </c>
      <c r="G528" s="4" t="s">
        <v>777</v>
      </c>
      <c r="H528" s="4" t="s">
        <v>54</v>
      </c>
      <c r="I528" s="16">
        <v>1223.7</v>
      </c>
      <c r="J528" s="6" t="s">
        <v>1894</v>
      </c>
      <c r="K528" s="38">
        <f>I528/10/500*1500</f>
        <v>367.11</v>
      </c>
      <c r="L528" s="38" t="s">
        <v>18</v>
      </c>
      <c r="M528" s="11"/>
      <c r="N528" s="11" t="s">
        <v>340</v>
      </c>
    </row>
    <row r="529" spans="1:14" ht="22.5">
      <c r="A529" s="11" t="s">
        <v>1898</v>
      </c>
      <c r="B529" s="11" t="s">
        <v>1899</v>
      </c>
      <c r="C529" s="11" t="s">
        <v>1900</v>
      </c>
      <c r="D529" s="11" t="s">
        <v>1901</v>
      </c>
      <c r="E529" s="4" t="s">
        <v>240</v>
      </c>
      <c r="F529" s="4" t="s">
        <v>1902</v>
      </c>
      <c r="G529" s="4" t="s">
        <v>15</v>
      </c>
      <c r="H529" s="4" t="s">
        <v>16</v>
      </c>
      <c r="I529" s="6">
        <v>18581.2</v>
      </c>
      <c r="J529" s="4" t="s">
        <v>1903</v>
      </c>
      <c r="K529" s="6">
        <f>I529/10/600*1200</f>
        <v>3716.24</v>
      </c>
      <c r="L529" s="25" t="s">
        <v>18</v>
      </c>
      <c r="M529" s="11"/>
      <c r="N529" s="11" t="s">
        <v>1679</v>
      </c>
    </row>
    <row r="530" spans="1:14" ht="22.5">
      <c r="A530" s="50" t="s">
        <v>1904</v>
      </c>
      <c r="B530" s="11" t="s">
        <v>1899</v>
      </c>
      <c r="C530" s="11" t="s">
        <v>1900</v>
      </c>
      <c r="D530" s="11" t="s">
        <v>1901</v>
      </c>
      <c r="E530" s="4" t="s">
        <v>166</v>
      </c>
      <c r="F530" s="4" t="s">
        <v>1905</v>
      </c>
      <c r="G530" s="4" t="s">
        <v>15</v>
      </c>
      <c r="H530" s="4" t="s">
        <v>16</v>
      </c>
      <c r="I530" s="6">
        <v>929.7</v>
      </c>
      <c r="J530" s="4" t="s">
        <v>1903</v>
      </c>
      <c r="K530" s="6">
        <f>I530/1/200*1200</f>
        <v>5578.2000000000007</v>
      </c>
      <c r="L530" s="25" t="s">
        <v>18</v>
      </c>
      <c r="M530" s="11"/>
      <c r="N530" s="11" t="s">
        <v>1679</v>
      </c>
    </row>
    <row r="531" spans="1:14" ht="22.5">
      <c r="A531" s="50" t="s">
        <v>1906</v>
      </c>
      <c r="B531" s="11" t="s">
        <v>1899</v>
      </c>
      <c r="C531" s="11" t="s">
        <v>1900</v>
      </c>
      <c r="D531" s="11" t="s">
        <v>1901</v>
      </c>
      <c r="E531" s="4" t="s">
        <v>166</v>
      </c>
      <c r="F531" s="4" t="s">
        <v>3553</v>
      </c>
      <c r="G531" s="4" t="s">
        <v>15</v>
      </c>
      <c r="H531" s="4" t="s">
        <v>16</v>
      </c>
      <c r="I531" s="6">
        <v>2510.1</v>
      </c>
      <c r="J531" s="4" t="s">
        <v>1903</v>
      </c>
      <c r="K531" s="6">
        <f>I531/1/600*1200</f>
        <v>5020.2</v>
      </c>
      <c r="L531" s="25" t="s">
        <v>18</v>
      </c>
      <c r="M531" s="11"/>
      <c r="N531" s="11" t="s">
        <v>1679</v>
      </c>
    </row>
    <row r="532" spans="1:14" ht="33.75">
      <c r="A532" s="50" t="s">
        <v>1907</v>
      </c>
      <c r="B532" s="11" t="s">
        <v>1899</v>
      </c>
      <c r="C532" s="11" t="s">
        <v>1900</v>
      </c>
      <c r="D532" s="11" t="s">
        <v>1908</v>
      </c>
      <c r="E532" s="4" t="s">
        <v>240</v>
      </c>
      <c r="F532" s="4" t="s">
        <v>1909</v>
      </c>
      <c r="G532" s="4" t="s">
        <v>1910</v>
      </c>
      <c r="H532" s="4" t="s">
        <v>34</v>
      </c>
      <c r="I532" s="6">
        <v>10064.700000000001</v>
      </c>
      <c r="J532" s="4" t="s">
        <v>1903</v>
      </c>
      <c r="K532" s="6">
        <f>I532/10/600*1200</f>
        <v>2012.94</v>
      </c>
      <c r="L532" s="25" t="s">
        <v>18</v>
      </c>
      <c r="M532" s="11"/>
      <c r="N532" s="11" t="s">
        <v>1679</v>
      </c>
    </row>
    <row r="533" spans="1:14" ht="22.5">
      <c r="A533" s="50" t="s">
        <v>1911</v>
      </c>
      <c r="B533" s="11" t="s">
        <v>1899</v>
      </c>
      <c r="C533" s="11" t="s">
        <v>1900</v>
      </c>
      <c r="D533" s="11" t="s">
        <v>1908</v>
      </c>
      <c r="E533" s="4" t="s">
        <v>166</v>
      </c>
      <c r="F533" s="4" t="s">
        <v>3552</v>
      </c>
      <c r="G533" s="4" t="s">
        <v>983</v>
      </c>
      <c r="H533" s="4" t="s">
        <v>984</v>
      </c>
      <c r="I533" s="6">
        <v>10861.5</v>
      </c>
      <c r="J533" s="4" t="s">
        <v>1903</v>
      </c>
      <c r="K533" s="6">
        <f>I533/10/600*1200</f>
        <v>2172.3000000000002</v>
      </c>
      <c r="L533" s="25" t="s">
        <v>18</v>
      </c>
      <c r="M533" s="11"/>
      <c r="N533" s="11" t="s">
        <v>1679</v>
      </c>
    </row>
    <row r="534" spans="1:14" ht="33.75">
      <c r="A534" s="50" t="s">
        <v>3596</v>
      </c>
      <c r="B534" s="11" t="s">
        <v>1899</v>
      </c>
      <c r="C534" s="11" t="s">
        <v>1900</v>
      </c>
      <c r="D534" s="11" t="s">
        <v>3597</v>
      </c>
      <c r="E534" s="4" t="s">
        <v>166</v>
      </c>
      <c r="F534" s="4" t="s">
        <v>3598</v>
      </c>
      <c r="G534" s="4" t="s">
        <v>53</v>
      </c>
      <c r="H534" s="4" t="s">
        <v>54</v>
      </c>
      <c r="I534" s="6">
        <v>10861.5</v>
      </c>
      <c r="J534" s="4" t="s">
        <v>3599</v>
      </c>
      <c r="K534" s="6">
        <f>+I534/(300*2*10)*1200</f>
        <v>2172.2999999999997</v>
      </c>
      <c r="L534" s="25" t="s">
        <v>18</v>
      </c>
      <c r="M534" s="11"/>
      <c r="N534" s="11" t="s">
        <v>1679</v>
      </c>
    </row>
    <row r="535" spans="1:14" ht="22.5">
      <c r="A535" s="50" t="s">
        <v>3813</v>
      </c>
      <c r="B535" s="11" t="s">
        <v>1899</v>
      </c>
      <c r="C535" s="11" t="s">
        <v>1900</v>
      </c>
      <c r="D535" s="11" t="s">
        <v>3814</v>
      </c>
      <c r="E535" s="4" t="s">
        <v>166</v>
      </c>
      <c r="F535" s="4" t="s">
        <v>3815</v>
      </c>
      <c r="G535" s="4" t="s">
        <v>64</v>
      </c>
      <c r="H535" s="4" t="s">
        <v>54</v>
      </c>
      <c r="I535" s="6">
        <v>10861.5</v>
      </c>
      <c r="J535" s="4" t="s">
        <v>1903</v>
      </c>
      <c r="K535" s="6">
        <f t="shared" ref="K535:K536" si="2">+I535/(300*2*10)*1200</f>
        <v>2172.2999999999997</v>
      </c>
      <c r="L535" s="25" t="s">
        <v>18</v>
      </c>
      <c r="M535" s="11"/>
      <c r="N535" s="11" t="s">
        <v>1679</v>
      </c>
    </row>
    <row r="536" spans="1:14" ht="22.5">
      <c r="A536" s="50" t="s">
        <v>3816</v>
      </c>
      <c r="B536" s="11" t="s">
        <v>1899</v>
      </c>
      <c r="C536" s="11" t="s">
        <v>1900</v>
      </c>
      <c r="D536" s="11" t="s">
        <v>3817</v>
      </c>
      <c r="E536" s="4" t="s">
        <v>166</v>
      </c>
      <c r="F536" s="4" t="s">
        <v>3815</v>
      </c>
      <c r="G536" s="4" t="s">
        <v>3818</v>
      </c>
      <c r="H536" s="4" t="s">
        <v>1468</v>
      </c>
      <c r="I536" s="6">
        <v>10861.5</v>
      </c>
      <c r="J536" s="4" t="s">
        <v>1903</v>
      </c>
      <c r="K536" s="6">
        <f t="shared" si="2"/>
        <v>2172.2999999999997</v>
      </c>
      <c r="L536" s="25" t="s">
        <v>18</v>
      </c>
      <c r="M536" s="11"/>
      <c r="N536" s="11" t="s">
        <v>1679</v>
      </c>
    </row>
    <row r="537" spans="1:14" ht="45">
      <c r="A537" s="50" t="s">
        <v>1912</v>
      </c>
      <c r="B537" s="11" t="s">
        <v>1913</v>
      </c>
      <c r="C537" s="11" t="s">
        <v>1914</v>
      </c>
      <c r="D537" s="11" t="s">
        <v>1915</v>
      </c>
      <c r="E537" s="4" t="s">
        <v>1916</v>
      </c>
      <c r="F537" s="4" t="s">
        <v>1917</v>
      </c>
      <c r="G537" s="4" t="s">
        <v>1918</v>
      </c>
      <c r="H537" s="4" t="s">
        <v>1919</v>
      </c>
      <c r="I537" s="6">
        <v>115738.3</v>
      </c>
      <c r="J537" s="4" t="s">
        <v>1920</v>
      </c>
      <c r="K537" s="6">
        <f>I537/10/50*35</f>
        <v>8101.6809999999996</v>
      </c>
      <c r="L537" s="25" t="s">
        <v>18</v>
      </c>
      <c r="M537" s="11"/>
      <c r="N537" s="11" t="s">
        <v>1921</v>
      </c>
    </row>
    <row r="538" spans="1:14" ht="22.5">
      <c r="A538" s="50" t="s">
        <v>1922</v>
      </c>
      <c r="B538" s="11" t="s">
        <v>1923</v>
      </c>
      <c r="C538" s="11" t="s">
        <v>1924</v>
      </c>
      <c r="D538" s="11" t="s">
        <v>1925</v>
      </c>
      <c r="E538" s="4" t="s">
        <v>166</v>
      </c>
      <c r="F538" s="4" t="s">
        <v>1926</v>
      </c>
      <c r="G538" s="4" t="s">
        <v>1927</v>
      </c>
      <c r="H538" s="4" t="s">
        <v>175</v>
      </c>
      <c r="I538" s="6">
        <v>492.8</v>
      </c>
      <c r="J538" s="4" t="s">
        <v>226</v>
      </c>
      <c r="K538" s="6">
        <f>I538/1/200*200</f>
        <v>492.8</v>
      </c>
      <c r="L538" s="25" t="s">
        <v>18</v>
      </c>
      <c r="M538" s="11"/>
      <c r="N538" s="11" t="s">
        <v>340</v>
      </c>
    </row>
    <row r="539" spans="1:14" ht="22.5">
      <c r="A539" s="11" t="s">
        <v>1928</v>
      </c>
      <c r="B539" s="11" t="s">
        <v>1923</v>
      </c>
      <c r="C539" s="11" t="s">
        <v>1924</v>
      </c>
      <c r="D539" s="11" t="s">
        <v>1929</v>
      </c>
      <c r="E539" s="4" t="s">
        <v>166</v>
      </c>
      <c r="F539" s="4" t="s">
        <v>1926</v>
      </c>
      <c r="G539" s="4" t="s">
        <v>15</v>
      </c>
      <c r="H539" s="4" t="s">
        <v>16</v>
      </c>
      <c r="I539" s="16">
        <v>492.8</v>
      </c>
      <c r="J539" s="4" t="s">
        <v>226</v>
      </c>
      <c r="K539" s="6">
        <f>I539/200*200</f>
        <v>492.8</v>
      </c>
      <c r="L539" s="25" t="s">
        <v>18</v>
      </c>
      <c r="M539" s="11"/>
      <c r="N539" s="11" t="s">
        <v>340</v>
      </c>
    </row>
    <row r="540" spans="1:14" ht="33.75">
      <c r="A540" s="9" t="s">
        <v>1930</v>
      </c>
      <c r="B540" s="11" t="s">
        <v>1923</v>
      </c>
      <c r="C540" s="1" t="s">
        <v>1924</v>
      </c>
      <c r="D540" s="11" t="s">
        <v>1931</v>
      </c>
      <c r="E540" s="4" t="s">
        <v>166</v>
      </c>
      <c r="F540" s="89" t="s">
        <v>1932</v>
      </c>
      <c r="G540" s="4" t="s">
        <v>689</v>
      </c>
      <c r="H540" s="4" t="s">
        <v>45</v>
      </c>
      <c r="I540" s="6">
        <v>4927.7</v>
      </c>
      <c r="J540" s="6" t="s">
        <v>226</v>
      </c>
      <c r="K540" s="6">
        <f>I540/200/10*200</f>
        <v>492.77</v>
      </c>
      <c r="L540" s="25" t="s">
        <v>18</v>
      </c>
      <c r="M540" s="11"/>
      <c r="N540" s="11" t="s">
        <v>340</v>
      </c>
    </row>
    <row r="541" spans="1:14" ht="33.75">
      <c r="A541" s="9" t="s">
        <v>1933</v>
      </c>
      <c r="B541" s="11" t="s">
        <v>1923</v>
      </c>
      <c r="C541" s="1" t="s">
        <v>1924</v>
      </c>
      <c r="D541" s="11" t="s">
        <v>1931</v>
      </c>
      <c r="E541" s="4" t="s">
        <v>166</v>
      </c>
      <c r="F541" s="89" t="s">
        <v>1934</v>
      </c>
      <c r="G541" s="4" t="s">
        <v>689</v>
      </c>
      <c r="H541" s="4" t="s">
        <v>45</v>
      </c>
      <c r="I541" s="6">
        <v>11559</v>
      </c>
      <c r="J541" s="6" t="s">
        <v>226</v>
      </c>
      <c r="K541" s="6">
        <f>I541/400/10*200</f>
        <v>577.95000000000005</v>
      </c>
      <c r="L541" s="25" t="s">
        <v>18</v>
      </c>
      <c r="M541" s="11"/>
      <c r="N541" s="11" t="s">
        <v>340</v>
      </c>
    </row>
    <row r="542" spans="1:14" ht="33.75">
      <c r="A542" s="53" t="s">
        <v>1935</v>
      </c>
      <c r="B542" s="54" t="s">
        <v>1923</v>
      </c>
      <c r="C542" s="54" t="s">
        <v>1924</v>
      </c>
      <c r="D542" s="54" t="s">
        <v>1936</v>
      </c>
      <c r="E542" s="55" t="s">
        <v>166</v>
      </c>
      <c r="F542" s="4" t="s">
        <v>1937</v>
      </c>
      <c r="G542" s="4" t="s">
        <v>1938</v>
      </c>
      <c r="H542" s="55" t="s">
        <v>16</v>
      </c>
      <c r="I542" s="16">
        <v>492.8</v>
      </c>
      <c r="J542" s="4" t="s">
        <v>1939</v>
      </c>
      <c r="K542" s="6">
        <f>(I542/200)*200</f>
        <v>492.8</v>
      </c>
      <c r="L542" s="55" t="s">
        <v>18</v>
      </c>
      <c r="M542" s="54"/>
      <c r="N542" s="54" t="s">
        <v>340</v>
      </c>
    </row>
    <row r="543" spans="1:14" ht="22.5">
      <c r="A543" s="61" t="s">
        <v>1940</v>
      </c>
      <c r="B543" s="12" t="s">
        <v>1923</v>
      </c>
      <c r="C543" s="13" t="s">
        <v>1924</v>
      </c>
      <c r="D543" s="13" t="s">
        <v>1941</v>
      </c>
      <c r="E543" s="17" t="s">
        <v>166</v>
      </c>
      <c r="F543" s="17" t="s">
        <v>1942</v>
      </c>
      <c r="G543" s="17" t="s">
        <v>1786</v>
      </c>
      <c r="H543" s="17" t="s">
        <v>54</v>
      </c>
      <c r="I543" s="16">
        <v>492.8</v>
      </c>
      <c r="J543" s="17" t="s">
        <v>1939</v>
      </c>
      <c r="K543" s="6">
        <f>(I543/200)*200</f>
        <v>492.8</v>
      </c>
      <c r="L543" s="4" t="s">
        <v>18</v>
      </c>
      <c r="M543" s="11"/>
      <c r="N543" s="11" t="s">
        <v>340</v>
      </c>
    </row>
    <row r="544" spans="1:14" s="52" customFormat="1" ht="22.5">
      <c r="A544" s="99" t="s">
        <v>1943</v>
      </c>
      <c r="B544" s="100" t="s">
        <v>1944</v>
      </c>
      <c r="C544" s="101" t="s">
        <v>1945</v>
      </c>
      <c r="D544" s="99" t="s">
        <v>1946</v>
      </c>
      <c r="E544" s="89" t="s">
        <v>1947</v>
      </c>
      <c r="F544" s="105" t="s">
        <v>3534</v>
      </c>
      <c r="G544" s="103" t="s">
        <v>97</v>
      </c>
      <c r="H544" s="103" t="s">
        <v>16</v>
      </c>
      <c r="I544" s="5">
        <v>695.1</v>
      </c>
      <c r="J544" s="5" t="s">
        <v>226</v>
      </c>
      <c r="K544" s="5">
        <f>I544/10/100*200</f>
        <v>139.02000000000001</v>
      </c>
      <c r="L544" s="7" t="s">
        <v>18</v>
      </c>
      <c r="M544" s="12"/>
      <c r="N544" s="12" t="s">
        <v>148</v>
      </c>
    </row>
    <row r="545" spans="1:14" s="52" customFormat="1" ht="135">
      <c r="A545" s="50" t="s">
        <v>1952</v>
      </c>
      <c r="B545" s="11" t="s">
        <v>1948</v>
      </c>
      <c r="C545" s="11" t="s">
        <v>1949</v>
      </c>
      <c r="D545" s="11" t="s">
        <v>1953</v>
      </c>
      <c r="E545" s="4" t="s">
        <v>1829</v>
      </c>
      <c r="F545" s="4" t="s">
        <v>1950</v>
      </c>
      <c r="G545" s="4" t="s">
        <v>1787</v>
      </c>
      <c r="H545" s="4" t="s">
        <v>16</v>
      </c>
      <c r="I545" s="6">
        <v>5845.6</v>
      </c>
      <c r="J545" s="4" t="s">
        <v>1805</v>
      </c>
      <c r="K545" s="6">
        <f>I545/1/200*400</f>
        <v>11691.2</v>
      </c>
      <c r="L545" s="25" t="s">
        <v>18</v>
      </c>
      <c r="M545" s="11"/>
      <c r="N545" s="54" t="s">
        <v>1951</v>
      </c>
    </row>
    <row r="546" spans="1:14" s="52" customFormat="1" ht="135">
      <c r="A546" s="50" t="s">
        <v>1954</v>
      </c>
      <c r="B546" s="11" t="s">
        <v>1948</v>
      </c>
      <c r="C546" s="11" t="s">
        <v>1949</v>
      </c>
      <c r="D546" s="11" t="s">
        <v>1955</v>
      </c>
      <c r="E546" s="4" t="s">
        <v>23</v>
      </c>
      <c r="F546" s="4" t="s">
        <v>1950</v>
      </c>
      <c r="G546" s="55" t="s">
        <v>1956</v>
      </c>
      <c r="H546" s="55" t="s">
        <v>1957</v>
      </c>
      <c r="I546" s="6">
        <v>5845.6</v>
      </c>
      <c r="J546" s="4" t="s">
        <v>1810</v>
      </c>
      <c r="K546" s="6">
        <f>I546/1/200*400</f>
        <v>11691.2</v>
      </c>
      <c r="L546" s="25" t="s">
        <v>18</v>
      </c>
      <c r="M546" s="11"/>
      <c r="N546" s="54" t="s">
        <v>1951</v>
      </c>
    </row>
    <row r="547" spans="1:14" s="52" customFormat="1" ht="135">
      <c r="A547" s="50" t="s">
        <v>1958</v>
      </c>
      <c r="B547" s="11" t="s">
        <v>1948</v>
      </c>
      <c r="C547" s="11" t="s">
        <v>1949</v>
      </c>
      <c r="D547" s="11" t="s">
        <v>1955</v>
      </c>
      <c r="E547" s="4" t="s">
        <v>240</v>
      </c>
      <c r="F547" s="4" t="s">
        <v>1959</v>
      </c>
      <c r="G547" s="4" t="s">
        <v>1960</v>
      </c>
      <c r="H547" s="4" t="s">
        <v>1961</v>
      </c>
      <c r="I547" s="6">
        <v>15350.7</v>
      </c>
      <c r="J547" s="4" t="s">
        <v>1810</v>
      </c>
      <c r="K547" s="6">
        <f>I547/14/200*400</f>
        <v>2192.957142857143</v>
      </c>
      <c r="L547" s="25" t="s">
        <v>18</v>
      </c>
      <c r="M547" s="11"/>
      <c r="N547" s="54" t="s">
        <v>1951</v>
      </c>
    </row>
    <row r="548" spans="1:14" s="52" customFormat="1" ht="135">
      <c r="A548" s="50" t="s">
        <v>1962</v>
      </c>
      <c r="B548" s="11" t="s">
        <v>1948</v>
      </c>
      <c r="C548" s="11" t="s">
        <v>1949</v>
      </c>
      <c r="D548" s="11" t="s">
        <v>1963</v>
      </c>
      <c r="E548" s="4" t="s">
        <v>23</v>
      </c>
      <c r="F548" s="4" t="s">
        <v>1950</v>
      </c>
      <c r="G548" s="4" t="s">
        <v>1964</v>
      </c>
      <c r="H548" s="4" t="s">
        <v>1965</v>
      </c>
      <c r="I548" s="6">
        <v>5845.6</v>
      </c>
      <c r="J548" s="4" t="s">
        <v>1966</v>
      </c>
      <c r="K548" s="6">
        <f>+I548/1/200*400</f>
        <v>11691.2</v>
      </c>
      <c r="L548" s="25" t="s">
        <v>18</v>
      </c>
      <c r="M548" s="11"/>
      <c r="N548" s="54" t="s">
        <v>1951</v>
      </c>
    </row>
    <row r="549" spans="1:14" s="52" customFormat="1" ht="135">
      <c r="A549" s="50" t="s">
        <v>1967</v>
      </c>
      <c r="B549" s="11" t="s">
        <v>1948</v>
      </c>
      <c r="C549" s="11" t="s">
        <v>1949</v>
      </c>
      <c r="D549" s="11" t="s">
        <v>1968</v>
      </c>
      <c r="E549" s="4" t="s">
        <v>23</v>
      </c>
      <c r="F549" s="4" t="s">
        <v>1950</v>
      </c>
      <c r="G549" s="4" t="s">
        <v>1969</v>
      </c>
      <c r="H549" s="4" t="s">
        <v>1970</v>
      </c>
      <c r="I549" s="6">
        <v>5845.6</v>
      </c>
      <c r="J549" s="44" t="s">
        <v>1971</v>
      </c>
      <c r="K549" s="6">
        <f>I549/200*400</f>
        <v>11691.2</v>
      </c>
      <c r="L549" s="25" t="s">
        <v>18</v>
      </c>
      <c r="M549" s="54"/>
      <c r="N549" s="54" t="s">
        <v>1951</v>
      </c>
    </row>
    <row r="550" spans="1:14" s="52" customFormat="1" ht="135">
      <c r="A550" s="53" t="s">
        <v>1972</v>
      </c>
      <c r="B550" s="54" t="s">
        <v>1948</v>
      </c>
      <c r="C550" s="54" t="s">
        <v>1949</v>
      </c>
      <c r="D550" s="54" t="s">
        <v>1973</v>
      </c>
      <c r="E550" s="55" t="s">
        <v>23</v>
      </c>
      <c r="F550" s="56" t="s">
        <v>1950</v>
      </c>
      <c r="G550" s="55" t="s">
        <v>64</v>
      </c>
      <c r="H550" s="55" t="s">
        <v>54</v>
      </c>
      <c r="I550" s="5">
        <v>5845.6</v>
      </c>
      <c r="J550" s="8" t="s">
        <v>1810</v>
      </c>
      <c r="K550" s="5">
        <f>I550*400/200</f>
        <v>11691.2</v>
      </c>
      <c r="L550" s="21" t="s">
        <v>18</v>
      </c>
      <c r="M550" s="54"/>
      <c r="N550" s="54" t="s">
        <v>1951</v>
      </c>
    </row>
    <row r="551" spans="1:14" s="52" customFormat="1" ht="56.25">
      <c r="A551" s="50" t="s">
        <v>1974</v>
      </c>
      <c r="B551" s="11" t="s">
        <v>1975</v>
      </c>
      <c r="C551" s="11" t="s">
        <v>1976</v>
      </c>
      <c r="D551" s="11" t="s">
        <v>1977</v>
      </c>
      <c r="E551" s="4" t="s">
        <v>1978</v>
      </c>
      <c r="F551" s="4" t="s">
        <v>1979</v>
      </c>
      <c r="G551" s="4" t="s">
        <v>1980</v>
      </c>
      <c r="H551" s="4" t="s">
        <v>175</v>
      </c>
      <c r="I551" s="6">
        <v>47542</v>
      </c>
      <c r="J551" s="4" t="s">
        <v>1981</v>
      </c>
      <c r="K551" s="6">
        <f>+I551/4200*800</f>
        <v>9055.6190476190477</v>
      </c>
      <c r="L551" s="25" t="s">
        <v>18</v>
      </c>
      <c r="M551" s="11" t="s">
        <v>1982</v>
      </c>
      <c r="N551" s="11" t="s">
        <v>1983</v>
      </c>
    </row>
    <row r="552" spans="1:14" s="52" customFormat="1" ht="67.5">
      <c r="A552" s="12">
        <v>1327535</v>
      </c>
      <c r="B552" s="12" t="s">
        <v>1975</v>
      </c>
      <c r="C552" s="11" t="s">
        <v>1976</v>
      </c>
      <c r="D552" s="11" t="s">
        <v>1984</v>
      </c>
      <c r="E552" s="4" t="s">
        <v>1985</v>
      </c>
      <c r="F552" s="4" t="s">
        <v>1986</v>
      </c>
      <c r="G552" s="4" t="s">
        <v>1987</v>
      </c>
      <c r="H552" s="4" t="s">
        <v>129</v>
      </c>
      <c r="I552" s="6">
        <v>19554.099999999999</v>
      </c>
      <c r="J552" s="25" t="s">
        <v>362</v>
      </c>
      <c r="K552" s="29">
        <f>+(I552/24)/100*300</f>
        <v>2444.2624999999998</v>
      </c>
      <c r="L552" s="7" t="s">
        <v>18</v>
      </c>
      <c r="M552" s="13" t="s">
        <v>1988</v>
      </c>
      <c r="N552" s="13" t="s">
        <v>1983</v>
      </c>
    </row>
    <row r="553" spans="1:14" ht="135">
      <c r="A553" s="50" t="s">
        <v>1989</v>
      </c>
      <c r="B553" s="11" t="s">
        <v>1990</v>
      </c>
      <c r="C553" s="11" t="s">
        <v>1991</v>
      </c>
      <c r="D553" s="11" t="s">
        <v>1992</v>
      </c>
      <c r="E553" s="4" t="s">
        <v>23</v>
      </c>
      <c r="F553" s="4" t="s">
        <v>1993</v>
      </c>
      <c r="G553" s="4" t="s">
        <v>154</v>
      </c>
      <c r="H553" s="4" t="s">
        <v>155</v>
      </c>
      <c r="I553" s="6">
        <v>20581.2</v>
      </c>
      <c r="J553" s="4" t="s">
        <v>206</v>
      </c>
      <c r="K553" s="6">
        <f>I553/50*50</f>
        <v>20581.2</v>
      </c>
      <c r="L553" s="25" t="s">
        <v>18</v>
      </c>
      <c r="M553" s="11"/>
      <c r="N553" s="54" t="s">
        <v>1994</v>
      </c>
    </row>
    <row r="554" spans="1:14" ht="135">
      <c r="A554" s="50" t="s">
        <v>1995</v>
      </c>
      <c r="B554" s="11" t="s">
        <v>1990</v>
      </c>
      <c r="C554" s="11" t="s">
        <v>1991</v>
      </c>
      <c r="D554" s="11" t="s">
        <v>1992</v>
      </c>
      <c r="E554" s="4" t="s">
        <v>1655</v>
      </c>
      <c r="F554" s="4" t="s">
        <v>1996</v>
      </c>
      <c r="G554" s="4" t="s">
        <v>154</v>
      </c>
      <c r="H554" s="4" t="s">
        <v>155</v>
      </c>
      <c r="I554" s="6">
        <v>30743.8</v>
      </c>
      <c r="J554" s="4" t="s">
        <v>206</v>
      </c>
      <c r="K554" s="6">
        <f>I554/70*50</f>
        <v>21959.857142857145</v>
      </c>
      <c r="L554" s="25" t="s">
        <v>18</v>
      </c>
      <c r="M554" s="11"/>
      <c r="N554" s="54" t="s">
        <v>1994</v>
      </c>
    </row>
    <row r="555" spans="1:14" ht="135">
      <c r="A555" s="53" t="s">
        <v>1997</v>
      </c>
      <c r="B555" s="54" t="s">
        <v>1990</v>
      </c>
      <c r="C555" s="54" t="s">
        <v>1991</v>
      </c>
      <c r="D555" s="54" t="s">
        <v>1998</v>
      </c>
      <c r="E555" s="55" t="s">
        <v>1655</v>
      </c>
      <c r="F555" s="55" t="s">
        <v>1999</v>
      </c>
      <c r="G555" s="55" t="s">
        <v>2000</v>
      </c>
      <c r="H555" s="55" t="s">
        <v>1778</v>
      </c>
      <c r="I555" s="6">
        <v>16629.599999999999</v>
      </c>
      <c r="J555" s="4" t="s">
        <v>206</v>
      </c>
      <c r="K555" s="6">
        <f>I555/50*50</f>
        <v>16629.599999999999</v>
      </c>
      <c r="L555" s="57" t="s">
        <v>18</v>
      </c>
      <c r="M555" s="54"/>
      <c r="N555" s="54" t="s">
        <v>1994</v>
      </c>
    </row>
    <row r="556" spans="1:14" ht="135">
      <c r="A556" s="53" t="s">
        <v>2001</v>
      </c>
      <c r="B556" s="54" t="s">
        <v>1990</v>
      </c>
      <c r="C556" s="54" t="s">
        <v>1991</v>
      </c>
      <c r="D556" s="54" t="s">
        <v>1998</v>
      </c>
      <c r="E556" s="55" t="s">
        <v>1655</v>
      </c>
      <c r="F556" s="55" t="s">
        <v>2002</v>
      </c>
      <c r="G556" s="55" t="s">
        <v>2000</v>
      </c>
      <c r="H556" s="55" t="s">
        <v>1778</v>
      </c>
      <c r="I556" s="6">
        <v>21152.3</v>
      </c>
      <c r="J556" s="4" t="s">
        <v>206</v>
      </c>
      <c r="K556" s="6">
        <f>I556/70*50</f>
        <v>15108.785714285714</v>
      </c>
      <c r="L556" s="57" t="s">
        <v>18</v>
      </c>
      <c r="M556" s="54"/>
      <c r="N556" s="54" t="s">
        <v>1994</v>
      </c>
    </row>
    <row r="557" spans="1:14" ht="135">
      <c r="A557" s="53" t="s">
        <v>2003</v>
      </c>
      <c r="B557" s="54" t="s">
        <v>1990</v>
      </c>
      <c r="C557" s="54" t="s">
        <v>1991</v>
      </c>
      <c r="D557" s="54" t="s">
        <v>2004</v>
      </c>
      <c r="E557" s="55" t="s">
        <v>1655</v>
      </c>
      <c r="F557" s="55" t="s">
        <v>1999</v>
      </c>
      <c r="G557" s="55" t="s">
        <v>2005</v>
      </c>
      <c r="H557" s="55" t="s">
        <v>1456</v>
      </c>
      <c r="I557" s="6">
        <v>16629.599999999999</v>
      </c>
      <c r="J557" s="4" t="s">
        <v>206</v>
      </c>
      <c r="K557" s="6">
        <f>I557/50*50</f>
        <v>16629.599999999999</v>
      </c>
      <c r="L557" s="57" t="s">
        <v>18</v>
      </c>
      <c r="M557" s="54"/>
      <c r="N557" s="54" t="s">
        <v>1994</v>
      </c>
    </row>
    <row r="558" spans="1:14" ht="135">
      <c r="A558" s="61" t="s">
        <v>2006</v>
      </c>
      <c r="B558" s="12" t="s">
        <v>1990</v>
      </c>
      <c r="C558" s="10" t="s">
        <v>1991</v>
      </c>
      <c r="D558" s="10" t="s">
        <v>2007</v>
      </c>
      <c r="E558" s="70" t="s">
        <v>1655</v>
      </c>
      <c r="F558" s="70" t="s">
        <v>2008</v>
      </c>
      <c r="G558" s="70" t="s">
        <v>3706</v>
      </c>
      <c r="H558" s="70" t="s">
        <v>3707</v>
      </c>
      <c r="I558" s="5">
        <v>16629.599999999999</v>
      </c>
      <c r="J558" s="6" t="s">
        <v>206</v>
      </c>
      <c r="K558" s="5">
        <f>I558/50*50</f>
        <v>16629.599999999999</v>
      </c>
      <c r="L558" s="7" t="s">
        <v>18</v>
      </c>
      <c r="M558" s="11"/>
      <c r="N558" s="11" t="s">
        <v>1994</v>
      </c>
    </row>
    <row r="559" spans="1:14" ht="180">
      <c r="A559" s="50" t="s">
        <v>2009</v>
      </c>
      <c r="B559" s="11" t="s">
        <v>2010</v>
      </c>
      <c r="C559" s="11" t="s">
        <v>2011</v>
      </c>
      <c r="D559" s="11" t="s">
        <v>2012</v>
      </c>
      <c r="E559" s="4" t="s">
        <v>23</v>
      </c>
      <c r="F559" s="4" t="s">
        <v>1999</v>
      </c>
      <c r="G559" s="4" t="s">
        <v>2013</v>
      </c>
      <c r="H559" s="4" t="s">
        <v>145</v>
      </c>
      <c r="I559" s="16">
        <v>15692.3</v>
      </c>
      <c r="J559" s="4" t="s">
        <v>2014</v>
      </c>
      <c r="K559" s="6">
        <f>+I559/1/50*100</f>
        <v>31384.6</v>
      </c>
      <c r="L559" s="25" t="s">
        <v>18</v>
      </c>
      <c r="M559" s="11" t="s">
        <v>2015</v>
      </c>
      <c r="N559" s="11" t="s">
        <v>2016</v>
      </c>
    </row>
    <row r="560" spans="1:14" ht="146.25">
      <c r="A560" s="50" t="s">
        <v>2017</v>
      </c>
      <c r="B560" s="11" t="s">
        <v>2010</v>
      </c>
      <c r="C560" s="11" t="s">
        <v>2011</v>
      </c>
      <c r="D560" s="11" t="s">
        <v>2012</v>
      </c>
      <c r="E560" s="4" t="s">
        <v>23</v>
      </c>
      <c r="F560" s="4" t="s">
        <v>2023</v>
      </c>
      <c r="G560" s="4" t="s">
        <v>2013</v>
      </c>
      <c r="H560" s="4" t="s">
        <v>145</v>
      </c>
      <c r="I560" s="6">
        <v>29248.6</v>
      </c>
      <c r="J560" s="4" t="s">
        <v>2014</v>
      </c>
      <c r="K560" s="6">
        <f>I560/1/100*100</f>
        <v>29248.6</v>
      </c>
      <c r="L560" s="25" t="s">
        <v>18</v>
      </c>
      <c r="M560" s="11" t="s">
        <v>2018</v>
      </c>
      <c r="N560" s="11" t="s">
        <v>2019</v>
      </c>
    </row>
    <row r="561" spans="1:14" ht="180">
      <c r="A561" s="50" t="s">
        <v>2020</v>
      </c>
      <c r="B561" s="11" t="s">
        <v>2010</v>
      </c>
      <c r="C561" s="11" t="s">
        <v>2021</v>
      </c>
      <c r="D561" s="11" t="s">
        <v>3819</v>
      </c>
      <c r="E561" s="4" t="s">
        <v>23</v>
      </c>
      <c r="F561" s="4" t="s">
        <v>1999</v>
      </c>
      <c r="G561" s="4" t="s">
        <v>3820</v>
      </c>
      <c r="H561" s="4" t="s">
        <v>3821</v>
      </c>
      <c r="I561" s="16">
        <v>10200.6</v>
      </c>
      <c r="J561" s="4" t="s">
        <v>339</v>
      </c>
      <c r="K561" s="6">
        <f>+I561/1/50*100</f>
        <v>20401.2</v>
      </c>
      <c r="L561" s="25" t="s">
        <v>18</v>
      </c>
      <c r="M561" s="11" t="s">
        <v>2015</v>
      </c>
      <c r="N561" s="11" t="s">
        <v>2016</v>
      </c>
    </row>
    <row r="562" spans="1:14" ht="146.25">
      <c r="A562" s="50" t="s">
        <v>2022</v>
      </c>
      <c r="B562" s="11" t="s">
        <v>2010</v>
      </c>
      <c r="C562" s="11" t="s">
        <v>2021</v>
      </c>
      <c r="D562" s="11" t="s">
        <v>3819</v>
      </c>
      <c r="E562" s="4" t="s">
        <v>23</v>
      </c>
      <c r="F562" s="4" t="s">
        <v>2023</v>
      </c>
      <c r="G562" s="4" t="s">
        <v>3820</v>
      </c>
      <c r="H562" s="4" t="s">
        <v>3821</v>
      </c>
      <c r="I562" s="16">
        <v>21126.5</v>
      </c>
      <c r="J562" s="4" t="s">
        <v>339</v>
      </c>
      <c r="K562" s="6">
        <f>I562/1/100*100</f>
        <v>21126.5</v>
      </c>
      <c r="L562" s="25" t="s">
        <v>18</v>
      </c>
      <c r="M562" s="11" t="s">
        <v>2018</v>
      </c>
      <c r="N562" s="11" t="s">
        <v>2019</v>
      </c>
    </row>
    <row r="563" spans="1:14" ht="135">
      <c r="A563" s="12" t="s">
        <v>2024</v>
      </c>
      <c r="B563" s="12" t="s">
        <v>2025</v>
      </c>
      <c r="C563" s="11" t="s">
        <v>2026</v>
      </c>
      <c r="D563" s="11" t="s">
        <v>2027</v>
      </c>
      <c r="E563" s="4" t="s">
        <v>1655</v>
      </c>
      <c r="F563" s="4" t="s">
        <v>2023</v>
      </c>
      <c r="G563" s="4" t="s">
        <v>283</v>
      </c>
      <c r="H563" s="7" t="s">
        <v>284</v>
      </c>
      <c r="I563" s="6">
        <v>23916.3</v>
      </c>
      <c r="J563" s="4" t="s">
        <v>2014</v>
      </c>
      <c r="K563" s="6">
        <f>I563/1/100*100</f>
        <v>23916.3</v>
      </c>
      <c r="L563" s="25" t="s">
        <v>18</v>
      </c>
      <c r="M563" s="11" t="s">
        <v>2018</v>
      </c>
      <c r="N563" s="54" t="s">
        <v>2028</v>
      </c>
    </row>
    <row r="564" spans="1:14" ht="33.75">
      <c r="A564" s="50" t="s">
        <v>2029</v>
      </c>
      <c r="B564" s="11" t="s">
        <v>2030</v>
      </c>
      <c r="C564" s="11" t="s">
        <v>2031</v>
      </c>
      <c r="D564" s="11" t="s">
        <v>2032</v>
      </c>
      <c r="E564" s="4" t="s">
        <v>23</v>
      </c>
      <c r="F564" s="4" t="s">
        <v>2033</v>
      </c>
      <c r="G564" s="4" t="s">
        <v>1589</v>
      </c>
      <c r="H564" s="4" t="s">
        <v>471</v>
      </c>
      <c r="I564" s="6">
        <v>1902.2</v>
      </c>
      <c r="J564" s="4" t="s">
        <v>1577</v>
      </c>
      <c r="K564" s="6">
        <f>I564/5/250*4000</f>
        <v>6087.04</v>
      </c>
      <c r="L564" s="25" t="s">
        <v>18</v>
      </c>
      <c r="M564" s="11"/>
      <c r="N564" s="11" t="s">
        <v>1454</v>
      </c>
    </row>
    <row r="565" spans="1:14" ht="33.75">
      <c r="A565" s="50" t="s">
        <v>2034</v>
      </c>
      <c r="B565" s="11" t="s">
        <v>2030</v>
      </c>
      <c r="C565" s="11" t="s">
        <v>2031</v>
      </c>
      <c r="D565" s="12" t="s">
        <v>2035</v>
      </c>
      <c r="E565" s="4" t="s">
        <v>166</v>
      </c>
      <c r="F565" s="4" t="s">
        <v>2036</v>
      </c>
      <c r="G565" s="4" t="s">
        <v>1794</v>
      </c>
      <c r="H565" s="4" t="s">
        <v>45</v>
      </c>
      <c r="I565" s="6">
        <v>17119.8</v>
      </c>
      <c r="J565" s="4" t="s">
        <v>1577</v>
      </c>
      <c r="K565" s="6">
        <f>I565/50/250*4000</f>
        <v>5478.3359999999993</v>
      </c>
      <c r="L565" s="7" t="s">
        <v>18</v>
      </c>
      <c r="M565" s="11"/>
      <c r="N565" s="11" t="s">
        <v>1454</v>
      </c>
    </row>
    <row r="566" spans="1:14" ht="22.5">
      <c r="A566" s="50" t="s">
        <v>2037</v>
      </c>
      <c r="B566" s="11" t="s">
        <v>2030</v>
      </c>
      <c r="C566" s="11" t="s">
        <v>2031</v>
      </c>
      <c r="D566" s="11" t="s">
        <v>2038</v>
      </c>
      <c r="E566" s="4" t="s">
        <v>166</v>
      </c>
      <c r="F566" s="4" t="s">
        <v>2039</v>
      </c>
      <c r="G566" s="4" t="s">
        <v>2040</v>
      </c>
      <c r="H566" s="4" t="s">
        <v>45</v>
      </c>
      <c r="I566" s="6">
        <v>17119.8</v>
      </c>
      <c r="J566" s="6" t="s">
        <v>2041</v>
      </c>
      <c r="K566" s="6">
        <f>+(I566/50 / 250) *4000</f>
        <v>5478.3359999999993</v>
      </c>
      <c r="L566" s="7" t="s">
        <v>18</v>
      </c>
      <c r="M566" s="11"/>
      <c r="N566" s="11" t="s">
        <v>1454</v>
      </c>
    </row>
    <row r="567" spans="1:14" ht="33.75">
      <c r="A567" s="50" t="s">
        <v>2042</v>
      </c>
      <c r="B567" s="11" t="s">
        <v>2043</v>
      </c>
      <c r="C567" s="11" t="s">
        <v>2044</v>
      </c>
      <c r="D567" s="11" t="s">
        <v>2045</v>
      </c>
      <c r="E567" s="4" t="s">
        <v>240</v>
      </c>
      <c r="F567" s="4" t="s">
        <v>3718</v>
      </c>
      <c r="G567" s="4" t="s">
        <v>3680</v>
      </c>
      <c r="H567" s="4" t="s">
        <v>34</v>
      </c>
      <c r="I567" s="6">
        <v>60677.599999999999</v>
      </c>
      <c r="J567" s="4" t="s">
        <v>2047</v>
      </c>
      <c r="K567" s="6">
        <f>I567/60/450*900</f>
        <v>2022.5866666666664</v>
      </c>
      <c r="L567" s="25" t="s">
        <v>18</v>
      </c>
      <c r="M567" s="11" t="s">
        <v>2046</v>
      </c>
      <c r="N567" s="11" t="s">
        <v>1983</v>
      </c>
    </row>
    <row r="568" spans="1:14" ht="33.75">
      <c r="A568" s="50" t="s">
        <v>2048</v>
      </c>
      <c r="B568" s="11" t="s">
        <v>2049</v>
      </c>
      <c r="C568" s="11" t="s">
        <v>2050</v>
      </c>
      <c r="D568" s="11" t="s">
        <v>2051</v>
      </c>
      <c r="E568" s="4" t="s">
        <v>71</v>
      </c>
      <c r="F568" s="4" t="s">
        <v>2052</v>
      </c>
      <c r="G568" s="4" t="s">
        <v>2053</v>
      </c>
      <c r="H568" s="4" t="s">
        <v>16</v>
      </c>
      <c r="I568" s="6">
        <v>12049.7</v>
      </c>
      <c r="J568" s="6" t="s">
        <v>18</v>
      </c>
      <c r="K568" s="6" t="s">
        <v>18</v>
      </c>
      <c r="L568" s="25" t="s">
        <v>18</v>
      </c>
      <c r="M568" s="11"/>
      <c r="N568" s="11"/>
    </row>
    <row r="569" spans="1:14" ht="78.75">
      <c r="A569" s="11" t="s">
        <v>2054</v>
      </c>
      <c r="B569" s="11" t="s">
        <v>2055</v>
      </c>
      <c r="C569" s="11" t="s">
        <v>2056</v>
      </c>
      <c r="D569" s="11" t="s">
        <v>2057</v>
      </c>
      <c r="E569" s="4" t="s">
        <v>71</v>
      </c>
      <c r="F569" s="4" t="s">
        <v>2058</v>
      </c>
      <c r="G569" s="4" t="s">
        <v>272</v>
      </c>
      <c r="H569" s="4" t="s">
        <v>273</v>
      </c>
      <c r="I569" s="6">
        <v>13031.3</v>
      </c>
      <c r="J569" s="4" t="s">
        <v>18</v>
      </c>
      <c r="K569" s="4" t="s">
        <v>18</v>
      </c>
      <c r="L569" s="4" t="s">
        <v>18</v>
      </c>
      <c r="M569" s="11"/>
      <c r="N569" s="11" t="s">
        <v>2059</v>
      </c>
    </row>
    <row r="570" spans="1:14" ht="78.75">
      <c r="A570" s="11" t="s">
        <v>2060</v>
      </c>
      <c r="B570" s="11" t="s">
        <v>2055</v>
      </c>
      <c r="C570" s="11" t="s">
        <v>2056</v>
      </c>
      <c r="D570" s="11" t="s">
        <v>2057</v>
      </c>
      <c r="E570" s="4" t="s">
        <v>71</v>
      </c>
      <c r="F570" s="4" t="s">
        <v>2061</v>
      </c>
      <c r="G570" s="4" t="s">
        <v>272</v>
      </c>
      <c r="H570" s="4" t="s">
        <v>273</v>
      </c>
      <c r="I570" s="6">
        <v>26063.4</v>
      </c>
      <c r="J570" s="4" t="s">
        <v>18</v>
      </c>
      <c r="K570" s="4" t="s">
        <v>18</v>
      </c>
      <c r="L570" s="4" t="s">
        <v>18</v>
      </c>
      <c r="M570" s="11"/>
      <c r="N570" s="11" t="s">
        <v>2059</v>
      </c>
    </row>
    <row r="571" spans="1:14" ht="78.75">
      <c r="A571" s="61" t="s">
        <v>2070</v>
      </c>
      <c r="B571" s="12" t="s">
        <v>2055</v>
      </c>
      <c r="C571" s="11" t="s">
        <v>2056</v>
      </c>
      <c r="D571" s="11" t="s">
        <v>2071</v>
      </c>
      <c r="E571" s="4" t="s">
        <v>71</v>
      </c>
      <c r="F571" s="4" t="s">
        <v>2072</v>
      </c>
      <c r="G571" s="4" t="s">
        <v>2073</v>
      </c>
      <c r="H571" s="4" t="s">
        <v>2074</v>
      </c>
      <c r="I571" s="6">
        <v>8701.2000000000007</v>
      </c>
      <c r="J571" s="6" t="s">
        <v>18</v>
      </c>
      <c r="K571" s="6" t="s">
        <v>18</v>
      </c>
      <c r="L571" s="4" t="s">
        <v>18</v>
      </c>
      <c r="M571" s="11"/>
      <c r="N571" s="11" t="s">
        <v>2059</v>
      </c>
    </row>
    <row r="572" spans="1:14" ht="78.75">
      <c r="A572" s="61" t="s">
        <v>2075</v>
      </c>
      <c r="B572" s="12" t="s">
        <v>2055</v>
      </c>
      <c r="C572" s="11" t="s">
        <v>2056</v>
      </c>
      <c r="D572" s="11" t="s">
        <v>2071</v>
      </c>
      <c r="E572" s="4" t="s">
        <v>71</v>
      </c>
      <c r="F572" s="4" t="s">
        <v>2076</v>
      </c>
      <c r="G572" s="4" t="s">
        <v>2073</v>
      </c>
      <c r="H572" s="4" t="s">
        <v>2074</v>
      </c>
      <c r="I572" s="6">
        <v>17402.400000000001</v>
      </c>
      <c r="J572" s="6" t="s">
        <v>18</v>
      </c>
      <c r="K572" s="6" t="s">
        <v>18</v>
      </c>
      <c r="L572" s="4" t="s">
        <v>18</v>
      </c>
      <c r="M572" s="11"/>
      <c r="N572" s="11" t="s">
        <v>2059</v>
      </c>
    </row>
    <row r="573" spans="1:14" ht="78.75">
      <c r="A573" s="61" t="s">
        <v>2077</v>
      </c>
      <c r="B573" s="12" t="s">
        <v>2055</v>
      </c>
      <c r="C573" s="11" t="s">
        <v>2056</v>
      </c>
      <c r="D573" s="11" t="s">
        <v>2071</v>
      </c>
      <c r="E573" s="4" t="s">
        <v>71</v>
      </c>
      <c r="F573" s="4" t="s">
        <v>2078</v>
      </c>
      <c r="G573" s="4" t="s">
        <v>2073</v>
      </c>
      <c r="H573" s="4" t="s">
        <v>2074</v>
      </c>
      <c r="I573" s="6">
        <v>34804.800000000003</v>
      </c>
      <c r="J573" s="6" t="s">
        <v>18</v>
      </c>
      <c r="K573" s="6" t="s">
        <v>18</v>
      </c>
      <c r="L573" s="4" t="s">
        <v>18</v>
      </c>
      <c r="M573" s="11"/>
      <c r="N573" s="11" t="s">
        <v>2059</v>
      </c>
    </row>
    <row r="574" spans="1:14" ht="78.75">
      <c r="A574" s="61" t="s">
        <v>2079</v>
      </c>
      <c r="B574" s="12" t="s">
        <v>2055</v>
      </c>
      <c r="C574" s="11" t="s">
        <v>2056</v>
      </c>
      <c r="D574" s="11" t="s">
        <v>2071</v>
      </c>
      <c r="E574" s="4" t="s">
        <v>71</v>
      </c>
      <c r="F574" s="4" t="s">
        <v>2080</v>
      </c>
      <c r="G574" s="4" t="s">
        <v>2073</v>
      </c>
      <c r="H574" s="4" t="s">
        <v>2074</v>
      </c>
      <c r="I574" s="6">
        <v>69609.5</v>
      </c>
      <c r="J574" s="6" t="s">
        <v>18</v>
      </c>
      <c r="K574" s="6" t="s">
        <v>18</v>
      </c>
      <c r="L574" s="4" t="s">
        <v>18</v>
      </c>
      <c r="M574" s="11"/>
      <c r="N574" s="11" t="s">
        <v>2059</v>
      </c>
    </row>
    <row r="575" spans="1:14" ht="123.75">
      <c r="A575" s="50" t="s">
        <v>2062</v>
      </c>
      <c r="B575" s="13" t="s">
        <v>2055</v>
      </c>
      <c r="C575" s="11" t="s">
        <v>2056</v>
      </c>
      <c r="D575" s="11" t="s">
        <v>2063</v>
      </c>
      <c r="E575" s="4" t="s">
        <v>71</v>
      </c>
      <c r="F575" s="4" t="s">
        <v>2064</v>
      </c>
      <c r="G575" s="4" t="s">
        <v>2065</v>
      </c>
      <c r="H575" s="4" t="s">
        <v>423</v>
      </c>
      <c r="I575" s="6">
        <v>6970.5</v>
      </c>
      <c r="J575" s="6" t="s">
        <v>18</v>
      </c>
      <c r="K575" s="6" t="s">
        <v>18</v>
      </c>
      <c r="L575" s="4" t="s">
        <v>18</v>
      </c>
      <c r="M575" s="11" t="s">
        <v>3664</v>
      </c>
      <c r="N575" s="11" t="s">
        <v>2059</v>
      </c>
    </row>
    <row r="576" spans="1:14" ht="123.75">
      <c r="A576" s="50" t="s">
        <v>2066</v>
      </c>
      <c r="B576" s="13" t="s">
        <v>2055</v>
      </c>
      <c r="C576" s="11" t="s">
        <v>2056</v>
      </c>
      <c r="D576" s="11" t="s">
        <v>2063</v>
      </c>
      <c r="E576" s="4" t="s">
        <v>71</v>
      </c>
      <c r="F576" s="4" t="s">
        <v>2067</v>
      </c>
      <c r="G576" s="4" t="s">
        <v>2065</v>
      </c>
      <c r="H576" s="4" t="s">
        <v>423</v>
      </c>
      <c r="I576" s="6">
        <v>13934.9</v>
      </c>
      <c r="J576" s="6" t="s">
        <v>18</v>
      </c>
      <c r="K576" s="6" t="s">
        <v>18</v>
      </c>
      <c r="L576" s="4" t="s">
        <v>18</v>
      </c>
      <c r="M576" s="11" t="s">
        <v>3664</v>
      </c>
      <c r="N576" s="11" t="s">
        <v>2059</v>
      </c>
    </row>
    <row r="577" spans="1:14" ht="123.75">
      <c r="A577" s="50" t="s">
        <v>2068</v>
      </c>
      <c r="B577" s="13" t="s">
        <v>2055</v>
      </c>
      <c r="C577" s="11" t="s">
        <v>2056</v>
      </c>
      <c r="D577" s="11" t="s">
        <v>2063</v>
      </c>
      <c r="E577" s="4" t="s">
        <v>71</v>
      </c>
      <c r="F577" s="4" t="s">
        <v>2069</v>
      </c>
      <c r="G577" s="4" t="s">
        <v>2065</v>
      </c>
      <c r="H577" s="4" t="s">
        <v>423</v>
      </c>
      <c r="I577" s="6">
        <v>27863.7</v>
      </c>
      <c r="J577" s="6" t="s">
        <v>18</v>
      </c>
      <c r="K577" s="6" t="s">
        <v>18</v>
      </c>
      <c r="L577" s="4" t="s">
        <v>18</v>
      </c>
      <c r="M577" s="11" t="s">
        <v>3664</v>
      </c>
      <c r="N577" s="11" t="s">
        <v>2059</v>
      </c>
    </row>
    <row r="578" spans="1:14" ht="78.75">
      <c r="A578" s="50" t="s">
        <v>2081</v>
      </c>
      <c r="B578" s="11" t="s">
        <v>2082</v>
      </c>
      <c r="C578" s="11" t="s">
        <v>2083</v>
      </c>
      <c r="D578" s="11" t="s">
        <v>2084</v>
      </c>
      <c r="E578" s="4" t="s">
        <v>166</v>
      </c>
      <c r="F578" s="4" t="s">
        <v>2085</v>
      </c>
      <c r="G578" s="4" t="s">
        <v>446</v>
      </c>
      <c r="H578" s="4" t="s">
        <v>447</v>
      </c>
      <c r="I578" s="33">
        <v>23431.3</v>
      </c>
      <c r="J578" s="6" t="s">
        <v>18</v>
      </c>
      <c r="K578" s="6" t="s">
        <v>18</v>
      </c>
      <c r="L578" s="25" t="s">
        <v>18</v>
      </c>
      <c r="M578" s="11"/>
      <c r="N578" s="11" t="s">
        <v>2086</v>
      </c>
    </row>
    <row r="579" spans="1:14" ht="78.75">
      <c r="A579" s="50" t="s">
        <v>2087</v>
      </c>
      <c r="B579" s="11" t="s">
        <v>2082</v>
      </c>
      <c r="C579" s="11" t="s">
        <v>2083</v>
      </c>
      <c r="D579" s="11" t="s">
        <v>2084</v>
      </c>
      <c r="E579" s="4" t="s">
        <v>166</v>
      </c>
      <c r="F579" s="4" t="s">
        <v>2088</v>
      </c>
      <c r="G579" s="4" t="s">
        <v>446</v>
      </c>
      <c r="H579" s="4" t="s">
        <v>447</v>
      </c>
      <c r="I579" s="33">
        <v>46862.6</v>
      </c>
      <c r="J579" s="4" t="s">
        <v>18</v>
      </c>
      <c r="K579" s="6" t="s">
        <v>18</v>
      </c>
      <c r="L579" s="25" t="s">
        <v>18</v>
      </c>
      <c r="M579" s="11"/>
      <c r="N579" s="11" t="s">
        <v>2086</v>
      </c>
    </row>
    <row r="580" spans="1:14" ht="78.75">
      <c r="A580" s="50" t="s">
        <v>2089</v>
      </c>
      <c r="B580" s="11" t="s">
        <v>2082</v>
      </c>
      <c r="C580" s="11" t="s">
        <v>2083</v>
      </c>
      <c r="D580" s="11" t="s">
        <v>2090</v>
      </c>
      <c r="E580" s="4" t="s">
        <v>166</v>
      </c>
      <c r="F580" s="4" t="s">
        <v>2091</v>
      </c>
      <c r="G580" s="4" t="s">
        <v>463</v>
      </c>
      <c r="H580" s="4" t="s">
        <v>34</v>
      </c>
      <c r="I580" s="6">
        <v>23998</v>
      </c>
      <c r="J580" s="6" t="s">
        <v>18</v>
      </c>
      <c r="K580" s="6" t="s">
        <v>18</v>
      </c>
      <c r="L580" s="25" t="s">
        <v>18</v>
      </c>
      <c r="M580" s="11"/>
      <c r="N580" s="11" t="s">
        <v>2086</v>
      </c>
    </row>
    <row r="581" spans="1:14" ht="78.75">
      <c r="A581" s="50" t="s">
        <v>2092</v>
      </c>
      <c r="B581" s="11" t="s">
        <v>2082</v>
      </c>
      <c r="C581" s="11" t="s">
        <v>2083</v>
      </c>
      <c r="D581" s="11" t="s">
        <v>2090</v>
      </c>
      <c r="E581" s="4" t="s">
        <v>166</v>
      </c>
      <c r="F581" s="4" t="s">
        <v>2093</v>
      </c>
      <c r="G581" s="4" t="s">
        <v>463</v>
      </c>
      <c r="H581" s="4" t="s">
        <v>34</v>
      </c>
      <c r="I581" s="6">
        <v>47914</v>
      </c>
      <c r="J581" s="6" t="s">
        <v>18</v>
      </c>
      <c r="K581" s="6" t="s">
        <v>18</v>
      </c>
      <c r="L581" s="25" t="s">
        <v>18</v>
      </c>
      <c r="M581" s="11"/>
      <c r="N581" s="11" t="s">
        <v>2086</v>
      </c>
    </row>
    <row r="582" spans="1:14" ht="78.75">
      <c r="A582" s="50" t="s">
        <v>2094</v>
      </c>
      <c r="B582" s="11" t="s">
        <v>2082</v>
      </c>
      <c r="C582" s="11" t="s">
        <v>2083</v>
      </c>
      <c r="D582" s="11" t="s">
        <v>2090</v>
      </c>
      <c r="E582" s="4" t="s">
        <v>166</v>
      </c>
      <c r="F582" s="4" t="s">
        <v>2095</v>
      </c>
      <c r="G582" s="4" t="s">
        <v>463</v>
      </c>
      <c r="H582" s="4" t="s">
        <v>34</v>
      </c>
      <c r="I582" s="6">
        <v>95744.8</v>
      </c>
      <c r="J582" s="4" t="s">
        <v>18</v>
      </c>
      <c r="K582" s="6" t="s">
        <v>18</v>
      </c>
      <c r="L582" s="25" t="s">
        <v>18</v>
      </c>
      <c r="M582" s="11"/>
      <c r="N582" s="11" t="s">
        <v>2086</v>
      </c>
    </row>
    <row r="583" spans="1:14" ht="78.75">
      <c r="A583" s="50" t="s">
        <v>2096</v>
      </c>
      <c r="B583" s="11" t="s">
        <v>2082</v>
      </c>
      <c r="C583" s="11" t="s">
        <v>2083</v>
      </c>
      <c r="D583" s="11" t="s">
        <v>2097</v>
      </c>
      <c r="E583" s="4" t="s">
        <v>166</v>
      </c>
      <c r="F583" s="4" t="s">
        <v>2098</v>
      </c>
      <c r="G583" s="4" t="s">
        <v>477</v>
      </c>
      <c r="H583" s="4" t="s">
        <v>284</v>
      </c>
      <c r="I583" s="6">
        <v>96074.3</v>
      </c>
      <c r="J583" s="4" t="s">
        <v>18</v>
      </c>
      <c r="K583" s="6" t="s">
        <v>18</v>
      </c>
      <c r="L583" s="25" t="s">
        <v>18</v>
      </c>
      <c r="M583" s="11"/>
      <c r="N583" s="11" t="s">
        <v>2086</v>
      </c>
    </row>
    <row r="584" spans="1:14" ht="78.75">
      <c r="A584" s="50" t="s">
        <v>2099</v>
      </c>
      <c r="B584" s="11" t="s">
        <v>2082</v>
      </c>
      <c r="C584" s="11" t="s">
        <v>2083</v>
      </c>
      <c r="D584" s="11" t="s">
        <v>2097</v>
      </c>
      <c r="E584" s="4" t="s">
        <v>166</v>
      </c>
      <c r="F584" s="4" t="s">
        <v>2100</v>
      </c>
      <c r="G584" s="55" t="s">
        <v>477</v>
      </c>
      <c r="H584" s="4" t="s">
        <v>284</v>
      </c>
      <c r="I584" s="6">
        <v>48037.2</v>
      </c>
      <c r="J584" s="4" t="s">
        <v>18</v>
      </c>
      <c r="K584" s="6" t="s">
        <v>18</v>
      </c>
      <c r="L584" s="25" t="s">
        <v>18</v>
      </c>
      <c r="M584" s="11"/>
      <c r="N584" s="11" t="s">
        <v>2086</v>
      </c>
    </row>
    <row r="585" spans="1:14" ht="78.75">
      <c r="A585" s="50" t="s">
        <v>2101</v>
      </c>
      <c r="B585" s="11" t="s">
        <v>2082</v>
      </c>
      <c r="C585" s="11" t="s">
        <v>2083</v>
      </c>
      <c r="D585" s="11" t="s">
        <v>2097</v>
      </c>
      <c r="E585" s="4" t="s">
        <v>166</v>
      </c>
      <c r="F585" s="4" t="s">
        <v>2102</v>
      </c>
      <c r="G585" s="55" t="s">
        <v>477</v>
      </c>
      <c r="H585" s="4" t="s">
        <v>284</v>
      </c>
      <c r="I585" s="6">
        <v>24018.5</v>
      </c>
      <c r="J585" s="4" t="s">
        <v>18</v>
      </c>
      <c r="K585" s="6" t="s">
        <v>18</v>
      </c>
      <c r="L585" s="25" t="s">
        <v>18</v>
      </c>
      <c r="M585" s="11"/>
      <c r="N585" s="11" t="s">
        <v>2086</v>
      </c>
    </row>
    <row r="586" spans="1:14" ht="78.75">
      <c r="A586" s="50" t="s">
        <v>2103</v>
      </c>
      <c r="B586" s="11" t="s">
        <v>2082</v>
      </c>
      <c r="C586" s="11" t="s">
        <v>2104</v>
      </c>
      <c r="D586" s="11" t="s">
        <v>2105</v>
      </c>
      <c r="E586" s="4" t="s">
        <v>166</v>
      </c>
      <c r="F586" s="4" t="s">
        <v>2106</v>
      </c>
      <c r="G586" s="4" t="s">
        <v>2065</v>
      </c>
      <c r="H586" s="4" t="s">
        <v>423</v>
      </c>
      <c r="I586" s="6">
        <v>22003.3</v>
      </c>
      <c r="J586" s="4" t="s">
        <v>18</v>
      </c>
      <c r="K586" s="6" t="s">
        <v>18</v>
      </c>
      <c r="L586" s="25" t="s">
        <v>18</v>
      </c>
      <c r="M586" s="11"/>
      <c r="N586" s="11" t="s">
        <v>2086</v>
      </c>
    </row>
    <row r="587" spans="1:14" ht="78.75">
      <c r="A587" s="50" t="s">
        <v>2107</v>
      </c>
      <c r="B587" s="11" t="s">
        <v>2082</v>
      </c>
      <c r="C587" s="11" t="s">
        <v>2104</v>
      </c>
      <c r="D587" s="11" t="s">
        <v>2105</v>
      </c>
      <c r="E587" s="4" t="s">
        <v>166</v>
      </c>
      <c r="F587" s="4" t="s">
        <v>2108</v>
      </c>
      <c r="G587" s="4" t="s">
        <v>2065</v>
      </c>
      <c r="H587" s="4" t="s">
        <v>423</v>
      </c>
      <c r="I587" s="6">
        <v>44006.6</v>
      </c>
      <c r="J587" s="4" t="s">
        <v>18</v>
      </c>
      <c r="K587" s="6" t="s">
        <v>18</v>
      </c>
      <c r="L587" s="25" t="s">
        <v>18</v>
      </c>
      <c r="M587" s="11"/>
      <c r="N587" s="11" t="s">
        <v>2086</v>
      </c>
    </row>
    <row r="588" spans="1:14" ht="78.75">
      <c r="A588" s="50" t="s">
        <v>2109</v>
      </c>
      <c r="B588" s="11" t="s">
        <v>2082</v>
      </c>
      <c r="C588" s="11" t="s">
        <v>2104</v>
      </c>
      <c r="D588" s="11" t="s">
        <v>2105</v>
      </c>
      <c r="E588" s="4" t="s">
        <v>166</v>
      </c>
      <c r="F588" s="4" t="s">
        <v>2110</v>
      </c>
      <c r="G588" s="4" t="s">
        <v>2065</v>
      </c>
      <c r="H588" s="4" t="s">
        <v>423</v>
      </c>
      <c r="I588" s="6">
        <v>88013.3</v>
      </c>
      <c r="J588" s="4" t="s">
        <v>18</v>
      </c>
      <c r="K588" s="6" t="s">
        <v>18</v>
      </c>
      <c r="L588" s="25" t="s">
        <v>18</v>
      </c>
      <c r="M588" s="11"/>
      <c r="N588" s="11" t="s">
        <v>2086</v>
      </c>
    </row>
    <row r="589" spans="1:14" ht="78.75">
      <c r="A589" s="61" t="s">
        <v>2111</v>
      </c>
      <c r="B589" s="12" t="s">
        <v>2082</v>
      </c>
      <c r="C589" s="11" t="s">
        <v>2104</v>
      </c>
      <c r="D589" s="11" t="s">
        <v>2090</v>
      </c>
      <c r="E589" s="4" t="s">
        <v>166</v>
      </c>
      <c r="F589" s="4" t="s">
        <v>2112</v>
      </c>
      <c r="G589" s="4" t="s">
        <v>2113</v>
      </c>
      <c r="H589" s="4" t="s">
        <v>34</v>
      </c>
      <c r="I589" s="92">
        <v>10960.3</v>
      </c>
      <c r="J589" s="5" t="s">
        <v>18</v>
      </c>
      <c r="K589" s="6" t="s">
        <v>18</v>
      </c>
      <c r="L589" s="30" t="s">
        <v>18</v>
      </c>
      <c r="M589" s="54"/>
      <c r="N589" s="54" t="s">
        <v>2086</v>
      </c>
    </row>
    <row r="590" spans="1:14" ht="78.75">
      <c r="A590" s="53" t="s">
        <v>2114</v>
      </c>
      <c r="B590" s="54" t="s">
        <v>2082</v>
      </c>
      <c r="C590" s="54" t="s">
        <v>2083</v>
      </c>
      <c r="D590" s="54" t="s">
        <v>2115</v>
      </c>
      <c r="E590" s="55" t="s">
        <v>166</v>
      </c>
      <c r="F590" s="55" t="s">
        <v>2116</v>
      </c>
      <c r="G590" s="55" t="s">
        <v>2117</v>
      </c>
      <c r="H590" s="55" t="s">
        <v>45</v>
      </c>
      <c r="I590" s="6">
        <v>4003.4</v>
      </c>
      <c r="J590" s="4" t="s">
        <v>18</v>
      </c>
      <c r="K590" s="6" t="s">
        <v>18</v>
      </c>
      <c r="L590" s="57" t="s">
        <v>18</v>
      </c>
      <c r="M590" s="54"/>
      <c r="N590" s="54" t="s">
        <v>2086</v>
      </c>
    </row>
    <row r="591" spans="1:14" ht="78.75">
      <c r="A591" s="50" t="s">
        <v>2118</v>
      </c>
      <c r="B591" s="11" t="s">
        <v>2082</v>
      </c>
      <c r="C591" s="11" t="s">
        <v>2083</v>
      </c>
      <c r="D591" s="11" t="s">
        <v>2115</v>
      </c>
      <c r="E591" s="4" t="s">
        <v>166</v>
      </c>
      <c r="F591" s="4" t="s">
        <v>2091</v>
      </c>
      <c r="G591" s="4" t="s">
        <v>2117</v>
      </c>
      <c r="H591" s="4" t="s">
        <v>45</v>
      </c>
      <c r="I591" s="6">
        <v>23998</v>
      </c>
      <c r="J591" s="6" t="s">
        <v>18</v>
      </c>
      <c r="K591" s="6" t="s">
        <v>18</v>
      </c>
      <c r="L591" s="57" t="s">
        <v>18</v>
      </c>
      <c r="M591" s="54"/>
      <c r="N591" s="54" t="s">
        <v>2086</v>
      </c>
    </row>
    <row r="592" spans="1:14" ht="78.75">
      <c r="A592" s="50" t="s">
        <v>2119</v>
      </c>
      <c r="B592" s="11" t="s">
        <v>2082</v>
      </c>
      <c r="C592" s="11" t="s">
        <v>2083</v>
      </c>
      <c r="D592" s="11" t="s">
        <v>2115</v>
      </c>
      <c r="E592" s="4" t="s">
        <v>166</v>
      </c>
      <c r="F592" s="4" t="s">
        <v>2093</v>
      </c>
      <c r="G592" s="4" t="s">
        <v>2117</v>
      </c>
      <c r="H592" s="4" t="s">
        <v>45</v>
      </c>
      <c r="I592" s="6">
        <v>47914</v>
      </c>
      <c r="J592" s="6" t="s">
        <v>18</v>
      </c>
      <c r="K592" s="6" t="s">
        <v>18</v>
      </c>
      <c r="L592" s="57" t="s">
        <v>18</v>
      </c>
      <c r="M592" s="54"/>
      <c r="N592" s="54" t="s">
        <v>2086</v>
      </c>
    </row>
    <row r="593" spans="1:14" ht="78.75">
      <c r="A593" s="50" t="s">
        <v>2120</v>
      </c>
      <c r="B593" s="11" t="s">
        <v>2082</v>
      </c>
      <c r="C593" s="11" t="s">
        <v>2083</v>
      </c>
      <c r="D593" s="11" t="s">
        <v>2115</v>
      </c>
      <c r="E593" s="4" t="s">
        <v>166</v>
      </c>
      <c r="F593" s="4" t="s">
        <v>2121</v>
      </c>
      <c r="G593" s="4" t="s">
        <v>2117</v>
      </c>
      <c r="H593" s="4" t="s">
        <v>45</v>
      </c>
      <c r="I593" s="6">
        <v>95744.8</v>
      </c>
      <c r="J593" s="4" t="s">
        <v>18</v>
      </c>
      <c r="K593" s="6" t="s">
        <v>18</v>
      </c>
      <c r="L593" s="57" t="s">
        <v>18</v>
      </c>
      <c r="M593" s="54"/>
      <c r="N593" s="54" t="s">
        <v>2086</v>
      </c>
    </row>
    <row r="594" spans="1:14" ht="78.75">
      <c r="A594" s="53" t="s">
        <v>2122</v>
      </c>
      <c r="B594" s="54" t="s">
        <v>2082</v>
      </c>
      <c r="C594" s="54" t="s">
        <v>2083</v>
      </c>
      <c r="D594" s="54" t="s">
        <v>2115</v>
      </c>
      <c r="E594" s="55" t="s">
        <v>166</v>
      </c>
      <c r="F594" s="55" t="s">
        <v>2123</v>
      </c>
      <c r="G594" s="55" t="s">
        <v>2117</v>
      </c>
      <c r="H594" s="55" t="s">
        <v>45</v>
      </c>
      <c r="I594" s="6">
        <v>159644</v>
      </c>
      <c r="J594" s="55" t="s">
        <v>18</v>
      </c>
      <c r="K594" s="24" t="s">
        <v>18</v>
      </c>
      <c r="L594" s="57" t="s">
        <v>18</v>
      </c>
      <c r="M594" s="54"/>
      <c r="N594" s="54" t="s">
        <v>2086</v>
      </c>
    </row>
    <row r="595" spans="1:14" ht="78.75">
      <c r="A595" s="53" t="s">
        <v>2124</v>
      </c>
      <c r="B595" s="54" t="s">
        <v>2082</v>
      </c>
      <c r="C595" s="54" t="s">
        <v>2083</v>
      </c>
      <c r="D595" s="54" t="s">
        <v>2125</v>
      </c>
      <c r="E595" s="55" t="s">
        <v>166</v>
      </c>
      <c r="F595" s="55" t="s">
        <v>2108</v>
      </c>
      <c r="G595" s="55" t="s">
        <v>2117</v>
      </c>
      <c r="H595" s="55" t="s">
        <v>45</v>
      </c>
      <c r="I595" s="6">
        <v>48037.2</v>
      </c>
      <c r="J595" s="4" t="s">
        <v>18</v>
      </c>
      <c r="K595" s="6" t="s">
        <v>18</v>
      </c>
      <c r="L595" s="57" t="s">
        <v>18</v>
      </c>
      <c r="M595" s="54"/>
      <c r="N595" s="54" t="s">
        <v>2086</v>
      </c>
    </row>
    <row r="596" spans="1:14" ht="78.75">
      <c r="A596" s="50" t="s">
        <v>2126</v>
      </c>
      <c r="B596" s="11" t="s">
        <v>2082</v>
      </c>
      <c r="C596" s="11" t="s">
        <v>2083</v>
      </c>
      <c r="D596" s="11" t="s">
        <v>2125</v>
      </c>
      <c r="E596" s="4" t="s">
        <v>166</v>
      </c>
      <c r="F596" s="4" t="s">
        <v>2110</v>
      </c>
      <c r="G596" s="4" t="s">
        <v>2117</v>
      </c>
      <c r="H596" s="4" t="s">
        <v>45</v>
      </c>
      <c r="I596" s="6">
        <v>96074.3</v>
      </c>
      <c r="J596" s="4" t="s">
        <v>18</v>
      </c>
      <c r="K596" s="6" t="s">
        <v>18</v>
      </c>
      <c r="L596" s="57" t="s">
        <v>18</v>
      </c>
      <c r="M596" s="54"/>
      <c r="N596" s="54" t="s">
        <v>2086</v>
      </c>
    </row>
    <row r="597" spans="1:14" ht="78.75">
      <c r="A597" s="50" t="s">
        <v>2127</v>
      </c>
      <c r="B597" s="11" t="s">
        <v>2082</v>
      </c>
      <c r="C597" s="11" t="s">
        <v>2083</v>
      </c>
      <c r="D597" s="11" t="s">
        <v>2125</v>
      </c>
      <c r="E597" s="4" t="s">
        <v>166</v>
      </c>
      <c r="F597" s="4" t="s">
        <v>2128</v>
      </c>
      <c r="G597" s="4" t="s">
        <v>2117</v>
      </c>
      <c r="H597" s="4" t="s">
        <v>45</v>
      </c>
      <c r="I597" s="6">
        <v>159551.4</v>
      </c>
      <c r="J597" s="4" t="s">
        <v>18</v>
      </c>
      <c r="K597" s="6" t="s">
        <v>18</v>
      </c>
      <c r="L597" s="57" t="s">
        <v>18</v>
      </c>
      <c r="M597" s="54"/>
      <c r="N597" s="54" t="s">
        <v>2086</v>
      </c>
    </row>
    <row r="598" spans="1:14" ht="78.75">
      <c r="A598" s="50" t="s">
        <v>2129</v>
      </c>
      <c r="B598" s="11" t="s">
        <v>2082</v>
      </c>
      <c r="C598" s="11" t="s">
        <v>2083</v>
      </c>
      <c r="D598" s="11" t="s">
        <v>2130</v>
      </c>
      <c r="E598" s="4" t="s">
        <v>166</v>
      </c>
      <c r="F598" s="4" t="s">
        <v>2112</v>
      </c>
      <c r="G598" s="4" t="s">
        <v>470</v>
      </c>
      <c r="H598" s="4" t="s">
        <v>471</v>
      </c>
      <c r="I598" s="92">
        <v>8826.9</v>
      </c>
      <c r="J598" s="4" t="s">
        <v>18</v>
      </c>
      <c r="K598" s="6" t="s">
        <v>18</v>
      </c>
      <c r="L598" s="57" t="s">
        <v>18</v>
      </c>
      <c r="M598" s="54"/>
      <c r="N598" s="54" t="s">
        <v>2086</v>
      </c>
    </row>
    <row r="599" spans="1:14" ht="78.75">
      <c r="A599" s="50" t="s">
        <v>2131</v>
      </c>
      <c r="B599" s="11" t="s">
        <v>2082</v>
      </c>
      <c r="C599" s="11" t="s">
        <v>2083</v>
      </c>
      <c r="D599" s="11" t="s">
        <v>2130</v>
      </c>
      <c r="E599" s="4" t="s">
        <v>166</v>
      </c>
      <c r="F599" s="4" t="s">
        <v>3554</v>
      </c>
      <c r="G599" s="4" t="s">
        <v>470</v>
      </c>
      <c r="H599" s="4" t="s">
        <v>471</v>
      </c>
      <c r="I599" s="92">
        <v>22019</v>
      </c>
      <c r="J599" s="4" t="s">
        <v>18</v>
      </c>
      <c r="K599" s="6" t="s">
        <v>18</v>
      </c>
      <c r="L599" s="57" t="s">
        <v>18</v>
      </c>
      <c r="M599" s="54"/>
      <c r="N599" s="54" t="s">
        <v>2086</v>
      </c>
    </row>
    <row r="600" spans="1:14" ht="78.75">
      <c r="A600" s="50" t="s">
        <v>2132</v>
      </c>
      <c r="B600" s="11" t="s">
        <v>2082</v>
      </c>
      <c r="C600" s="11" t="s">
        <v>2083</v>
      </c>
      <c r="D600" s="11" t="s">
        <v>2130</v>
      </c>
      <c r="E600" s="4" t="s">
        <v>166</v>
      </c>
      <c r="F600" s="4" t="s">
        <v>2432</v>
      </c>
      <c r="G600" s="4" t="s">
        <v>470</v>
      </c>
      <c r="H600" s="4" t="s">
        <v>471</v>
      </c>
      <c r="I600" s="92">
        <v>44134.3</v>
      </c>
      <c r="J600" s="4" t="s">
        <v>18</v>
      </c>
      <c r="K600" s="6" t="s">
        <v>18</v>
      </c>
      <c r="L600" s="57" t="s">
        <v>18</v>
      </c>
      <c r="M600" s="54"/>
      <c r="N600" s="54" t="s">
        <v>2086</v>
      </c>
    </row>
    <row r="601" spans="1:14" ht="78.75">
      <c r="A601" s="50" t="s">
        <v>2133</v>
      </c>
      <c r="B601" s="11" t="s">
        <v>2082</v>
      </c>
      <c r="C601" s="11" t="s">
        <v>2083</v>
      </c>
      <c r="D601" s="11" t="s">
        <v>2130</v>
      </c>
      <c r="E601" s="4" t="s">
        <v>166</v>
      </c>
      <c r="F601" s="4" t="s">
        <v>3555</v>
      </c>
      <c r="G601" s="4" t="s">
        <v>470</v>
      </c>
      <c r="H601" s="4" t="s">
        <v>471</v>
      </c>
      <c r="I601" s="92">
        <v>88268.6</v>
      </c>
      <c r="J601" s="4" t="s">
        <v>18</v>
      </c>
      <c r="K601" s="6" t="s">
        <v>18</v>
      </c>
      <c r="L601" s="57" t="s">
        <v>18</v>
      </c>
      <c r="M601" s="54"/>
      <c r="N601" s="54" t="s">
        <v>2086</v>
      </c>
    </row>
    <row r="602" spans="1:14" ht="33.75">
      <c r="A602" s="50" t="s">
        <v>2136</v>
      </c>
      <c r="B602" s="11" t="s">
        <v>2134</v>
      </c>
      <c r="C602" s="11" t="s">
        <v>2135</v>
      </c>
      <c r="D602" s="11" t="s">
        <v>2137</v>
      </c>
      <c r="E602" s="4" t="s">
        <v>281</v>
      </c>
      <c r="F602" s="4" t="s">
        <v>2138</v>
      </c>
      <c r="G602" s="4" t="s">
        <v>2065</v>
      </c>
      <c r="H602" s="4" t="s">
        <v>423</v>
      </c>
      <c r="I602" s="6">
        <v>5390.7</v>
      </c>
      <c r="J602" s="25" t="s">
        <v>18</v>
      </c>
      <c r="K602" s="25" t="s">
        <v>18</v>
      </c>
      <c r="L602" s="25" t="s">
        <v>18</v>
      </c>
      <c r="M602" s="11"/>
      <c r="N602" s="11" t="s">
        <v>340</v>
      </c>
    </row>
    <row r="603" spans="1:14" ht="45">
      <c r="A603" s="53" t="s">
        <v>2139</v>
      </c>
      <c r="B603" s="54" t="s">
        <v>2134</v>
      </c>
      <c r="C603" s="54" t="s">
        <v>2135</v>
      </c>
      <c r="D603" s="54" t="s">
        <v>2140</v>
      </c>
      <c r="E603" s="55" t="s">
        <v>345</v>
      </c>
      <c r="F603" s="55" t="s">
        <v>2141</v>
      </c>
      <c r="G603" s="55" t="s">
        <v>687</v>
      </c>
      <c r="H603" s="55" t="s">
        <v>471</v>
      </c>
      <c r="I603" s="6">
        <v>5192.5</v>
      </c>
      <c r="J603" s="55" t="s">
        <v>18</v>
      </c>
      <c r="K603" s="25" t="s">
        <v>18</v>
      </c>
      <c r="L603" s="57" t="s">
        <v>18</v>
      </c>
      <c r="M603" s="54"/>
      <c r="N603" s="54" t="s">
        <v>340</v>
      </c>
    </row>
    <row r="604" spans="1:14" ht="33.75">
      <c r="A604" s="9" t="s">
        <v>2142</v>
      </c>
      <c r="B604" s="11" t="s">
        <v>2143</v>
      </c>
      <c r="C604" s="1" t="s">
        <v>2144</v>
      </c>
      <c r="D604" s="11" t="s">
        <v>2145</v>
      </c>
      <c r="E604" s="4" t="s">
        <v>281</v>
      </c>
      <c r="F604" s="4" t="s">
        <v>2146</v>
      </c>
      <c r="G604" s="4" t="s">
        <v>268</v>
      </c>
      <c r="H604" s="4" t="s">
        <v>34</v>
      </c>
      <c r="I604" s="33">
        <v>1990.8</v>
      </c>
      <c r="J604" s="6" t="s">
        <v>18</v>
      </c>
      <c r="K604" s="25" t="s">
        <v>18</v>
      </c>
      <c r="L604" s="25" t="s">
        <v>18</v>
      </c>
      <c r="M604" s="11"/>
      <c r="N604" s="11"/>
    </row>
    <row r="605" spans="1:14" ht="33.75">
      <c r="A605" s="50" t="s">
        <v>2147</v>
      </c>
      <c r="B605" s="11" t="s">
        <v>2143</v>
      </c>
      <c r="C605" s="11" t="s">
        <v>2144</v>
      </c>
      <c r="D605" s="11" t="s">
        <v>2148</v>
      </c>
      <c r="E605" s="4" t="s">
        <v>281</v>
      </c>
      <c r="F605" s="4" t="s">
        <v>2149</v>
      </c>
      <c r="G605" s="4" t="s">
        <v>687</v>
      </c>
      <c r="H605" s="4" t="s">
        <v>471</v>
      </c>
      <c r="I605" s="6">
        <v>1990.8</v>
      </c>
      <c r="J605" s="6" t="s">
        <v>18</v>
      </c>
      <c r="K605" s="25" t="s">
        <v>18</v>
      </c>
      <c r="L605" s="25" t="s">
        <v>18</v>
      </c>
      <c r="M605" s="11"/>
      <c r="N605" s="11"/>
    </row>
    <row r="606" spans="1:14" ht="45">
      <c r="A606" s="50" t="s">
        <v>2150</v>
      </c>
      <c r="B606" s="11" t="s">
        <v>2151</v>
      </c>
      <c r="C606" s="11" t="s">
        <v>2152</v>
      </c>
      <c r="D606" s="11" t="s">
        <v>2153</v>
      </c>
      <c r="E606" s="4" t="s">
        <v>166</v>
      </c>
      <c r="F606" s="4" t="s">
        <v>2154</v>
      </c>
      <c r="G606" s="4" t="s">
        <v>463</v>
      </c>
      <c r="H606" s="4" t="s">
        <v>34</v>
      </c>
      <c r="I606" s="6">
        <v>7907.8</v>
      </c>
      <c r="J606" s="4" t="s">
        <v>18</v>
      </c>
      <c r="K606" s="6" t="s">
        <v>18</v>
      </c>
      <c r="L606" s="25" t="s">
        <v>18</v>
      </c>
      <c r="M606" s="11"/>
      <c r="N606" s="11"/>
    </row>
    <row r="607" spans="1:14" ht="45">
      <c r="A607" s="50" t="s">
        <v>2155</v>
      </c>
      <c r="B607" s="11" t="s">
        <v>2151</v>
      </c>
      <c r="C607" s="11" t="s">
        <v>2152</v>
      </c>
      <c r="D607" s="11" t="s">
        <v>2153</v>
      </c>
      <c r="E607" s="4" t="s">
        <v>166</v>
      </c>
      <c r="F607" s="4" t="s">
        <v>2156</v>
      </c>
      <c r="G607" s="4" t="s">
        <v>463</v>
      </c>
      <c r="H607" s="4" t="s">
        <v>34</v>
      </c>
      <c r="I607" s="6">
        <v>36349.9</v>
      </c>
      <c r="J607" s="4" t="s">
        <v>18</v>
      </c>
      <c r="K607" s="6" t="s">
        <v>18</v>
      </c>
      <c r="L607" s="25" t="s">
        <v>18</v>
      </c>
      <c r="M607" s="11"/>
      <c r="N607" s="11"/>
    </row>
    <row r="608" spans="1:14" ht="45">
      <c r="A608" s="50" t="s">
        <v>2157</v>
      </c>
      <c r="B608" s="11" t="s">
        <v>2151</v>
      </c>
      <c r="C608" s="11" t="s">
        <v>2152</v>
      </c>
      <c r="D608" s="11" t="s">
        <v>2153</v>
      </c>
      <c r="E608" s="4" t="s">
        <v>166</v>
      </c>
      <c r="F608" s="4" t="s">
        <v>2158</v>
      </c>
      <c r="G608" s="4" t="s">
        <v>463</v>
      </c>
      <c r="H608" s="4" t="s">
        <v>34</v>
      </c>
      <c r="I608" s="6">
        <v>140301.79999999999</v>
      </c>
      <c r="J608" s="4" t="s">
        <v>18</v>
      </c>
      <c r="K608" s="6" t="s">
        <v>18</v>
      </c>
      <c r="L608" s="25" t="s">
        <v>18</v>
      </c>
      <c r="M608" s="11"/>
      <c r="N608" s="11"/>
    </row>
    <row r="609" spans="1:14" ht="45">
      <c r="A609" s="50" t="s">
        <v>2159</v>
      </c>
      <c r="B609" s="11" t="s">
        <v>2151</v>
      </c>
      <c r="C609" s="11" t="s">
        <v>2160</v>
      </c>
      <c r="D609" s="11" t="s">
        <v>2161</v>
      </c>
      <c r="E609" s="4" t="s">
        <v>256</v>
      </c>
      <c r="F609" s="4" t="s">
        <v>2162</v>
      </c>
      <c r="G609" s="4" t="s">
        <v>687</v>
      </c>
      <c r="H609" s="4" t="s">
        <v>471</v>
      </c>
      <c r="I609" s="6">
        <v>140301.79999999999</v>
      </c>
      <c r="J609" s="4" t="s">
        <v>18</v>
      </c>
      <c r="K609" s="6" t="s">
        <v>18</v>
      </c>
      <c r="L609" s="25" t="s">
        <v>18</v>
      </c>
      <c r="M609" s="11"/>
      <c r="N609" s="11"/>
    </row>
    <row r="610" spans="1:14" ht="45">
      <c r="A610" s="50" t="s">
        <v>2163</v>
      </c>
      <c r="B610" s="11" t="s">
        <v>2151</v>
      </c>
      <c r="C610" s="11" t="s">
        <v>2160</v>
      </c>
      <c r="D610" s="11" t="s">
        <v>2161</v>
      </c>
      <c r="E610" s="4" t="s">
        <v>256</v>
      </c>
      <c r="F610" s="4" t="s">
        <v>2164</v>
      </c>
      <c r="G610" s="4" t="s">
        <v>687</v>
      </c>
      <c r="H610" s="4" t="s">
        <v>471</v>
      </c>
      <c r="I610" s="6">
        <v>36349.9</v>
      </c>
      <c r="J610" s="4" t="s">
        <v>18</v>
      </c>
      <c r="K610" s="6" t="s">
        <v>18</v>
      </c>
      <c r="L610" s="25" t="s">
        <v>18</v>
      </c>
      <c r="M610" s="11"/>
      <c r="N610" s="11"/>
    </row>
    <row r="611" spans="1:14" ht="33.75">
      <c r="A611" s="53" t="s">
        <v>2165</v>
      </c>
      <c r="B611" s="54" t="s">
        <v>2151</v>
      </c>
      <c r="C611" s="54" t="s">
        <v>2166</v>
      </c>
      <c r="D611" s="54" t="s">
        <v>2167</v>
      </c>
      <c r="E611" s="55" t="s">
        <v>71</v>
      </c>
      <c r="F611" s="55" t="s">
        <v>2168</v>
      </c>
      <c r="G611" s="55" t="s">
        <v>687</v>
      </c>
      <c r="H611" s="55" t="s">
        <v>471</v>
      </c>
      <c r="I611" s="6">
        <v>8059.7</v>
      </c>
      <c r="J611" s="4" t="s">
        <v>18</v>
      </c>
      <c r="K611" s="6" t="s">
        <v>18</v>
      </c>
      <c r="L611" s="57" t="s">
        <v>18</v>
      </c>
      <c r="M611" s="54"/>
      <c r="N611" s="54"/>
    </row>
    <row r="612" spans="1:14" ht="33.75">
      <c r="A612" s="53" t="s">
        <v>2169</v>
      </c>
      <c r="B612" s="54" t="s">
        <v>2151</v>
      </c>
      <c r="C612" s="54" t="s">
        <v>2166</v>
      </c>
      <c r="D612" s="54" t="s">
        <v>2167</v>
      </c>
      <c r="E612" s="55" t="s">
        <v>71</v>
      </c>
      <c r="F612" s="55" t="s">
        <v>2170</v>
      </c>
      <c r="G612" s="55" t="s">
        <v>687</v>
      </c>
      <c r="H612" s="55" t="s">
        <v>471</v>
      </c>
      <c r="I612" s="6">
        <v>28232.2</v>
      </c>
      <c r="J612" s="4" t="s">
        <v>18</v>
      </c>
      <c r="K612" s="6" t="s">
        <v>18</v>
      </c>
      <c r="L612" s="57" t="s">
        <v>18</v>
      </c>
      <c r="M612" s="54"/>
      <c r="N612" s="54"/>
    </row>
    <row r="613" spans="1:14" ht="22.5">
      <c r="A613" s="50" t="s">
        <v>2171</v>
      </c>
      <c r="B613" s="11" t="s">
        <v>2172</v>
      </c>
      <c r="C613" s="11" t="s">
        <v>2173</v>
      </c>
      <c r="D613" s="11" t="s">
        <v>2174</v>
      </c>
      <c r="E613" s="4" t="s">
        <v>71</v>
      </c>
      <c r="F613" s="4" t="s">
        <v>2175</v>
      </c>
      <c r="G613" s="4" t="s">
        <v>2176</v>
      </c>
      <c r="H613" s="4" t="s">
        <v>471</v>
      </c>
      <c r="I613" s="6">
        <v>47848.9</v>
      </c>
      <c r="J613" s="25" t="s">
        <v>18</v>
      </c>
      <c r="K613" s="25" t="s">
        <v>18</v>
      </c>
      <c r="L613" s="25" t="s">
        <v>18</v>
      </c>
      <c r="M613" s="11"/>
      <c r="N613" s="11" t="s">
        <v>2177</v>
      </c>
    </row>
    <row r="614" spans="1:14" ht="45">
      <c r="A614" s="50" t="s">
        <v>2178</v>
      </c>
      <c r="B614" s="11" t="s">
        <v>2179</v>
      </c>
      <c r="C614" s="11" t="s">
        <v>2180</v>
      </c>
      <c r="D614" s="11" t="s">
        <v>2181</v>
      </c>
      <c r="E614" s="4" t="s">
        <v>1403</v>
      </c>
      <c r="F614" s="4" t="s">
        <v>2182</v>
      </c>
      <c r="G614" s="4" t="s">
        <v>2053</v>
      </c>
      <c r="H614" s="4" t="s">
        <v>16</v>
      </c>
      <c r="I614" s="6">
        <v>17656</v>
      </c>
      <c r="J614" s="4" t="s">
        <v>18</v>
      </c>
      <c r="K614" s="6" t="s">
        <v>18</v>
      </c>
      <c r="L614" s="4" t="s">
        <v>18</v>
      </c>
      <c r="M614" s="11"/>
      <c r="N614" s="11"/>
    </row>
    <row r="615" spans="1:14" ht="281.25">
      <c r="A615" s="88" t="s">
        <v>2183</v>
      </c>
      <c r="B615" s="62" t="s">
        <v>2184</v>
      </c>
      <c r="C615" s="54" t="s">
        <v>2185</v>
      </c>
      <c r="D615" s="54" t="s">
        <v>2186</v>
      </c>
      <c r="E615" s="55" t="s">
        <v>281</v>
      </c>
      <c r="F615" s="110" t="s">
        <v>2187</v>
      </c>
      <c r="G615" s="110" t="s">
        <v>154</v>
      </c>
      <c r="H615" s="110" t="s">
        <v>155</v>
      </c>
      <c r="I615" s="5">
        <v>1888.8</v>
      </c>
      <c r="J615" s="7" t="s">
        <v>18</v>
      </c>
      <c r="K615" s="7" t="s">
        <v>18</v>
      </c>
      <c r="L615" s="21" t="s">
        <v>18</v>
      </c>
      <c r="M615" s="93"/>
      <c r="N615" s="93" t="s">
        <v>2177</v>
      </c>
    </row>
    <row r="616" spans="1:14" ht="180">
      <c r="A616" s="50" t="s">
        <v>2188</v>
      </c>
      <c r="B616" s="11" t="s">
        <v>2189</v>
      </c>
      <c r="C616" s="11" t="s">
        <v>2190</v>
      </c>
      <c r="D616" s="11" t="s">
        <v>2191</v>
      </c>
      <c r="E616" s="4" t="s">
        <v>2192</v>
      </c>
      <c r="F616" s="4" t="s">
        <v>2193</v>
      </c>
      <c r="G616" s="4" t="s">
        <v>283</v>
      </c>
      <c r="H616" s="4" t="s">
        <v>284</v>
      </c>
      <c r="I616" s="6">
        <v>5053.3999999999996</v>
      </c>
      <c r="J616" s="4" t="s">
        <v>18</v>
      </c>
      <c r="K616" s="6" t="s">
        <v>18</v>
      </c>
      <c r="L616" s="4" t="s">
        <v>18</v>
      </c>
      <c r="M616" s="11"/>
      <c r="N616" s="84" t="s">
        <v>2177</v>
      </c>
    </row>
    <row r="617" spans="1:14" ht="101.25">
      <c r="A617" s="50" t="s">
        <v>2194</v>
      </c>
      <c r="B617" s="11" t="s">
        <v>2195</v>
      </c>
      <c r="C617" s="11" t="s">
        <v>2190</v>
      </c>
      <c r="D617" s="11" t="s">
        <v>2196</v>
      </c>
      <c r="E617" s="4" t="s">
        <v>2192</v>
      </c>
      <c r="F617" s="4" t="s">
        <v>2197</v>
      </c>
      <c r="G617" s="4" t="s">
        <v>2198</v>
      </c>
      <c r="H617" s="4" t="s">
        <v>284</v>
      </c>
      <c r="I617" s="6">
        <v>5197.7</v>
      </c>
      <c r="J617" s="4" t="s">
        <v>18</v>
      </c>
      <c r="K617" s="6" t="s">
        <v>18</v>
      </c>
      <c r="L617" s="4" t="s">
        <v>18</v>
      </c>
      <c r="M617" s="11"/>
      <c r="N617" s="84" t="s">
        <v>2177</v>
      </c>
    </row>
    <row r="618" spans="1:14" ht="33.75">
      <c r="A618" s="50" t="s">
        <v>2199</v>
      </c>
      <c r="B618" s="11" t="s">
        <v>2200</v>
      </c>
      <c r="C618" s="11" t="s">
        <v>2201</v>
      </c>
      <c r="D618" s="11" t="s">
        <v>2202</v>
      </c>
      <c r="E618" s="4" t="s">
        <v>1403</v>
      </c>
      <c r="F618" s="4" t="s">
        <v>2203</v>
      </c>
      <c r="G618" s="4" t="s">
        <v>2053</v>
      </c>
      <c r="H618" s="4" t="s">
        <v>16</v>
      </c>
      <c r="I618" s="6">
        <v>2328.6</v>
      </c>
      <c r="J618" s="4" t="s">
        <v>18</v>
      </c>
      <c r="K618" s="6" t="s">
        <v>18</v>
      </c>
      <c r="L618" s="25" t="s">
        <v>18</v>
      </c>
      <c r="M618" s="11"/>
      <c r="N618" s="11" t="s">
        <v>2177</v>
      </c>
    </row>
    <row r="619" spans="1:14" ht="45">
      <c r="A619" s="50" t="s">
        <v>2204</v>
      </c>
      <c r="B619" s="11" t="s">
        <v>2205</v>
      </c>
      <c r="C619" s="11" t="s">
        <v>2206</v>
      </c>
      <c r="D619" s="11" t="s">
        <v>2207</v>
      </c>
      <c r="E619" s="4" t="s">
        <v>1403</v>
      </c>
      <c r="F619" s="4" t="s">
        <v>2208</v>
      </c>
      <c r="G619" s="4" t="s">
        <v>2053</v>
      </c>
      <c r="H619" s="4" t="s">
        <v>16</v>
      </c>
      <c r="I619" s="16">
        <v>7141.3</v>
      </c>
      <c r="J619" s="4" t="s">
        <v>18</v>
      </c>
      <c r="K619" s="6" t="s">
        <v>18</v>
      </c>
      <c r="L619" s="25" t="s">
        <v>18</v>
      </c>
      <c r="M619" s="11"/>
      <c r="N619" s="11" t="s">
        <v>2177</v>
      </c>
    </row>
    <row r="620" spans="1:14" ht="33.75">
      <c r="A620" s="50" t="s">
        <v>2209</v>
      </c>
      <c r="B620" s="11" t="s">
        <v>2205</v>
      </c>
      <c r="C620" s="11" t="s">
        <v>2210</v>
      </c>
      <c r="D620" s="11" t="s">
        <v>2211</v>
      </c>
      <c r="E620" s="4" t="s">
        <v>1403</v>
      </c>
      <c r="F620" s="4" t="s">
        <v>2212</v>
      </c>
      <c r="G620" s="4" t="s">
        <v>2053</v>
      </c>
      <c r="H620" s="4" t="s">
        <v>16</v>
      </c>
      <c r="I620" s="6">
        <v>14851</v>
      </c>
      <c r="J620" s="4" t="s">
        <v>18</v>
      </c>
      <c r="K620" s="6" t="s">
        <v>18</v>
      </c>
      <c r="L620" s="25" t="s">
        <v>18</v>
      </c>
      <c r="M620" s="11"/>
      <c r="N620" s="11" t="s">
        <v>2177</v>
      </c>
    </row>
    <row r="621" spans="1:14" ht="33.75">
      <c r="A621" s="50" t="s">
        <v>2213</v>
      </c>
      <c r="B621" s="11" t="s">
        <v>2214</v>
      </c>
      <c r="C621" s="11" t="s">
        <v>2215</v>
      </c>
      <c r="D621" s="11" t="s">
        <v>2216</v>
      </c>
      <c r="E621" s="4" t="s">
        <v>1360</v>
      </c>
      <c r="F621" s="4" t="s">
        <v>2217</v>
      </c>
      <c r="G621" s="4" t="s">
        <v>2053</v>
      </c>
      <c r="H621" s="4" t="s">
        <v>16</v>
      </c>
      <c r="I621" s="6">
        <v>6251.4</v>
      </c>
      <c r="J621" s="4" t="s">
        <v>18</v>
      </c>
      <c r="K621" s="6" t="s">
        <v>18</v>
      </c>
      <c r="L621" s="25" t="s">
        <v>18</v>
      </c>
      <c r="M621" s="11"/>
      <c r="N621" s="11" t="s">
        <v>2177</v>
      </c>
    </row>
    <row r="622" spans="1:14" ht="78.75">
      <c r="A622" s="111" t="s">
        <v>2220</v>
      </c>
      <c r="B622" s="84" t="s">
        <v>2218</v>
      </c>
      <c r="C622" s="84" t="s">
        <v>2221</v>
      </c>
      <c r="D622" s="112" t="s">
        <v>2222</v>
      </c>
      <c r="E622" s="113" t="s">
        <v>2192</v>
      </c>
      <c r="F622" s="113" t="s">
        <v>2223</v>
      </c>
      <c r="G622" s="114" t="s">
        <v>3822</v>
      </c>
      <c r="H622" s="114" t="s">
        <v>2275</v>
      </c>
      <c r="I622" s="6">
        <v>1167</v>
      </c>
      <c r="J622" s="4" t="s">
        <v>18</v>
      </c>
      <c r="K622" s="6" t="s">
        <v>18</v>
      </c>
      <c r="L622" s="4" t="s">
        <v>18</v>
      </c>
      <c r="M622" s="14"/>
      <c r="N622" s="11" t="s">
        <v>2177</v>
      </c>
    </row>
    <row r="623" spans="1:14" ht="56.25">
      <c r="A623" s="71" t="s">
        <v>2224</v>
      </c>
      <c r="B623" s="72" t="s">
        <v>2218</v>
      </c>
      <c r="C623" s="72" t="s">
        <v>2225</v>
      </c>
      <c r="D623" s="115" t="s">
        <v>2226</v>
      </c>
      <c r="E623" s="35" t="s">
        <v>2192</v>
      </c>
      <c r="F623" s="35" t="s">
        <v>2227</v>
      </c>
      <c r="G623" s="35" t="s">
        <v>2219</v>
      </c>
      <c r="H623" s="35" t="s">
        <v>155</v>
      </c>
      <c r="I623" s="6">
        <v>1203.0999999999999</v>
      </c>
      <c r="J623" s="4" t="s">
        <v>18</v>
      </c>
      <c r="K623" s="4" t="s">
        <v>18</v>
      </c>
      <c r="L623" s="4" t="s">
        <v>18</v>
      </c>
      <c r="M623" s="14"/>
      <c r="N623" s="11" t="s">
        <v>2177</v>
      </c>
    </row>
    <row r="624" spans="1:14" ht="56.25">
      <c r="A624" s="71" t="s">
        <v>2228</v>
      </c>
      <c r="B624" s="72" t="s">
        <v>2218</v>
      </c>
      <c r="C624" s="72" t="s">
        <v>2225</v>
      </c>
      <c r="D624" s="115" t="s">
        <v>2226</v>
      </c>
      <c r="E624" s="35" t="s">
        <v>2192</v>
      </c>
      <c r="F624" s="35" t="s">
        <v>2229</v>
      </c>
      <c r="G624" s="35" t="s">
        <v>2219</v>
      </c>
      <c r="H624" s="35" t="s">
        <v>155</v>
      </c>
      <c r="I624" s="6">
        <v>9785.5</v>
      </c>
      <c r="J624" s="4" t="s">
        <v>18</v>
      </c>
      <c r="K624" s="4" t="s">
        <v>18</v>
      </c>
      <c r="L624" s="4" t="s">
        <v>18</v>
      </c>
      <c r="M624" s="14"/>
      <c r="N624" s="11" t="s">
        <v>2177</v>
      </c>
    </row>
    <row r="625" spans="1:14" ht="56.25">
      <c r="A625" s="51" t="s">
        <v>2230</v>
      </c>
      <c r="B625" s="107" t="s">
        <v>2218</v>
      </c>
      <c r="C625" s="107" t="s">
        <v>2231</v>
      </c>
      <c r="D625" s="107" t="s">
        <v>2232</v>
      </c>
      <c r="E625" s="108" t="s">
        <v>2192</v>
      </c>
      <c r="F625" s="108" t="s">
        <v>2233</v>
      </c>
      <c r="G625" s="108" t="s">
        <v>2234</v>
      </c>
      <c r="H625" s="108" t="s">
        <v>16</v>
      </c>
      <c r="I625" s="8">
        <v>730</v>
      </c>
      <c r="J625" s="4" t="s">
        <v>18</v>
      </c>
      <c r="K625" s="38" t="s">
        <v>18</v>
      </c>
      <c r="L625" s="38" t="s">
        <v>18</v>
      </c>
      <c r="M625" s="84"/>
      <c r="N625" s="84" t="s">
        <v>2177</v>
      </c>
    </row>
    <row r="626" spans="1:14" ht="33.75">
      <c r="A626" s="59" t="s">
        <v>2235</v>
      </c>
      <c r="B626" s="60" t="s">
        <v>2236</v>
      </c>
      <c r="C626" s="60" t="s">
        <v>2237</v>
      </c>
      <c r="D626" s="60" t="s">
        <v>2238</v>
      </c>
      <c r="E626" s="41" t="s">
        <v>1403</v>
      </c>
      <c r="F626" s="41" t="s">
        <v>2239</v>
      </c>
      <c r="G626" s="41" t="s">
        <v>2240</v>
      </c>
      <c r="H626" s="41" t="s">
        <v>284</v>
      </c>
      <c r="I626" s="6">
        <v>78590</v>
      </c>
      <c r="J626" s="4" t="s">
        <v>18</v>
      </c>
      <c r="K626" s="4" t="s">
        <v>18</v>
      </c>
      <c r="L626" s="25" t="s">
        <v>18</v>
      </c>
      <c r="M626" s="14"/>
      <c r="N626" s="11" t="s">
        <v>2177</v>
      </c>
    </row>
    <row r="627" spans="1:14" ht="33.75">
      <c r="A627" s="71" t="s">
        <v>2241</v>
      </c>
      <c r="B627" s="72" t="s">
        <v>2236</v>
      </c>
      <c r="C627" s="72" t="s">
        <v>2242</v>
      </c>
      <c r="D627" s="72" t="s">
        <v>2238</v>
      </c>
      <c r="E627" s="35" t="s">
        <v>1403</v>
      </c>
      <c r="F627" s="35" t="s">
        <v>2243</v>
      </c>
      <c r="G627" s="35" t="s">
        <v>2198</v>
      </c>
      <c r="H627" s="35" t="s">
        <v>284</v>
      </c>
      <c r="I627" s="6">
        <v>50370</v>
      </c>
      <c r="J627" s="4" t="s">
        <v>18</v>
      </c>
      <c r="K627" s="4" t="s">
        <v>18</v>
      </c>
      <c r="L627" s="25" t="s">
        <v>18</v>
      </c>
      <c r="M627" s="14"/>
      <c r="N627" s="11" t="s">
        <v>2177</v>
      </c>
    </row>
    <row r="628" spans="1:14" ht="33.75">
      <c r="A628" s="50" t="s">
        <v>2244</v>
      </c>
      <c r="B628" s="11" t="s">
        <v>2236</v>
      </c>
      <c r="C628" s="11" t="s">
        <v>2237</v>
      </c>
      <c r="D628" s="11" t="s">
        <v>2245</v>
      </c>
      <c r="E628" s="4" t="s">
        <v>1403</v>
      </c>
      <c r="F628" s="4" t="s">
        <v>2246</v>
      </c>
      <c r="G628" s="4" t="s">
        <v>2247</v>
      </c>
      <c r="H628" s="4" t="s">
        <v>2248</v>
      </c>
      <c r="I628" s="6">
        <v>788.7</v>
      </c>
      <c r="J628" s="4" t="s">
        <v>18</v>
      </c>
      <c r="K628" s="6" t="s">
        <v>18</v>
      </c>
      <c r="L628" s="25" t="s">
        <v>18</v>
      </c>
      <c r="M628" s="11"/>
      <c r="N628" s="11" t="s">
        <v>2177</v>
      </c>
    </row>
    <row r="629" spans="1:14" ht="33.75">
      <c r="A629" s="50" t="s">
        <v>2249</v>
      </c>
      <c r="B629" s="11" t="s">
        <v>2236</v>
      </c>
      <c r="C629" s="11" t="s">
        <v>2237</v>
      </c>
      <c r="D629" s="11" t="s">
        <v>2245</v>
      </c>
      <c r="E629" s="4" t="s">
        <v>1403</v>
      </c>
      <c r="F629" s="4" t="s">
        <v>2250</v>
      </c>
      <c r="G629" s="4" t="s">
        <v>2247</v>
      </c>
      <c r="H629" s="4" t="s">
        <v>2248</v>
      </c>
      <c r="I629" s="6">
        <v>505.5</v>
      </c>
      <c r="J629" s="4" t="s">
        <v>18</v>
      </c>
      <c r="K629" s="6" t="s">
        <v>18</v>
      </c>
      <c r="L629" s="25" t="s">
        <v>18</v>
      </c>
      <c r="M629" s="11"/>
      <c r="N629" s="11" t="s">
        <v>2177</v>
      </c>
    </row>
    <row r="630" spans="1:14" ht="33.75">
      <c r="A630" s="50" t="s">
        <v>2251</v>
      </c>
      <c r="B630" s="11" t="s">
        <v>2236</v>
      </c>
      <c r="C630" s="11" t="s">
        <v>2237</v>
      </c>
      <c r="D630" s="11" t="s">
        <v>2245</v>
      </c>
      <c r="E630" s="4" t="s">
        <v>1403</v>
      </c>
      <c r="F630" s="4" t="s">
        <v>2252</v>
      </c>
      <c r="G630" s="4" t="s">
        <v>2247</v>
      </c>
      <c r="H630" s="4" t="s">
        <v>2248</v>
      </c>
      <c r="I630" s="6">
        <v>5055.1000000000004</v>
      </c>
      <c r="J630" s="4" t="s">
        <v>18</v>
      </c>
      <c r="K630" s="6" t="s">
        <v>18</v>
      </c>
      <c r="L630" s="25" t="s">
        <v>18</v>
      </c>
      <c r="M630" s="11"/>
      <c r="N630" s="11" t="s">
        <v>2177</v>
      </c>
    </row>
    <row r="631" spans="1:14" ht="33.75">
      <c r="A631" s="50" t="s">
        <v>2253</v>
      </c>
      <c r="B631" s="11" t="s">
        <v>2236</v>
      </c>
      <c r="C631" s="11" t="s">
        <v>2237</v>
      </c>
      <c r="D631" s="11" t="s">
        <v>2245</v>
      </c>
      <c r="E631" s="4" t="s">
        <v>1403</v>
      </c>
      <c r="F631" s="4" t="s">
        <v>2254</v>
      </c>
      <c r="G631" s="4" t="s">
        <v>2247</v>
      </c>
      <c r="H631" s="4" t="s">
        <v>2248</v>
      </c>
      <c r="I631" s="6">
        <v>7887.2</v>
      </c>
      <c r="J631" s="4" t="s">
        <v>18</v>
      </c>
      <c r="K631" s="4" t="s">
        <v>18</v>
      </c>
      <c r="L631" s="25" t="s">
        <v>18</v>
      </c>
      <c r="M631" s="11"/>
      <c r="N631" s="11" t="s">
        <v>2177</v>
      </c>
    </row>
    <row r="632" spans="1:14" ht="78.75">
      <c r="A632" s="11" t="s">
        <v>2255</v>
      </c>
      <c r="B632" s="11" t="s">
        <v>2256</v>
      </c>
      <c r="C632" s="11" t="s">
        <v>2257</v>
      </c>
      <c r="D632" s="11" t="s">
        <v>2258</v>
      </c>
      <c r="E632" s="4" t="s">
        <v>345</v>
      </c>
      <c r="F632" s="4" t="s">
        <v>2259</v>
      </c>
      <c r="G632" s="4" t="s">
        <v>2198</v>
      </c>
      <c r="H632" s="4" t="s">
        <v>284</v>
      </c>
      <c r="I632" s="6">
        <v>1015.1</v>
      </c>
      <c r="J632" s="25" t="s">
        <v>18</v>
      </c>
      <c r="K632" s="6" t="s">
        <v>18</v>
      </c>
      <c r="L632" s="6" t="s">
        <v>18</v>
      </c>
      <c r="M632" s="11"/>
      <c r="N632" s="11" t="s">
        <v>2177</v>
      </c>
    </row>
    <row r="633" spans="1:14" ht="90">
      <c r="A633" s="50" t="s">
        <v>2260</v>
      </c>
      <c r="B633" s="11" t="s">
        <v>2256</v>
      </c>
      <c r="C633" s="11" t="s">
        <v>2261</v>
      </c>
      <c r="D633" s="11" t="s">
        <v>2258</v>
      </c>
      <c r="E633" s="4" t="s">
        <v>345</v>
      </c>
      <c r="F633" s="4" t="s">
        <v>2262</v>
      </c>
      <c r="G633" s="4" t="s">
        <v>2198</v>
      </c>
      <c r="H633" s="4" t="s">
        <v>284</v>
      </c>
      <c r="I633" s="6">
        <v>101510</v>
      </c>
      <c r="J633" s="25" t="s">
        <v>18</v>
      </c>
      <c r="K633" s="6" t="s">
        <v>18</v>
      </c>
      <c r="L633" s="6" t="s">
        <v>18</v>
      </c>
      <c r="M633" s="11"/>
      <c r="N633" s="11" t="s">
        <v>2177</v>
      </c>
    </row>
    <row r="634" spans="1:14" ht="78.75">
      <c r="A634" s="50" t="s">
        <v>2263</v>
      </c>
      <c r="B634" s="11" t="s">
        <v>2256</v>
      </c>
      <c r="C634" s="11" t="s">
        <v>2264</v>
      </c>
      <c r="D634" s="11" t="s">
        <v>2265</v>
      </c>
      <c r="E634" s="4" t="s">
        <v>2266</v>
      </c>
      <c r="F634" s="4" t="s">
        <v>2267</v>
      </c>
      <c r="G634" s="4" t="s">
        <v>154</v>
      </c>
      <c r="H634" s="4" t="s">
        <v>155</v>
      </c>
      <c r="I634" s="6">
        <v>13125.6</v>
      </c>
      <c r="J634" s="25" t="s">
        <v>18</v>
      </c>
      <c r="K634" s="6" t="s">
        <v>18</v>
      </c>
      <c r="L634" s="6" t="s">
        <v>18</v>
      </c>
      <c r="M634" s="11"/>
      <c r="N634" s="11" t="s">
        <v>2177</v>
      </c>
    </row>
    <row r="635" spans="1:14" ht="56.25">
      <c r="A635" s="50" t="s">
        <v>2268</v>
      </c>
      <c r="B635" s="11" t="s">
        <v>2269</v>
      </c>
      <c r="C635" s="11" t="s">
        <v>2270</v>
      </c>
      <c r="D635" s="11" t="s">
        <v>2271</v>
      </c>
      <c r="E635" s="4" t="s">
        <v>2192</v>
      </c>
      <c r="F635" s="4" t="s">
        <v>2272</v>
      </c>
      <c r="G635" s="4" t="s">
        <v>3688</v>
      </c>
      <c r="H635" s="4" t="s">
        <v>2273</v>
      </c>
      <c r="I635" s="6">
        <v>665</v>
      </c>
      <c r="J635" s="4" t="s">
        <v>18</v>
      </c>
      <c r="K635" s="6" t="s">
        <v>18</v>
      </c>
      <c r="L635" s="25" t="s">
        <v>18</v>
      </c>
      <c r="M635" s="11"/>
      <c r="N635" s="11" t="s">
        <v>2177</v>
      </c>
    </row>
    <row r="636" spans="1:14" ht="56.25">
      <c r="A636" s="53" t="s">
        <v>2276</v>
      </c>
      <c r="B636" s="54" t="s">
        <v>2277</v>
      </c>
      <c r="C636" s="54" t="s">
        <v>2278</v>
      </c>
      <c r="D636" s="54" t="s">
        <v>2279</v>
      </c>
      <c r="E636" s="55" t="s">
        <v>345</v>
      </c>
      <c r="F636" s="55" t="s">
        <v>2280</v>
      </c>
      <c r="G636" s="55" t="s">
        <v>2198</v>
      </c>
      <c r="H636" s="55" t="s">
        <v>284</v>
      </c>
      <c r="I636" s="6">
        <v>2848.3</v>
      </c>
      <c r="J636" s="7" t="s">
        <v>18</v>
      </c>
      <c r="K636" s="4" t="s">
        <v>18</v>
      </c>
      <c r="L636" s="30" t="s">
        <v>18</v>
      </c>
      <c r="M636" s="54"/>
      <c r="N636" s="54" t="s">
        <v>2177</v>
      </c>
    </row>
    <row r="637" spans="1:14" ht="56.25">
      <c r="A637" s="51" t="s">
        <v>2281</v>
      </c>
      <c r="B637" s="13" t="s">
        <v>2277</v>
      </c>
      <c r="C637" s="13" t="s">
        <v>3535</v>
      </c>
      <c r="D637" s="13" t="s">
        <v>2282</v>
      </c>
      <c r="E637" s="17" t="s">
        <v>2274</v>
      </c>
      <c r="F637" s="17" t="s">
        <v>2283</v>
      </c>
      <c r="G637" s="17" t="s">
        <v>2284</v>
      </c>
      <c r="H637" s="17" t="s">
        <v>155</v>
      </c>
      <c r="I637" s="8">
        <v>3399</v>
      </c>
      <c r="J637" s="17" t="s">
        <v>18</v>
      </c>
      <c r="K637" s="17" t="s">
        <v>18</v>
      </c>
      <c r="L637" s="25" t="s">
        <v>18</v>
      </c>
      <c r="M637" s="11"/>
      <c r="N637" s="11" t="s">
        <v>2177</v>
      </c>
    </row>
    <row r="638" spans="1:14" ht="123.75">
      <c r="A638" s="53" t="s">
        <v>2285</v>
      </c>
      <c r="B638" s="54" t="s">
        <v>2286</v>
      </c>
      <c r="C638" s="54" t="s">
        <v>2287</v>
      </c>
      <c r="D638" s="54" t="s">
        <v>2288</v>
      </c>
      <c r="E638" s="55" t="s">
        <v>2192</v>
      </c>
      <c r="F638" s="55" t="s">
        <v>2289</v>
      </c>
      <c r="G638" s="55" t="s">
        <v>154</v>
      </c>
      <c r="H638" s="55" t="s">
        <v>155</v>
      </c>
      <c r="I638" s="6">
        <v>11904.7</v>
      </c>
      <c r="J638" s="4" t="s">
        <v>18</v>
      </c>
      <c r="K638" s="6" t="s">
        <v>18</v>
      </c>
      <c r="L638" s="6" t="s">
        <v>18</v>
      </c>
      <c r="M638" s="11" t="s">
        <v>2290</v>
      </c>
      <c r="N638" s="79"/>
    </row>
    <row r="639" spans="1:14" ht="112.5">
      <c r="A639" s="53" t="s">
        <v>2291</v>
      </c>
      <c r="B639" s="54" t="s">
        <v>2292</v>
      </c>
      <c r="C639" s="54" t="s">
        <v>2293</v>
      </c>
      <c r="D639" s="54" t="s">
        <v>2294</v>
      </c>
      <c r="E639" s="55" t="s">
        <v>2192</v>
      </c>
      <c r="F639" s="55" t="s">
        <v>2295</v>
      </c>
      <c r="G639" s="114" t="s">
        <v>3689</v>
      </c>
      <c r="H639" s="114" t="s">
        <v>2275</v>
      </c>
      <c r="I639" s="6">
        <v>1693.9</v>
      </c>
      <c r="J639" s="4" t="s">
        <v>18</v>
      </c>
      <c r="K639" s="6" t="s">
        <v>18</v>
      </c>
      <c r="L639" s="55" t="s">
        <v>18</v>
      </c>
      <c r="M639" s="54"/>
      <c r="N639" s="54" t="s">
        <v>2177</v>
      </c>
    </row>
    <row r="640" spans="1:14" ht="123.75">
      <c r="A640" s="50" t="s">
        <v>2296</v>
      </c>
      <c r="B640" s="11" t="s">
        <v>2297</v>
      </c>
      <c r="C640" s="11" t="s">
        <v>2298</v>
      </c>
      <c r="D640" s="11" t="s">
        <v>2299</v>
      </c>
      <c r="E640" s="4" t="s">
        <v>2300</v>
      </c>
      <c r="F640" s="4" t="s">
        <v>2301</v>
      </c>
      <c r="G640" s="4" t="s">
        <v>2198</v>
      </c>
      <c r="H640" s="4" t="s">
        <v>284</v>
      </c>
      <c r="I640" s="6">
        <v>2162.6999999999998</v>
      </c>
      <c r="J640" s="4" t="s">
        <v>18</v>
      </c>
      <c r="K640" s="6" t="s">
        <v>18</v>
      </c>
      <c r="L640" s="4" t="s">
        <v>18</v>
      </c>
      <c r="M640" s="11"/>
      <c r="N640" s="11" t="s">
        <v>2177</v>
      </c>
    </row>
    <row r="641" spans="1:14" ht="123.75">
      <c r="A641" s="50" t="s">
        <v>2302</v>
      </c>
      <c r="B641" s="11" t="s">
        <v>2297</v>
      </c>
      <c r="C641" s="11" t="s">
        <v>2303</v>
      </c>
      <c r="D641" s="11" t="s">
        <v>2304</v>
      </c>
      <c r="E641" s="4" t="s">
        <v>2305</v>
      </c>
      <c r="F641" s="4" t="s">
        <v>2306</v>
      </c>
      <c r="G641" s="4" t="s">
        <v>3692</v>
      </c>
      <c r="H641" s="4" t="s">
        <v>3693</v>
      </c>
      <c r="I641" s="6">
        <v>2181.4</v>
      </c>
      <c r="J641" s="4" t="s">
        <v>18</v>
      </c>
      <c r="K641" s="6" t="s">
        <v>18</v>
      </c>
      <c r="L641" s="4" t="s">
        <v>18</v>
      </c>
      <c r="M641" s="11"/>
      <c r="N641" s="11" t="s">
        <v>2177</v>
      </c>
    </row>
    <row r="642" spans="1:14" ht="22.5">
      <c r="A642" s="50" t="s">
        <v>2307</v>
      </c>
      <c r="B642" s="11" t="s">
        <v>2308</v>
      </c>
      <c r="C642" s="11" t="s">
        <v>2309</v>
      </c>
      <c r="D642" s="11" t="s">
        <v>2310</v>
      </c>
      <c r="E642" s="4" t="s">
        <v>32</v>
      </c>
      <c r="F642" s="4" t="s">
        <v>1591</v>
      </c>
      <c r="G642" s="4" t="s">
        <v>2311</v>
      </c>
      <c r="H642" s="4" t="s">
        <v>34</v>
      </c>
      <c r="I642" s="33">
        <v>580.4</v>
      </c>
      <c r="J642" s="6" t="s">
        <v>18</v>
      </c>
      <c r="K642" s="6" t="s">
        <v>18</v>
      </c>
      <c r="L642" s="6" t="s">
        <v>18</v>
      </c>
      <c r="M642" s="11"/>
      <c r="N642" s="11"/>
    </row>
    <row r="643" spans="1:14" ht="22.5">
      <c r="A643" s="50" t="s">
        <v>2312</v>
      </c>
      <c r="B643" s="11" t="s">
        <v>2308</v>
      </c>
      <c r="C643" s="11" t="s">
        <v>2309</v>
      </c>
      <c r="D643" s="11" t="s">
        <v>2310</v>
      </c>
      <c r="E643" s="4" t="s">
        <v>32</v>
      </c>
      <c r="F643" s="4" t="s">
        <v>1594</v>
      </c>
      <c r="G643" s="4" t="s">
        <v>2311</v>
      </c>
      <c r="H643" s="4" t="s">
        <v>34</v>
      </c>
      <c r="I643" s="33">
        <v>980.3</v>
      </c>
      <c r="J643" s="6" t="s">
        <v>18</v>
      </c>
      <c r="K643" s="6" t="s">
        <v>18</v>
      </c>
      <c r="L643" s="6" t="s">
        <v>18</v>
      </c>
      <c r="M643" s="11"/>
      <c r="N643" s="11"/>
    </row>
    <row r="644" spans="1:14" ht="22.5">
      <c r="A644" s="50" t="s">
        <v>2313</v>
      </c>
      <c r="B644" s="11" t="s">
        <v>2314</v>
      </c>
      <c r="C644" s="11" t="s">
        <v>2315</v>
      </c>
      <c r="D644" s="11" t="s">
        <v>2316</v>
      </c>
      <c r="E644" s="4" t="s">
        <v>32</v>
      </c>
      <c r="F644" s="4" t="s">
        <v>1594</v>
      </c>
      <c r="G644" s="4" t="s">
        <v>2311</v>
      </c>
      <c r="H644" s="4" t="s">
        <v>34</v>
      </c>
      <c r="I644" s="33">
        <v>2654.2</v>
      </c>
      <c r="J644" s="6" t="s">
        <v>18</v>
      </c>
      <c r="K644" s="6" t="s">
        <v>18</v>
      </c>
      <c r="L644" s="6" t="s">
        <v>18</v>
      </c>
      <c r="M644" s="11"/>
      <c r="N644" s="11"/>
    </row>
    <row r="645" spans="1:14" s="52" customFormat="1" ht="180">
      <c r="A645" s="61" t="s">
        <v>2317</v>
      </c>
      <c r="B645" s="12" t="s">
        <v>2318</v>
      </c>
      <c r="C645" s="11" t="s">
        <v>2319</v>
      </c>
      <c r="D645" s="11" t="s">
        <v>2320</v>
      </c>
      <c r="E645" s="4" t="s">
        <v>1655</v>
      </c>
      <c r="F645" s="95" t="s">
        <v>2321</v>
      </c>
      <c r="G645" s="95" t="s">
        <v>2322</v>
      </c>
      <c r="H645" s="95" t="s">
        <v>2323</v>
      </c>
      <c r="I645" s="5">
        <v>4104.7</v>
      </c>
      <c r="J645" s="6" t="s">
        <v>18</v>
      </c>
      <c r="K645" s="5" t="s">
        <v>18</v>
      </c>
      <c r="L645" s="7" t="s">
        <v>18</v>
      </c>
      <c r="M645" s="11" t="s">
        <v>2324</v>
      </c>
      <c r="N645" s="11" t="s">
        <v>3882</v>
      </c>
    </row>
    <row r="646" spans="1:14" s="52" customFormat="1" ht="180">
      <c r="A646" s="61" t="s">
        <v>2326</v>
      </c>
      <c r="B646" s="12" t="s">
        <v>2318</v>
      </c>
      <c r="C646" s="11" t="s">
        <v>2319</v>
      </c>
      <c r="D646" s="11" t="s">
        <v>2320</v>
      </c>
      <c r="E646" s="4" t="s">
        <v>1655</v>
      </c>
      <c r="F646" s="95" t="s">
        <v>2327</v>
      </c>
      <c r="G646" s="95" t="s">
        <v>2322</v>
      </c>
      <c r="H646" s="95" t="s">
        <v>2323</v>
      </c>
      <c r="I646" s="5">
        <v>16603.3</v>
      </c>
      <c r="J646" s="6" t="s">
        <v>18</v>
      </c>
      <c r="K646" s="5" t="s">
        <v>18</v>
      </c>
      <c r="L646" s="7" t="s">
        <v>18</v>
      </c>
      <c r="M646" s="11" t="s">
        <v>2324</v>
      </c>
      <c r="N646" s="11" t="s">
        <v>3882</v>
      </c>
    </row>
    <row r="647" spans="1:14" s="52" customFormat="1" ht="180">
      <c r="A647" s="61" t="s">
        <v>2328</v>
      </c>
      <c r="B647" s="12" t="s">
        <v>2318</v>
      </c>
      <c r="C647" s="11" t="s">
        <v>2319</v>
      </c>
      <c r="D647" s="11" t="s">
        <v>2329</v>
      </c>
      <c r="E647" s="4" t="s">
        <v>1655</v>
      </c>
      <c r="F647" s="95" t="s">
        <v>2325</v>
      </c>
      <c r="G647" s="95" t="s">
        <v>2330</v>
      </c>
      <c r="H647" s="95" t="s">
        <v>2331</v>
      </c>
      <c r="I647" s="5">
        <v>12198.3</v>
      </c>
      <c r="J647" s="6" t="s">
        <v>18</v>
      </c>
      <c r="K647" s="5" t="s">
        <v>18</v>
      </c>
      <c r="L647" s="7" t="s">
        <v>18</v>
      </c>
      <c r="M647" s="11" t="s">
        <v>2324</v>
      </c>
      <c r="N647" s="11" t="s">
        <v>3882</v>
      </c>
    </row>
    <row r="648" spans="1:14" s="52" customFormat="1" ht="180">
      <c r="A648" s="61" t="s">
        <v>2332</v>
      </c>
      <c r="B648" s="12" t="s">
        <v>2318</v>
      </c>
      <c r="C648" s="11" t="s">
        <v>2319</v>
      </c>
      <c r="D648" s="11" t="s">
        <v>2329</v>
      </c>
      <c r="E648" s="4" t="s">
        <v>1655</v>
      </c>
      <c r="F648" s="95" t="s">
        <v>2333</v>
      </c>
      <c r="G648" s="95" t="s">
        <v>2330</v>
      </c>
      <c r="H648" s="95" t="s">
        <v>2331</v>
      </c>
      <c r="I648" s="5">
        <v>48768.5</v>
      </c>
      <c r="J648" s="6" t="s">
        <v>18</v>
      </c>
      <c r="K648" s="5" t="s">
        <v>18</v>
      </c>
      <c r="L648" s="7" t="s">
        <v>18</v>
      </c>
      <c r="M648" s="11" t="s">
        <v>2324</v>
      </c>
      <c r="N648" s="11" t="s">
        <v>3882</v>
      </c>
    </row>
    <row r="649" spans="1:14" s="52" customFormat="1" ht="180">
      <c r="A649" s="50" t="s">
        <v>2334</v>
      </c>
      <c r="B649" s="13" t="s">
        <v>2318</v>
      </c>
      <c r="C649" s="11" t="s">
        <v>2319</v>
      </c>
      <c r="D649" s="11" t="s">
        <v>2335</v>
      </c>
      <c r="E649" s="4" t="s">
        <v>1655</v>
      </c>
      <c r="F649" s="4" t="s">
        <v>2325</v>
      </c>
      <c r="G649" s="4" t="s">
        <v>400</v>
      </c>
      <c r="H649" s="4" t="s">
        <v>205</v>
      </c>
      <c r="I649" s="6">
        <v>12198.3</v>
      </c>
      <c r="J649" s="6" t="s">
        <v>18</v>
      </c>
      <c r="K649" s="6" t="s">
        <v>18</v>
      </c>
      <c r="L649" s="7" t="s">
        <v>18</v>
      </c>
      <c r="M649" s="11" t="s">
        <v>2324</v>
      </c>
      <c r="N649" s="11" t="s">
        <v>3882</v>
      </c>
    </row>
    <row r="650" spans="1:14" s="52" customFormat="1" ht="180">
      <c r="A650" s="50" t="s">
        <v>2336</v>
      </c>
      <c r="B650" s="13" t="s">
        <v>2318</v>
      </c>
      <c r="C650" s="11" t="s">
        <v>2319</v>
      </c>
      <c r="D650" s="11" t="s">
        <v>2335</v>
      </c>
      <c r="E650" s="4" t="s">
        <v>1655</v>
      </c>
      <c r="F650" s="4" t="s">
        <v>2333</v>
      </c>
      <c r="G650" s="4" t="s">
        <v>400</v>
      </c>
      <c r="H650" s="4" t="s">
        <v>205</v>
      </c>
      <c r="I650" s="6">
        <v>48768.5</v>
      </c>
      <c r="J650" s="6" t="s">
        <v>18</v>
      </c>
      <c r="K650" s="6" t="s">
        <v>18</v>
      </c>
      <c r="L650" s="7" t="s">
        <v>18</v>
      </c>
      <c r="M650" s="11" t="s">
        <v>2324</v>
      </c>
      <c r="N650" s="11" t="s">
        <v>3882</v>
      </c>
    </row>
    <row r="651" spans="1:14" s="52" customFormat="1" ht="45">
      <c r="A651" s="50" t="s">
        <v>2337</v>
      </c>
      <c r="B651" s="13" t="s">
        <v>2338</v>
      </c>
      <c r="C651" s="11" t="s">
        <v>2339</v>
      </c>
      <c r="D651" s="11" t="s">
        <v>2340</v>
      </c>
      <c r="E651" s="55" t="s">
        <v>256</v>
      </c>
      <c r="F651" s="55" t="s">
        <v>2341</v>
      </c>
      <c r="G651" s="55" t="s">
        <v>2342</v>
      </c>
      <c r="H651" s="55" t="s">
        <v>2343</v>
      </c>
      <c r="I651" s="6">
        <v>85990.9</v>
      </c>
      <c r="J651" s="6" t="s">
        <v>18</v>
      </c>
      <c r="K651" s="6" t="s">
        <v>18</v>
      </c>
      <c r="L651" s="7" t="s">
        <v>18</v>
      </c>
      <c r="M651" s="11"/>
      <c r="N651" s="11"/>
    </row>
    <row r="652" spans="1:14" s="52" customFormat="1" ht="157.5">
      <c r="A652" s="116">
        <v>1031430</v>
      </c>
      <c r="B652" s="116" t="s">
        <v>2344</v>
      </c>
      <c r="C652" s="117" t="s">
        <v>2345</v>
      </c>
      <c r="D652" s="117" t="s">
        <v>2346</v>
      </c>
      <c r="E652" s="118" t="s">
        <v>2347</v>
      </c>
      <c r="F652" s="118" t="s">
        <v>2348</v>
      </c>
      <c r="G652" s="118" t="s">
        <v>2349</v>
      </c>
      <c r="H652" s="118" t="s">
        <v>284</v>
      </c>
      <c r="I652" s="5">
        <v>1098.4000000000001</v>
      </c>
      <c r="J652" s="6" t="s">
        <v>18</v>
      </c>
      <c r="K652" s="6" t="s">
        <v>18</v>
      </c>
      <c r="L652" s="6" t="s">
        <v>18</v>
      </c>
      <c r="M652" s="14" t="s">
        <v>2350</v>
      </c>
      <c r="N652" s="11" t="s">
        <v>2351</v>
      </c>
    </row>
    <row r="653" spans="1:14" s="52" customFormat="1" ht="157.5">
      <c r="A653" s="116">
        <v>1031431</v>
      </c>
      <c r="B653" s="116" t="s">
        <v>2344</v>
      </c>
      <c r="C653" s="117" t="s">
        <v>2345</v>
      </c>
      <c r="D653" s="117" t="s">
        <v>2346</v>
      </c>
      <c r="E653" s="118" t="s">
        <v>2347</v>
      </c>
      <c r="F653" s="118" t="s">
        <v>2352</v>
      </c>
      <c r="G653" s="118" t="s">
        <v>2349</v>
      </c>
      <c r="H653" s="118" t="s">
        <v>284</v>
      </c>
      <c r="I653" s="5">
        <v>3068.5</v>
      </c>
      <c r="J653" s="6" t="s">
        <v>18</v>
      </c>
      <c r="K653" s="6" t="s">
        <v>18</v>
      </c>
      <c r="L653" s="6" t="s">
        <v>18</v>
      </c>
      <c r="M653" s="14" t="s">
        <v>2350</v>
      </c>
      <c r="N653" s="11" t="s">
        <v>2351</v>
      </c>
    </row>
    <row r="654" spans="1:14" s="52" customFormat="1" ht="157.5">
      <c r="A654" s="116">
        <v>1031432</v>
      </c>
      <c r="B654" s="116" t="s">
        <v>2344</v>
      </c>
      <c r="C654" s="117" t="s">
        <v>2345</v>
      </c>
      <c r="D654" s="117" t="s">
        <v>2346</v>
      </c>
      <c r="E654" s="118" t="s">
        <v>2347</v>
      </c>
      <c r="F654" s="118" t="s">
        <v>2353</v>
      </c>
      <c r="G654" s="118" t="s">
        <v>2349</v>
      </c>
      <c r="H654" s="118" t="s">
        <v>284</v>
      </c>
      <c r="I654" s="5">
        <v>15180.8</v>
      </c>
      <c r="J654" s="6" t="s">
        <v>18</v>
      </c>
      <c r="K654" s="6" t="s">
        <v>18</v>
      </c>
      <c r="L654" s="6" t="s">
        <v>18</v>
      </c>
      <c r="M654" s="14" t="s">
        <v>2350</v>
      </c>
      <c r="N654" s="11" t="s">
        <v>2351</v>
      </c>
    </row>
    <row r="655" spans="1:14" s="52" customFormat="1" ht="157.5">
      <c r="A655" s="116">
        <v>1031433</v>
      </c>
      <c r="B655" s="116" t="s">
        <v>2344</v>
      </c>
      <c r="C655" s="117" t="s">
        <v>2345</v>
      </c>
      <c r="D655" s="117" t="s">
        <v>2346</v>
      </c>
      <c r="E655" s="118" t="s">
        <v>2347</v>
      </c>
      <c r="F655" s="118" t="s">
        <v>2354</v>
      </c>
      <c r="G655" s="118" t="s">
        <v>2349</v>
      </c>
      <c r="H655" s="118" t="s">
        <v>284</v>
      </c>
      <c r="I655" s="5">
        <v>29868.799999999999</v>
      </c>
      <c r="J655" s="6" t="s">
        <v>18</v>
      </c>
      <c r="K655" s="6" t="s">
        <v>18</v>
      </c>
      <c r="L655" s="6" t="s">
        <v>18</v>
      </c>
      <c r="M655" s="14" t="s">
        <v>2350</v>
      </c>
      <c r="N655" s="11" t="s">
        <v>2351</v>
      </c>
    </row>
    <row r="656" spans="1:14" ht="45">
      <c r="A656" s="50" t="s">
        <v>2355</v>
      </c>
      <c r="B656" s="11" t="s">
        <v>2356</v>
      </c>
      <c r="C656" s="11" t="s">
        <v>2357</v>
      </c>
      <c r="D656" s="11" t="s">
        <v>3672</v>
      </c>
      <c r="E656" s="4" t="s">
        <v>23</v>
      </c>
      <c r="F656" s="4" t="s">
        <v>1591</v>
      </c>
      <c r="G656" s="4" t="s">
        <v>2358</v>
      </c>
      <c r="H656" s="4" t="s">
        <v>34</v>
      </c>
      <c r="I656" s="6">
        <v>6755.1</v>
      </c>
      <c r="J656" s="6" t="s">
        <v>18</v>
      </c>
      <c r="K656" s="6" t="s">
        <v>18</v>
      </c>
      <c r="L656" s="6" t="s">
        <v>18</v>
      </c>
      <c r="M656" s="11"/>
      <c r="N656" s="11"/>
    </row>
    <row r="657" spans="1:14" ht="45">
      <c r="A657" s="50" t="s">
        <v>2359</v>
      </c>
      <c r="B657" s="11" t="s">
        <v>2356</v>
      </c>
      <c r="C657" s="11" t="s">
        <v>2357</v>
      </c>
      <c r="D657" s="11" t="s">
        <v>3672</v>
      </c>
      <c r="E657" s="4" t="s">
        <v>23</v>
      </c>
      <c r="F657" s="4" t="s">
        <v>1588</v>
      </c>
      <c r="G657" s="4" t="s">
        <v>2358</v>
      </c>
      <c r="H657" s="4" t="s">
        <v>34</v>
      </c>
      <c r="I657" s="6">
        <v>12940.8</v>
      </c>
      <c r="J657" s="6" t="s">
        <v>18</v>
      </c>
      <c r="K657" s="6" t="s">
        <v>18</v>
      </c>
      <c r="L657" s="6" t="s">
        <v>18</v>
      </c>
      <c r="M657" s="11"/>
      <c r="N657" s="11"/>
    </row>
    <row r="658" spans="1:14" ht="45">
      <c r="A658" s="9" t="s">
        <v>2360</v>
      </c>
      <c r="B658" s="11" t="s">
        <v>2356</v>
      </c>
      <c r="C658" s="1" t="s">
        <v>2357</v>
      </c>
      <c r="D658" s="11" t="s">
        <v>3672</v>
      </c>
      <c r="E658" s="4" t="s">
        <v>59</v>
      </c>
      <c r="F658" s="4" t="s">
        <v>3719</v>
      </c>
      <c r="G658" s="4" t="s">
        <v>2361</v>
      </c>
      <c r="H658" s="4" t="s">
        <v>34</v>
      </c>
      <c r="I658" s="6">
        <v>17229.2</v>
      </c>
      <c r="J658" s="6" t="s">
        <v>18</v>
      </c>
      <c r="K658" s="6" t="s">
        <v>18</v>
      </c>
      <c r="L658" s="25" t="s">
        <v>18</v>
      </c>
      <c r="M658" s="11"/>
      <c r="N658" s="11"/>
    </row>
    <row r="659" spans="1:14" ht="45">
      <c r="A659" s="9" t="s">
        <v>2362</v>
      </c>
      <c r="B659" s="11" t="s">
        <v>2356</v>
      </c>
      <c r="C659" s="1" t="s">
        <v>2357</v>
      </c>
      <c r="D659" s="11" t="s">
        <v>3672</v>
      </c>
      <c r="E659" s="4" t="s">
        <v>59</v>
      </c>
      <c r="F659" s="4" t="s">
        <v>3720</v>
      </c>
      <c r="G659" s="4" t="s">
        <v>2361</v>
      </c>
      <c r="H659" s="4" t="s">
        <v>34</v>
      </c>
      <c r="I659" s="6">
        <v>22326</v>
      </c>
      <c r="J659" s="6" t="s">
        <v>18</v>
      </c>
      <c r="K659" s="6" t="s">
        <v>18</v>
      </c>
      <c r="L659" s="25" t="s">
        <v>18</v>
      </c>
      <c r="M659" s="11"/>
      <c r="N659" s="11"/>
    </row>
    <row r="660" spans="1:14" ht="22.5">
      <c r="A660" s="50" t="s">
        <v>2363</v>
      </c>
      <c r="B660" s="11" t="s">
        <v>2364</v>
      </c>
      <c r="C660" s="11" t="s">
        <v>2365</v>
      </c>
      <c r="D660" s="54" t="s">
        <v>2366</v>
      </c>
      <c r="E660" s="55" t="s">
        <v>71</v>
      </c>
      <c r="F660" s="55" t="s">
        <v>2367</v>
      </c>
      <c r="G660" s="55" t="s">
        <v>3671</v>
      </c>
      <c r="H660" s="4" t="s">
        <v>2368</v>
      </c>
      <c r="I660" s="6">
        <v>2428.9</v>
      </c>
      <c r="J660" s="6" t="s">
        <v>18</v>
      </c>
      <c r="K660" s="6" t="s">
        <v>18</v>
      </c>
      <c r="L660" s="6" t="s">
        <v>18</v>
      </c>
      <c r="M660" s="11"/>
      <c r="N660" s="11"/>
    </row>
    <row r="661" spans="1:14" ht="22.5">
      <c r="A661" s="50" t="s">
        <v>2369</v>
      </c>
      <c r="B661" s="11" t="s">
        <v>2364</v>
      </c>
      <c r="C661" s="11" t="s">
        <v>2365</v>
      </c>
      <c r="D661" s="54" t="s">
        <v>2366</v>
      </c>
      <c r="E661" s="55" t="s">
        <v>71</v>
      </c>
      <c r="F661" s="55" t="s">
        <v>2370</v>
      </c>
      <c r="G661" s="55" t="s">
        <v>3671</v>
      </c>
      <c r="H661" s="4" t="s">
        <v>2368</v>
      </c>
      <c r="I661" s="6">
        <v>2480.6999999999998</v>
      </c>
      <c r="J661" s="6" t="s">
        <v>18</v>
      </c>
      <c r="K661" s="6" t="s">
        <v>18</v>
      </c>
      <c r="L661" s="6" t="s">
        <v>18</v>
      </c>
      <c r="M661" s="11"/>
      <c r="N661" s="11"/>
    </row>
    <row r="662" spans="1:14" s="52" customFormat="1" ht="33.75">
      <c r="A662" s="50" t="s">
        <v>2372</v>
      </c>
      <c r="B662" s="11" t="s">
        <v>2364</v>
      </c>
      <c r="C662" s="11" t="s">
        <v>2365</v>
      </c>
      <c r="D662" s="11" t="s">
        <v>2373</v>
      </c>
      <c r="E662" s="4" t="s">
        <v>281</v>
      </c>
      <c r="F662" s="4" t="s">
        <v>2374</v>
      </c>
      <c r="G662" s="4" t="s">
        <v>3667</v>
      </c>
      <c r="H662" s="4" t="s">
        <v>133</v>
      </c>
      <c r="I662" s="6">
        <v>1178.3</v>
      </c>
      <c r="J662" s="6" t="s">
        <v>18</v>
      </c>
      <c r="K662" s="6" t="s">
        <v>18</v>
      </c>
      <c r="L662" s="6" t="s">
        <v>18</v>
      </c>
      <c r="M662" s="11"/>
      <c r="N662" s="11"/>
    </row>
    <row r="663" spans="1:14" s="52" customFormat="1" ht="33.75">
      <c r="A663" s="50" t="s">
        <v>2376</v>
      </c>
      <c r="B663" s="11" t="s">
        <v>2364</v>
      </c>
      <c r="C663" s="11" t="s">
        <v>2365</v>
      </c>
      <c r="D663" s="11" t="s">
        <v>2373</v>
      </c>
      <c r="E663" s="4" t="s">
        <v>281</v>
      </c>
      <c r="F663" s="4" t="s">
        <v>2377</v>
      </c>
      <c r="G663" s="4" t="s">
        <v>3667</v>
      </c>
      <c r="H663" s="4" t="s">
        <v>133</v>
      </c>
      <c r="I663" s="6">
        <v>1266.3</v>
      </c>
      <c r="J663" s="6" t="s">
        <v>18</v>
      </c>
      <c r="K663" s="6" t="s">
        <v>18</v>
      </c>
      <c r="L663" s="25" t="s">
        <v>18</v>
      </c>
      <c r="M663" s="11"/>
      <c r="N663" s="11"/>
    </row>
    <row r="664" spans="1:14" s="52" customFormat="1" ht="45">
      <c r="A664" s="50" t="s">
        <v>2378</v>
      </c>
      <c r="B664" s="11" t="s">
        <v>2379</v>
      </c>
      <c r="C664" s="11" t="s">
        <v>2365</v>
      </c>
      <c r="D664" s="11" t="s">
        <v>2371</v>
      </c>
      <c r="E664" s="4" t="s">
        <v>281</v>
      </c>
      <c r="F664" s="4" t="s">
        <v>2380</v>
      </c>
      <c r="G664" s="4" t="s">
        <v>2381</v>
      </c>
      <c r="H664" s="4" t="s">
        <v>34</v>
      </c>
      <c r="I664" s="6">
        <v>1178.3</v>
      </c>
      <c r="J664" s="6" t="s">
        <v>2382</v>
      </c>
      <c r="K664" s="6">
        <f>+I664/15*2.5</f>
        <v>196.38333333333333</v>
      </c>
      <c r="L664" s="6" t="s">
        <v>18</v>
      </c>
      <c r="M664" s="11"/>
      <c r="N664" s="11"/>
    </row>
    <row r="665" spans="1:14" s="52" customFormat="1" ht="45">
      <c r="A665" s="50" t="s">
        <v>2383</v>
      </c>
      <c r="B665" s="11" t="s">
        <v>2379</v>
      </c>
      <c r="C665" s="11" t="s">
        <v>2365</v>
      </c>
      <c r="D665" s="11" t="s">
        <v>2371</v>
      </c>
      <c r="E665" s="4" t="s">
        <v>281</v>
      </c>
      <c r="F665" s="4" t="s">
        <v>2384</v>
      </c>
      <c r="G665" s="4" t="s">
        <v>2381</v>
      </c>
      <c r="H665" s="4" t="s">
        <v>34</v>
      </c>
      <c r="I665" s="6">
        <v>1266.3</v>
      </c>
      <c r="J665" s="6" t="s">
        <v>2382</v>
      </c>
      <c r="K665" s="6">
        <f>+I665/20*2.5</f>
        <v>158.28749999999999</v>
      </c>
      <c r="L665" s="6" t="s">
        <v>18</v>
      </c>
      <c r="M665" s="11"/>
      <c r="N665" s="11"/>
    </row>
    <row r="666" spans="1:14" s="52" customFormat="1" ht="45">
      <c r="A666" s="50" t="s">
        <v>2385</v>
      </c>
      <c r="B666" s="11" t="s">
        <v>2379</v>
      </c>
      <c r="C666" s="11" t="s">
        <v>2365</v>
      </c>
      <c r="D666" s="11" t="s">
        <v>2371</v>
      </c>
      <c r="E666" s="4" t="s">
        <v>281</v>
      </c>
      <c r="F666" s="4" t="s">
        <v>2386</v>
      </c>
      <c r="G666" s="4" t="s">
        <v>2381</v>
      </c>
      <c r="H666" s="4" t="s">
        <v>34</v>
      </c>
      <c r="I666" s="6">
        <v>1590</v>
      </c>
      <c r="J666" s="6" t="s">
        <v>2382</v>
      </c>
      <c r="K666" s="6">
        <f>+I666/50*2.5</f>
        <v>79.5</v>
      </c>
      <c r="L666" s="6" t="s">
        <v>18</v>
      </c>
      <c r="M666" s="11"/>
      <c r="N666" s="11"/>
    </row>
    <row r="667" spans="1:14" s="52" customFormat="1" ht="33.75">
      <c r="A667" s="50" t="s">
        <v>3823</v>
      </c>
      <c r="B667" s="11" t="s">
        <v>2379</v>
      </c>
      <c r="C667" s="11" t="s">
        <v>2365</v>
      </c>
      <c r="D667" s="11" t="s">
        <v>3824</v>
      </c>
      <c r="E667" s="4" t="s">
        <v>281</v>
      </c>
      <c r="F667" s="4" t="s">
        <v>3825</v>
      </c>
      <c r="G667" s="4" t="s">
        <v>3826</v>
      </c>
      <c r="H667" s="4" t="s">
        <v>49</v>
      </c>
      <c r="I667" s="6">
        <v>499.9</v>
      </c>
      <c r="J667" s="6" t="s">
        <v>2382</v>
      </c>
      <c r="K667" s="6">
        <f>(I667/10)*2.5</f>
        <v>124.97499999999999</v>
      </c>
      <c r="L667" s="6" t="s">
        <v>18</v>
      </c>
      <c r="M667" s="11"/>
      <c r="N667" s="11"/>
    </row>
    <row r="668" spans="1:14" s="52" customFormat="1" ht="33.75">
      <c r="A668" s="50" t="s">
        <v>3827</v>
      </c>
      <c r="B668" s="11" t="s">
        <v>2379</v>
      </c>
      <c r="C668" s="11" t="s">
        <v>2365</v>
      </c>
      <c r="D668" s="11" t="s">
        <v>3824</v>
      </c>
      <c r="E668" s="4" t="s">
        <v>281</v>
      </c>
      <c r="F668" s="4" t="s">
        <v>3828</v>
      </c>
      <c r="G668" s="4" t="s">
        <v>3826</v>
      </c>
      <c r="H668" s="4" t="s">
        <v>49</v>
      </c>
      <c r="I668" s="6">
        <v>1060.5</v>
      </c>
      <c r="J668" s="6" t="s">
        <v>2382</v>
      </c>
      <c r="K668" s="6">
        <f>(I668/15)*2.5</f>
        <v>176.75</v>
      </c>
      <c r="L668" s="6" t="s">
        <v>18</v>
      </c>
      <c r="M668" s="11"/>
      <c r="N668" s="11"/>
    </row>
    <row r="669" spans="1:14" s="52" customFormat="1" ht="33.75">
      <c r="A669" s="50" t="s">
        <v>3829</v>
      </c>
      <c r="B669" s="11" t="s">
        <v>2379</v>
      </c>
      <c r="C669" s="11" t="s">
        <v>2365</v>
      </c>
      <c r="D669" s="11" t="s">
        <v>3824</v>
      </c>
      <c r="E669" s="4" t="s">
        <v>281</v>
      </c>
      <c r="F669" s="4" t="s">
        <v>3830</v>
      </c>
      <c r="G669" s="4" t="s">
        <v>3826</v>
      </c>
      <c r="H669" s="4" t="s">
        <v>49</v>
      </c>
      <c r="I669" s="6">
        <v>1175</v>
      </c>
      <c r="J669" s="6" t="s">
        <v>2382</v>
      </c>
      <c r="K669" s="6">
        <f>(I669/20)*2.5</f>
        <v>146.875</v>
      </c>
      <c r="L669" s="6" t="s">
        <v>18</v>
      </c>
      <c r="M669" s="11"/>
      <c r="N669" s="11"/>
    </row>
    <row r="670" spans="1:14" s="52" customFormat="1" ht="33.75">
      <c r="A670" s="50" t="s">
        <v>3831</v>
      </c>
      <c r="B670" s="11" t="s">
        <v>2379</v>
      </c>
      <c r="C670" s="11" t="s">
        <v>2365</v>
      </c>
      <c r="D670" s="11" t="s">
        <v>3824</v>
      </c>
      <c r="E670" s="4" t="s">
        <v>281</v>
      </c>
      <c r="F670" s="4" t="s">
        <v>3832</v>
      </c>
      <c r="G670" s="4" t="s">
        <v>3826</v>
      </c>
      <c r="H670" s="4" t="s">
        <v>49</v>
      </c>
      <c r="I670" s="6">
        <v>1460.5</v>
      </c>
      <c r="J670" s="6" t="s">
        <v>2382</v>
      </c>
      <c r="K670" s="6">
        <f>(I670/25)*2.5</f>
        <v>146.05000000000001</v>
      </c>
      <c r="L670" s="6" t="s">
        <v>18</v>
      </c>
      <c r="M670" s="11"/>
      <c r="N670" s="11"/>
    </row>
    <row r="671" spans="1:14" ht="22.5">
      <c r="A671" s="50" t="s">
        <v>2387</v>
      </c>
      <c r="B671" s="11" t="s">
        <v>2388</v>
      </c>
      <c r="C671" s="11" t="s">
        <v>2389</v>
      </c>
      <c r="D671" s="11" t="s">
        <v>2390</v>
      </c>
      <c r="E671" s="4" t="s">
        <v>71</v>
      </c>
      <c r="F671" s="4" t="s">
        <v>3721</v>
      </c>
      <c r="G671" s="4" t="s">
        <v>2391</v>
      </c>
      <c r="H671" s="4" t="s">
        <v>423</v>
      </c>
      <c r="I671" s="6">
        <v>154381.20000000001</v>
      </c>
      <c r="J671" s="6" t="s">
        <v>18</v>
      </c>
      <c r="K671" s="6" t="s">
        <v>18</v>
      </c>
      <c r="L671" s="6" t="s">
        <v>18</v>
      </c>
      <c r="M671" s="11"/>
      <c r="N671" s="11" t="s">
        <v>148</v>
      </c>
    </row>
    <row r="672" spans="1:14" ht="247.5">
      <c r="A672" s="50" t="s">
        <v>2392</v>
      </c>
      <c r="B672" s="11" t="s">
        <v>2393</v>
      </c>
      <c r="C672" s="11" t="s">
        <v>2394</v>
      </c>
      <c r="D672" s="11" t="s">
        <v>2395</v>
      </c>
      <c r="E672" s="4" t="s">
        <v>2396</v>
      </c>
      <c r="F672" s="4" t="s">
        <v>2397</v>
      </c>
      <c r="G672" s="4" t="s">
        <v>2398</v>
      </c>
      <c r="H672" s="4" t="s">
        <v>2399</v>
      </c>
      <c r="I672" s="6">
        <v>3806.1</v>
      </c>
      <c r="J672" s="6" t="s">
        <v>18</v>
      </c>
      <c r="K672" s="6" t="s">
        <v>18</v>
      </c>
      <c r="L672" s="25" t="s">
        <v>18</v>
      </c>
      <c r="M672" s="11" t="s">
        <v>2400</v>
      </c>
      <c r="N672" s="11" t="s">
        <v>3881</v>
      </c>
    </row>
    <row r="673" spans="1:14" ht="247.5">
      <c r="A673" s="50" t="s">
        <v>2401</v>
      </c>
      <c r="B673" s="11" t="s">
        <v>2393</v>
      </c>
      <c r="C673" s="11" t="s">
        <v>2394</v>
      </c>
      <c r="D673" s="11" t="s">
        <v>2402</v>
      </c>
      <c r="E673" s="4" t="s">
        <v>2396</v>
      </c>
      <c r="F673" s="4" t="s">
        <v>2403</v>
      </c>
      <c r="G673" s="4" t="s">
        <v>3667</v>
      </c>
      <c r="H673" s="4" t="s">
        <v>133</v>
      </c>
      <c r="I673" s="6">
        <v>3806.1</v>
      </c>
      <c r="J673" s="6" t="s">
        <v>18</v>
      </c>
      <c r="K673" s="6" t="s">
        <v>18</v>
      </c>
      <c r="L673" s="25" t="s">
        <v>18</v>
      </c>
      <c r="M673" s="11" t="s">
        <v>2404</v>
      </c>
      <c r="N673" s="11" t="s">
        <v>3881</v>
      </c>
    </row>
    <row r="674" spans="1:14" ht="45">
      <c r="A674" s="50" t="s">
        <v>2405</v>
      </c>
      <c r="B674" s="11" t="s">
        <v>2406</v>
      </c>
      <c r="C674" s="11" t="s">
        <v>2407</v>
      </c>
      <c r="D674" s="11" t="s">
        <v>2408</v>
      </c>
      <c r="E674" s="4" t="s">
        <v>345</v>
      </c>
      <c r="F674" s="4" t="s">
        <v>2409</v>
      </c>
      <c r="G674" s="4" t="s">
        <v>3579</v>
      </c>
      <c r="H674" s="4" t="s">
        <v>471</v>
      </c>
      <c r="I674" s="6">
        <v>356</v>
      </c>
      <c r="J674" s="4" t="s">
        <v>18</v>
      </c>
      <c r="K674" s="4" t="s">
        <v>18</v>
      </c>
      <c r="L674" s="6" t="s">
        <v>18</v>
      </c>
      <c r="M674" s="11"/>
      <c r="N674" s="11"/>
    </row>
    <row r="675" spans="1:14" ht="45">
      <c r="A675" s="50" t="s">
        <v>2410</v>
      </c>
      <c r="B675" s="11" t="s">
        <v>2406</v>
      </c>
      <c r="C675" s="11" t="s">
        <v>2407</v>
      </c>
      <c r="D675" s="11" t="s">
        <v>2408</v>
      </c>
      <c r="E675" s="4" t="s">
        <v>345</v>
      </c>
      <c r="F675" s="4" t="s">
        <v>2411</v>
      </c>
      <c r="G675" s="4" t="s">
        <v>3579</v>
      </c>
      <c r="H675" s="4" t="s">
        <v>471</v>
      </c>
      <c r="I675" s="6">
        <v>883.4</v>
      </c>
      <c r="J675" s="4" t="s">
        <v>18</v>
      </c>
      <c r="K675" s="4" t="s">
        <v>18</v>
      </c>
      <c r="L675" s="6" t="s">
        <v>18</v>
      </c>
      <c r="M675" s="11"/>
      <c r="N675" s="11"/>
    </row>
    <row r="676" spans="1:14" ht="22.5">
      <c r="A676" s="50" t="s">
        <v>2412</v>
      </c>
      <c r="B676" s="11" t="s">
        <v>2406</v>
      </c>
      <c r="C676" s="11" t="s">
        <v>2407</v>
      </c>
      <c r="D676" s="11" t="s">
        <v>2408</v>
      </c>
      <c r="E676" s="4" t="s">
        <v>32</v>
      </c>
      <c r="F676" s="4" t="s">
        <v>2413</v>
      </c>
      <c r="G676" s="4" t="s">
        <v>3579</v>
      </c>
      <c r="H676" s="4" t="s">
        <v>471</v>
      </c>
      <c r="I676" s="6">
        <v>2219.6999999999998</v>
      </c>
      <c r="J676" s="6" t="s">
        <v>18</v>
      </c>
      <c r="K676" s="6" t="s">
        <v>18</v>
      </c>
      <c r="L676" s="6" t="s">
        <v>18</v>
      </c>
      <c r="M676" s="11"/>
      <c r="N676" s="11"/>
    </row>
    <row r="677" spans="1:14" ht="22.5">
      <c r="A677" s="50" t="s">
        <v>2414</v>
      </c>
      <c r="B677" s="11" t="s">
        <v>2406</v>
      </c>
      <c r="C677" s="11" t="s">
        <v>2407</v>
      </c>
      <c r="D677" s="11" t="s">
        <v>2415</v>
      </c>
      <c r="E677" s="4" t="s">
        <v>14</v>
      </c>
      <c r="F677" s="4" t="s">
        <v>2416</v>
      </c>
      <c r="G677" s="4" t="s">
        <v>3667</v>
      </c>
      <c r="H677" s="4" t="s">
        <v>133</v>
      </c>
      <c r="I677" s="6">
        <v>1074.0999999999999</v>
      </c>
      <c r="J677" s="6" t="s">
        <v>18</v>
      </c>
      <c r="K677" s="6" t="s">
        <v>18</v>
      </c>
      <c r="L677" s="6" t="s">
        <v>18</v>
      </c>
      <c r="M677" s="11"/>
      <c r="N677" s="11"/>
    </row>
    <row r="678" spans="1:14" ht="45">
      <c r="A678" s="50" t="s">
        <v>2419</v>
      </c>
      <c r="B678" s="11" t="s">
        <v>2417</v>
      </c>
      <c r="C678" s="11" t="s">
        <v>2418</v>
      </c>
      <c r="D678" s="11" t="s">
        <v>3722</v>
      </c>
      <c r="E678" s="4" t="s">
        <v>14</v>
      </c>
      <c r="F678" s="4" t="s">
        <v>2093</v>
      </c>
      <c r="G678" s="4" t="s">
        <v>2358</v>
      </c>
      <c r="H678" s="4" t="s">
        <v>34</v>
      </c>
      <c r="I678" s="6">
        <v>1707.2</v>
      </c>
      <c r="J678" s="6" t="s">
        <v>18</v>
      </c>
      <c r="K678" s="6" t="s">
        <v>18</v>
      </c>
      <c r="L678" s="6" t="s">
        <v>18</v>
      </c>
      <c r="M678" s="11"/>
      <c r="N678" s="11"/>
    </row>
    <row r="679" spans="1:14" s="52" customFormat="1" ht="33.75">
      <c r="A679" s="50" t="s">
        <v>2420</v>
      </c>
      <c r="B679" s="11" t="s">
        <v>2417</v>
      </c>
      <c r="C679" s="11" t="s">
        <v>2418</v>
      </c>
      <c r="D679" s="11" t="s">
        <v>2421</v>
      </c>
      <c r="E679" s="4" t="s">
        <v>2396</v>
      </c>
      <c r="F679" s="4" t="s">
        <v>2422</v>
      </c>
      <c r="G679" s="4" t="s">
        <v>3667</v>
      </c>
      <c r="H679" s="4" t="s">
        <v>133</v>
      </c>
      <c r="I679" s="6">
        <v>426.50200000000001</v>
      </c>
      <c r="J679" s="6" t="s">
        <v>18</v>
      </c>
      <c r="K679" s="6" t="s">
        <v>18</v>
      </c>
      <c r="L679" s="6" t="s">
        <v>18</v>
      </c>
      <c r="M679" s="11"/>
      <c r="N679" s="11"/>
    </row>
    <row r="680" spans="1:14" s="52" customFormat="1" ht="33.75">
      <c r="A680" s="50" t="s">
        <v>2423</v>
      </c>
      <c r="B680" s="11" t="s">
        <v>2417</v>
      </c>
      <c r="C680" s="11" t="s">
        <v>2418</v>
      </c>
      <c r="D680" s="11" t="s">
        <v>2421</v>
      </c>
      <c r="E680" s="4" t="s">
        <v>2396</v>
      </c>
      <c r="F680" s="4" t="s">
        <v>2424</v>
      </c>
      <c r="G680" s="4" t="s">
        <v>3667</v>
      </c>
      <c r="H680" s="4" t="s">
        <v>133</v>
      </c>
      <c r="I680" s="6">
        <v>210.7</v>
      </c>
      <c r="J680" s="6" t="s">
        <v>18</v>
      </c>
      <c r="K680" s="6" t="s">
        <v>18</v>
      </c>
      <c r="L680" s="6" t="s">
        <v>18</v>
      </c>
      <c r="M680" s="11"/>
      <c r="N680" s="11"/>
    </row>
    <row r="681" spans="1:14" s="52" customFormat="1" ht="33.75">
      <c r="A681" s="50" t="s">
        <v>2425</v>
      </c>
      <c r="B681" s="11" t="s">
        <v>2417</v>
      </c>
      <c r="C681" s="11" t="s">
        <v>2418</v>
      </c>
      <c r="D681" s="11" t="s">
        <v>2421</v>
      </c>
      <c r="E681" s="4" t="s">
        <v>2396</v>
      </c>
      <c r="F681" s="4" t="s">
        <v>2426</v>
      </c>
      <c r="G681" s="4" t="s">
        <v>3667</v>
      </c>
      <c r="H681" s="4" t="s">
        <v>133</v>
      </c>
      <c r="I681" s="6">
        <v>311.5</v>
      </c>
      <c r="J681" s="6" t="s">
        <v>18</v>
      </c>
      <c r="K681" s="6" t="s">
        <v>18</v>
      </c>
      <c r="L681" s="6" t="s">
        <v>18</v>
      </c>
      <c r="M681" s="11"/>
      <c r="N681" s="11"/>
    </row>
    <row r="682" spans="1:14" s="52" customFormat="1" ht="33.75">
      <c r="A682" s="50" t="s">
        <v>2427</v>
      </c>
      <c r="B682" s="11" t="s">
        <v>2417</v>
      </c>
      <c r="C682" s="11" t="s">
        <v>2418</v>
      </c>
      <c r="D682" s="11" t="s">
        <v>2421</v>
      </c>
      <c r="E682" s="4" t="s">
        <v>2396</v>
      </c>
      <c r="F682" s="4" t="s">
        <v>2428</v>
      </c>
      <c r="G682" s="4" t="s">
        <v>3667</v>
      </c>
      <c r="H682" s="4" t="s">
        <v>133</v>
      </c>
      <c r="I682" s="6">
        <v>1770.1000000000001</v>
      </c>
      <c r="J682" s="6" t="s">
        <v>18</v>
      </c>
      <c r="K682" s="6" t="s">
        <v>18</v>
      </c>
      <c r="L682" s="6" t="s">
        <v>18</v>
      </c>
      <c r="M682" s="11"/>
      <c r="N682" s="11"/>
    </row>
    <row r="683" spans="1:14" s="52" customFormat="1" ht="22.5">
      <c r="A683" s="51" t="s">
        <v>2431</v>
      </c>
      <c r="B683" s="13" t="s">
        <v>2417</v>
      </c>
      <c r="C683" s="11" t="s">
        <v>2418</v>
      </c>
      <c r="D683" s="11" t="s">
        <v>2429</v>
      </c>
      <c r="E683" s="17" t="s">
        <v>14</v>
      </c>
      <c r="F683" s="4" t="s">
        <v>2432</v>
      </c>
      <c r="G683" s="4" t="s">
        <v>2430</v>
      </c>
      <c r="H683" s="4" t="s">
        <v>1231</v>
      </c>
      <c r="I683" s="6">
        <v>1707.2</v>
      </c>
      <c r="J683" s="8" t="s">
        <v>18</v>
      </c>
      <c r="K683" s="5" t="s">
        <v>18</v>
      </c>
      <c r="L683" s="38" t="s">
        <v>18</v>
      </c>
      <c r="M683" s="11"/>
      <c r="N683" s="11"/>
    </row>
    <row r="684" spans="1:14" ht="90">
      <c r="A684" s="50" t="s">
        <v>2433</v>
      </c>
      <c r="B684" s="11" t="s">
        <v>2434</v>
      </c>
      <c r="C684" s="11" t="s">
        <v>2435</v>
      </c>
      <c r="D684" s="11" t="s">
        <v>2436</v>
      </c>
      <c r="E684" s="4" t="s">
        <v>1829</v>
      </c>
      <c r="F684" s="4" t="s">
        <v>1950</v>
      </c>
      <c r="G684" s="4" t="s">
        <v>2437</v>
      </c>
      <c r="H684" s="4" t="s">
        <v>54</v>
      </c>
      <c r="I684" s="6">
        <v>523.6</v>
      </c>
      <c r="J684" s="6" t="s">
        <v>18</v>
      </c>
      <c r="K684" s="6" t="s">
        <v>18</v>
      </c>
      <c r="L684" s="6" t="s">
        <v>18</v>
      </c>
      <c r="M684" s="11"/>
      <c r="N684" s="11" t="s">
        <v>2438</v>
      </c>
    </row>
    <row r="685" spans="1:14" ht="90">
      <c r="A685" s="50" t="s">
        <v>2439</v>
      </c>
      <c r="B685" s="11" t="s">
        <v>2434</v>
      </c>
      <c r="C685" s="11" t="s">
        <v>2435</v>
      </c>
      <c r="D685" s="11" t="s">
        <v>2436</v>
      </c>
      <c r="E685" s="4" t="s">
        <v>1829</v>
      </c>
      <c r="F685" s="4" t="s">
        <v>1588</v>
      </c>
      <c r="G685" s="4" t="s">
        <v>2437</v>
      </c>
      <c r="H685" s="4" t="s">
        <v>54</v>
      </c>
      <c r="I685" s="6">
        <v>2476.1032000000005</v>
      </c>
      <c r="J685" s="6" t="s">
        <v>18</v>
      </c>
      <c r="K685" s="6" t="s">
        <v>18</v>
      </c>
      <c r="L685" s="6" t="s">
        <v>18</v>
      </c>
      <c r="M685" s="11"/>
      <c r="N685" s="11" t="s">
        <v>2438</v>
      </c>
    </row>
    <row r="686" spans="1:14" s="52" customFormat="1" ht="90">
      <c r="A686" s="50" t="s">
        <v>2440</v>
      </c>
      <c r="B686" s="11" t="s">
        <v>2434</v>
      </c>
      <c r="C686" s="11" t="s">
        <v>2441</v>
      </c>
      <c r="D686" s="11" t="s">
        <v>2442</v>
      </c>
      <c r="E686" s="4" t="s">
        <v>981</v>
      </c>
      <c r="F686" s="4" t="s">
        <v>2443</v>
      </c>
      <c r="G686" s="4" t="s">
        <v>3667</v>
      </c>
      <c r="H686" s="4" t="s">
        <v>133</v>
      </c>
      <c r="I686" s="6">
        <v>523.6</v>
      </c>
      <c r="J686" s="6" t="s">
        <v>18</v>
      </c>
      <c r="K686" s="6" t="s">
        <v>18</v>
      </c>
      <c r="L686" s="6" t="s">
        <v>18</v>
      </c>
      <c r="M686" s="11"/>
      <c r="N686" s="11" t="s">
        <v>2438</v>
      </c>
    </row>
    <row r="687" spans="1:14" s="52" customFormat="1" ht="90">
      <c r="A687" s="50" t="s">
        <v>2444</v>
      </c>
      <c r="B687" s="11" t="s">
        <v>2434</v>
      </c>
      <c r="C687" s="11" t="s">
        <v>2441</v>
      </c>
      <c r="D687" s="11" t="s">
        <v>2442</v>
      </c>
      <c r="E687" s="4" t="s">
        <v>981</v>
      </c>
      <c r="F687" s="4" t="s">
        <v>2445</v>
      </c>
      <c r="G687" s="4" t="s">
        <v>3667</v>
      </c>
      <c r="H687" s="4" t="s">
        <v>133</v>
      </c>
      <c r="I687" s="6">
        <v>2476.1</v>
      </c>
      <c r="J687" s="6" t="s">
        <v>18</v>
      </c>
      <c r="K687" s="6" t="s">
        <v>18</v>
      </c>
      <c r="L687" s="6" t="s">
        <v>18</v>
      </c>
      <c r="M687" s="11"/>
      <c r="N687" s="11" t="s">
        <v>2438</v>
      </c>
    </row>
    <row r="688" spans="1:14" s="52" customFormat="1" ht="90">
      <c r="A688" s="50" t="s">
        <v>2446</v>
      </c>
      <c r="B688" s="11" t="s">
        <v>2434</v>
      </c>
      <c r="C688" s="11" t="s">
        <v>2441</v>
      </c>
      <c r="D688" s="11" t="s">
        <v>2442</v>
      </c>
      <c r="E688" s="4" t="s">
        <v>981</v>
      </c>
      <c r="F688" s="4" t="s">
        <v>2447</v>
      </c>
      <c r="G688" s="4" t="s">
        <v>2375</v>
      </c>
      <c r="H688" s="4" t="s">
        <v>133</v>
      </c>
      <c r="I688" s="6">
        <v>5309.3</v>
      </c>
      <c r="J688" s="6" t="s">
        <v>18</v>
      </c>
      <c r="K688" s="6" t="s">
        <v>18</v>
      </c>
      <c r="L688" s="6" t="s">
        <v>18</v>
      </c>
      <c r="M688" s="11"/>
      <c r="N688" s="11" t="s">
        <v>2438</v>
      </c>
    </row>
    <row r="689" spans="1:14" s="52" customFormat="1" ht="90">
      <c r="A689" s="61" t="s">
        <v>2449</v>
      </c>
      <c r="B689" s="12" t="s">
        <v>2434</v>
      </c>
      <c r="C689" s="11" t="s">
        <v>2441</v>
      </c>
      <c r="D689" s="11" t="s">
        <v>2450</v>
      </c>
      <c r="E689" s="4" t="s">
        <v>23</v>
      </c>
      <c r="F689" s="4" t="s">
        <v>1950</v>
      </c>
      <c r="G689" s="4" t="s">
        <v>2451</v>
      </c>
      <c r="H689" s="4" t="s">
        <v>34</v>
      </c>
      <c r="I689" s="6">
        <v>471.2</v>
      </c>
      <c r="J689" s="6" t="s">
        <v>18</v>
      </c>
      <c r="K689" s="6" t="s">
        <v>18</v>
      </c>
      <c r="L689" s="6" t="s">
        <v>18</v>
      </c>
      <c r="M689" s="11"/>
      <c r="N689" s="11" t="s">
        <v>2438</v>
      </c>
    </row>
    <row r="690" spans="1:14" s="52" customFormat="1" ht="90">
      <c r="A690" s="61" t="s">
        <v>2452</v>
      </c>
      <c r="B690" s="12" t="s">
        <v>2434</v>
      </c>
      <c r="C690" s="11" t="s">
        <v>2441</v>
      </c>
      <c r="D690" s="11" t="s">
        <v>2450</v>
      </c>
      <c r="E690" s="4" t="s">
        <v>23</v>
      </c>
      <c r="F690" s="4" t="s">
        <v>1588</v>
      </c>
      <c r="G690" s="4" t="s">
        <v>2451</v>
      </c>
      <c r="H690" s="4" t="s">
        <v>34</v>
      </c>
      <c r="I690" s="6">
        <v>1993</v>
      </c>
      <c r="J690" s="6" t="s">
        <v>18</v>
      </c>
      <c r="K690" s="6" t="s">
        <v>18</v>
      </c>
      <c r="L690" s="6" t="s">
        <v>18</v>
      </c>
      <c r="M690" s="11"/>
      <c r="N690" s="11" t="s">
        <v>2438</v>
      </c>
    </row>
    <row r="691" spans="1:14" s="52" customFormat="1" ht="90">
      <c r="A691" s="50" t="s">
        <v>2453</v>
      </c>
      <c r="B691" s="11" t="s">
        <v>2454</v>
      </c>
      <c r="C691" s="11" t="s">
        <v>2455</v>
      </c>
      <c r="D691" s="11" t="s">
        <v>2456</v>
      </c>
      <c r="E691" s="4" t="s">
        <v>240</v>
      </c>
      <c r="F691" s="4" t="s">
        <v>2457</v>
      </c>
      <c r="G691" s="68" t="s">
        <v>2458</v>
      </c>
      <c r="H691" s="68" t="s">
        <v>2459</v>
      </c>
      <c r="I691" s="6">
        <v>8934</v>
      </c>
      <c r="J691" s="6" t="s">
        <v>18</v>
      </c>
      <c r="K691" s="6" t="s">
        <v>18</v>
      </c>
      <c r="L691" s="6" t="s">
        <v>18</v>
      </c>
      <c r="M691" s="54"/>
      <c r="N691" s="54" t="s">
        <v>2460</v>
      </c>
    </row>
    <row r="692" spans="1:14" s="52" customFormat="1" ht="90">
      <c r="A692" s="119">
        <v>1034450</v>
      </c>
      <c r="B692" s="119" t="s">
        <v>2454</v>
      </c>
      <c r="C692" s="120" t="s">
        <v>2455</v>
      </c>
      <c r="D692" s="120" t="s">
        <v>2461</v>
      </c>
      <c r="E692" s="121" t="s">
        <v>2462</v>
      </c>
      <c r="F692" s="121" t="s">
        <v>2463</v>
      </c>
      <c r="G692" s="121" t="s">
        <v>2464</v>
      </c>
      <c r="H692" s="121" t="s">
        <v>2465</v>
      </c>
      <c r="I692" s="6">
        <v>8934</v>
      </c>
      <c r="J692" s="6" t="s">
        <v>18</v>
      </c>
      <c r="K692" s="6" t="s">
        <v>18</v>
      </c>
      <c r="L692" s="6" t="s">
        <v>18</v>
      </c>
      <c r="M692" s="54"/>
      <c r="N692" s="54" t="s">
        <v>2460</v>
      </c>
    </row>
    <row r="693" spans="1:14" s="52" customFormat="1" ht="90">
      <c r="A693" s="119">
        <v>1034343</v>
      </c>
      <c r="B693" s="119" t="s">
        <v>2454</v>
      </c>
      <c r="C693" s="120" t="s">
        <v>2455</v>
      </c>
      <c r="D693" s="120" t="s">
        <v>2466</v>
      </c>
      <c r="E693" s="121" t="s">
        <v>406</v>
      </c>
      <c r="F693" s="121" t="s">
        <v>2463</v>
      </c>
      <c r="G693" s="121" t="s">
        <v>2467</v>
      </c>
      <c r="H693" s="121" t="s">
        <v>16</v>
      </c>
      <c r="I693" s="6">
        <v>9246</v>
      </c>
      <c r="J693" s="6" t="s">
        <v>18</v>
      </c>
      <c r="K693" s="6" t="s">
        <v>18</v>
      </c>
      <c r="L693" s="6" t="s">
        <v>18</v>
      </c>
      <c r="M693" s="54"/>
      <c r="N693" s="54" t="s">
        <v>2460</v>
      </c>
    </row>
    <row r="694" spans="1:14" s="52" customFormat="1" ht="90">
      <c r="A694" s="119">
        <v>1034443</v>
      </c>
      <c r="B694" s="119" t="s">
        <v>2454</v>
      </c>
      <c r="C694" s="120" t="s">
        <v>2455</v>
      </c>
      <c r="D694" s="120" t="s">
        <v>2468</v>
      </c>
      <c r="E694" s="121" t="s">
        <v>240</v>
      </c>
      <c r="F694" s="121" t="s">
        <v>2469</v>
      </c>
      <c r="G694" s="121" t="s">
        <v>2470</v>
      </c>
      <c r="H694" s="121" t="s">
        <v>129</v>
      </c>
      <c r="I694" s="6">
        <v>1597</v>
      </c>
      <c r="J694" s="6" t="s">
        <v>18</v>
      </c>
      <c r="K694" s="6" t="s">
        <v>18</v>
      </c>
      <c r="L694" s="6" t="s">
        <v>18</v>
      </c>
      <c r="M694" s="54"/>
      <c r="N694" s="54" t="s">
        <v>2460</v>
      </c>
    </row>
    <row r="695" spans="1:14" s="52" customFormat="1" ht="90">
      <c r="A695" s="119">
        <v>1034442</v>
      </c>
      <c r="B695" s="119" t="s">
        <v>2454</v>
      </c>
      <c r="C695" s="120" t="s">
        <v>2455</v>
      </c>
      <c r="D695" s="120" t="s">
        <v>2468</v>
      </c>
      <c r="E695" s="121" t="s">
        <v>240</v>
      </c>
      <c r="F695" s="121" t="s">
        <v>2457</v>
      </c>
      <c r="G695" s="121" t="s">
        <v>2470</v>
      </c>
      <c r="H695" s="121" t="s">
        <v>129</v>
      </c>
      <c r="I695" s="6">
        <v>9246</v>
      </c>
      <c r="J695" s="6" t="s">
        <v>18</v>
      </c>
      <c r="K695" s="6" t="s">
        <v>18</v>
      </c>
      <c r="L695" s="6" t="s">
        <v>18</v>
      </c>
      <c r="M695" s="54"/>
      <c r="N695" s="54" t="s">
        <v>2460</v>
      </c>
    </row>
    <row r="696" spans="1:14" s="136" customFormat="1" ht="22.5">
      <c r="A696" s="53" t="s">
        <v>2471</v>
      </c>
      <c r="B696" s="54" t="s">
        <v>2472</v>
      </c>
      <c r="C696" s="54" t="s">
        <v>2473</v>
      </c>
      <c r="D696" s="54" t="s">
        <v>2474</v>
      </c>
      <c r="E696" s="55" t="s">
        <v>14</v>
      </c>
      <c r="F696" s="55" t="s">
        <v>2475</v>
      </c>
      <c r="G696" s="55" t="s">
        <v>3671</v>
      </c>
      <c r="H696" s="55" t="s">
        <v>2368</v>
      </c>
      <c r="I696" s="6">
        <v>4034.1</v>
      </c>
      <c r="J696" s="4" t="s">
        <v>18</v>
      </c>
      <c r="K696" s="4" t="s">
        <v>18</v>
      </c>
      <c r="L696" s="24" t="s">
        <v>18</v>
      </c>
      <c r="M696" s="54"/>
      <c r="N696" s="54"/>
    </row>
    <row r="697" spans="1:14" ht="22.5">
      <c r="A697" s="50" t="s">
        <v>2476</v>
      </c>
      <c r="B697" s="11" t="s">
        <v>2477</v>
      </c>
      <c r="C697" s="11" t="s">
        <v>2478</v>
      </c>
      <c r="D697" s="11" t="s">
        <v>2479</v>
      </c>
      <c r="E697" s="4" t="s">
        <v>981</v>
      </c>
      <c r="F697" s="4" t="s">
        <v>2483</v>
      </c>
      <c r="G697" s="4" t="s">
        <v>3675</v>
      </c>
      <c r="H697" s="4" t="s">
        <v>1468</v>
      </c>
      <c r="I697" s="6">
        <v>1428.1</v>
      </c>
      <c r="J697" s="6" t="s">
        <v>18</v>
      </c>
      <c r="K697" s="6" t="s">
        <v>18</v>
      </c>
      <c r="L697" s="6" t="s">
        <v>18</v>
      </c>
      <c r="M697" s="11"/>
      <c r="N697" s="11"/>
    </row>
    <row r="698" spans="1:14" ht="22.5">
      <c r="A698" s="50" t="s">
        <v>2480</v>
      </c>
      <c r="B698" s="11" t="s">
        <v>2477</v>
      </c>
      <c r="C698" s="11" t="s">
        <v>2478</v>
      </c>
      <c r="D698" s="11" t="s">
        <v>2479</v>
      </c>
      <c r="E698" s="4" t="s">
        <v>981</v>
      </c>
      <c r="F698" s="4" t="s">
        <v>2485</v>
      </c>
      <c r="G698" s="4" t="s">
        <v>3675</v>
      </c>
      <c r="H698" s="4" t="s">
        <v>1468</v>
      </c>
      <c r="I698" s="6">
        <v>6426.7</v>
      </c>
      <c r="J698" s="6" t="s">
        <v>18</v>
      </c>
      <c r="K698" s="6" t="s">
        <v>18</v>
      </c>
      <c r="L698" s="6" t="s">
        <v>18</v>
      </c>
      <c r="M698" s="11"/>
      <c r="N698" s="11"/>
    </row>
    <row r="699" spans="1:14" ht="22.5">
      <c r="A699" s="50" t="s">
        <v>2481</v>
      </c>
      <c r="B699" s="11" t="s">
        <v>2477</v>
      </c>
      <c r="C699" s="11" t="s">
        <v>2478</v>
      </c>
      <c r="D699" s="11" t="s">
        <v>2482</v>
      </c>
      <c r="E699" s="4" t="s">
        <v>981</v>
      </c>
      <c r="F699" s="4" t="s">
        <v>2483</v>
      </c>
      <c r="G699" s="4" t="s">
        <v>3667</v>
      </c>
      <c r="H699" s="4" t="s">
        <v>133</v>
      </c>
      <c r="I699" s="6">
        <v>1428.1</v>
      </c>
      <c r="J699" s="6" t="s">
        <v>18</v>
      </c>
      <c r="K699" s="6" t="s">
        <v>18</v>
      </c>
      <c r="L699" s="6" t="s">
        <v>18</v>
      </c>
      <c r="M699" s="11"/>
      <c r="N699" s="11"/>
    </row>
    <row r="700" spans="1:14" ht="22.5">
      <c r="A700" s="50" t="s">
        <v>2484</v>
      </c>
      <c r="B700" s="11" t="s">
        <v>2477</v>
      </c>
      <c r="C700" s="11" t="s">
        <v>2478</v>
      </c>
      <c r="D700" s="11" t="s">
        <v>2482</v>
      </c>
      <c r="E700" s="4" t="s">
        <v>981</v>
      </c>
      <c r="F700" s="4" t="s">
        <v>2485</v>
      </c>
      <c r="G700" s="4" t="s">
        <v>3667</v>
      </c>
      <c r="H700" s="4" t="s">
        <v>133</v>
      </c>
      <c r="I700" s="6">
        <v>6426.7</v>
      </c>
      <c r="J700" s="6" t="s">
        <v>18</v>
      </c>
      <c r="K700" s="6" t="s">
        <v>18</v>
      </c>
      <c r="L700" s="6" t="s">
        <v>18</v>
      </c>
      <c r="M700" s="11"/>
      <c r="N700" s="11"/>
    </row>
    <row r="701" spans="1:14" ht="22.5">
      <c r="A701" s="51">
        <v>1030250</v>
      </c>
      <c r="B701" s="13" t="s">
        <v>2477</v>
      </c>
      <c r="C701" s="13" t="s">
        <v>2478</v>
      </c>
      <c r="D701" s="13" t="s">
        <v>2486</v>
      </c>
      <c r="E701" s="17" t="s">
        <v>1445</v>
      </c>
      <c r="F701" s="17" t="s">
        <v>2487</v>
      </c>
      <c r="G701" s="17" t="s">
        <v>2488</v>
      </c>
      <c r="H701" s="17" t="s">
        <v>2489</v>
      </c>
      <c r="I701" s="16">
        <v>1074.9000000000001</v>
      </c>
      <c r="J701" s="134" t="s">
        <v>18</v>
      </c>
      <c r="K701" s="134" t="s">
        <v>18</v>
      </c>
      <c r="L701" s="7" t="s">
        <v>18</v>
      </c>
      <c r="M701" s="12"/>
      <c r="N701" s="12"/>
    </row>
    <row r="702" spans="1:14" ht="22.5">
      <c r="A702" s="51">
        <v>1030251</v>
      </c>
      <c r="B702" s="13" t="s">
        <v>2477</v>
      </c>
      <c r="C702" s="13" t="s">
        <v>2478</v>
      </c>
      <c r="D702" s="13" t="s">
        <v>2486</v>
      </c>
      <c r="E702" s="17" t="s">
        <v>1445</v>
      </c>
      <c r="F702" s="17" t="s">
        <v>2490</v>
      </c>
      <c r="G702" s="17" t="s">
        <v>2488</v>
      </c>
      <c r="H702" s="17" t="s">
        <v>382</v>
      </c>
      <c r="I702" s="16">
        <v>1612.3</v>
      </c>
      <c r="J702" s="134" t="s">
        <v>18</v>
      </c>
      <c r="K702" s="134" t="s">
        <v>18</v>
      </c>
      <c r="L702" s="7" t="s">
        <v>18</v>
      </c>
      <c r="M702" s="12"/>
      <c r="N702" s="12"/>
    </row>
    <row r="703" spans="1:14" ht="22.5">
      <c r="A703" s="51">
        <v>1030252</v>
      </c>
      <c r="B703" s="13" t="s">
        <v>2477</v>
      </c>
      <c r="C703" s="13" t="s">
        <v>2478</v>
      </c>
      <c r="D703" s="13" t="s">
        <v>2486</v>
      </c>
      <c r="E703" s="17" t="s">
        <v>1445</v>
      </c>
      <c r="F703" s="17" t="s">
        <v>2491</v>
      </c>
      <c r="G703" s="17" t="s">
        <v>2488</v>
      </c>
      <c r="H703" s="17" t="s">
        <v>382</v>
      </c>
      <c r="I703" s="16">
        <v>4299.2999999999993</v>
      </c>
      <c r="J703" s="134" t="s">
        <v>18</v>
      </c>
      <c r="K703" s="134" t="s">
        <v>18</v>
      </c>
      <c r="L703" s="7" t="s">
        <v>18</v>
      </c>
      <c r="M703" s="12"/>
      <c r="N703" s="12"/>
    </row>
    <row r="704" spans="1:14" ht="22.5">
      <c r="A704" s="50" t="s">
        <v>2492</v>
      </c>
      <c r="B704" s="11" t="s">
        <v>2493</v>
      </c>
      <c r="C704" s="11" t="s">
        <v>2494</v>
      </c>
      <c r="D704" s="11" t="s">
        <v>2495</v>
      </c>
      <c r="E704" s="4" t="s">
        <v>981</v>
      </c>
      <c r="F704" s="4" t="s">
        <v>2496</v>
      </c>
      <c r="G704" s="4" t="s">
        <v>3667</v>
      </c>
      <c r="H704" s="4" t="s">
        <v>133</v>
      </c>
      <c r="I704" s="6">
        <v>672.9</v>
      </c>
      <c r="J704" s="6" t="s">
        <v>18</v>
      </c>
      <c r="K704" s="6" t="s">
        <v>18</v>
      </c>
      <c r="L704" s="6" t="s">
        <v>18</v>
      </c>
      <c r="M704" s="11"/>
      <c r="N704" s="11"/>
    </row>
    <row r="705" spans="1:14" ht="90">
      <c r="A705" s="50" t="s">
        <v>2499</v>
      </c>
      <c r="B705" s="11" t="s">
        <v>2500</v>
      </c>
      <c r="C705" s="11" t="s">
        <v>2501</v>
      </c>
      <c r="D705" s="11" t="s">
        <v>2502</v>
      </c>
      <c r="E705" s="4" t="s">
        <v>981</v>
      </c>
      <c r="F705" s="4" t="s">
        <v>2503</v>
      </c>
      <c r="G705" s="4" t="s">
        <v>3667</v>
      </c>
      <c r="H705" s="4" t="s">
        <v>133</v>
      </c>
      <c r="I705" s="6">
        <v>2603.8000000000002</v>
      </c>
      <c r="J705" s="6" t="s">
        <v>18</v>
      </c>
      <c r="K705" s="6" t="s">
        <v>18</v>
      </c>
      <c r="L705" s="6" t="s">
        <v>18</v>
      </c>
      <c r="M705" s="11"/>
      <c r="N705" s="11" t="s">
        <v>2504</v>
      </c>
    </row>
    <row r="706" spans="1:14" ht="90">
      <c r="A706" s="50" t="s">
        <v>2505</v>
      </c>
      <c r="B706" s="11" t="s">
        <v>2500</v>
      </c>
      <c r="C706" s="11" t="s">
        <v>2501</v>
      </c>
      <c r="D706" s="11" t="s">
        <v>2502</v>
      </c>
      <c r="E706" s="4" t="s">
        <v>981</v>
      </c>
      <c r="F706" s="4" t="s">
        <v>2506</v>
      </c>
      <c r="G706" s="4" t="s">
        <v>3667</v>
      </c>
      <c r="H706" s="4" t="s">
        <v>133</v>
      </c>
      <c r="I706" s="6">
        <v>8245</v>
      </c>
      <c r="J706" s="6" t="s">
        <v>18</v>
      </c>
      <c r="K706" s="6" t="s">
        <v>18</v>
      </c>
      <c r="L706" s="6" t="s">
        <v>18</v>
      </c>
      <c r="M706" s="11"/>
      <c r="N706" s="11" t="s">
        <v>2504</v>
      </c>
    </row>
    <row r="707" spans="1:14" ht="90">
      <c r="A707" s="50" t="s">
        <v>2507</v>
      </c>
      <c r="B707" s="11" t="s">
        <v>2500</v>
      </c>
      <c r="C707" s="11" t="s">
        <v>2501</v>
      </c>
      <c r="D707" s="11" t="s">
        <v>2508</v>
      </c>
      <c r="E707" s="4" t="s">
        <v>981</v>
      </c>
      <c r="F707" s="4" t="s">
        <v>2509</v>
      </c>
      <c r="G707" s="4" t="s">
        <v>2510</v>
      </c>
      <c r="H707" s="4" t="s">
        <v>2511</v>
      </c>
      <c r="I707" s="6">
        <v>2603.8000000000002</v>
      </c>
      <c r="J707" s="6" t="s">
        <v>18</v>
      </c>
      <c r="K707" s="6" t="s">
        <v>18</v>
      </c>
      <c r="L707" s="6" t="s">
        <v>18</v>
      </c>
      <c r="M707" s="11"/>
      <c r="N707" s="11" t="s">
        <v>2504</v>
      </c>
    </row>
    <row r="708" spans="1:14" ht="90">
      <c r="A708" s="50" t="s">
        <v>2512</v>
      </c>
      <c r="B708" s="11" t="s">
        <v>2500</v>
      </c>
      <c r="C708" s="11" t="s">
        <v>2501</v>
      </c>
      <c r="D708" s="11" t="s">
        <v>2508</v>
      </c>
      <c r="E708" s="4" t="s">
        <v>981</v>
      </c>
      <c r="F708" s="4" t="s">
        <v>2513</v>
      </c>
      <c r="G708" s="4" t="s">
        <v>2510</v>
      </c>
      <c r="H708" s="4" t="s">
        <v>2511</v>
      </c>
      <c r="I708" s="6">
        <v>8245</v>
      </c>
      <c r="J708" s="6" t="s">
        <v>18</v>
      </c>
      <c r="K708" s="6" t="s">
        <v>18</v>
      </c>
      <c r="L708" s="6" t="s">
        <v>18</v>
      </c>
      <c r="M708" s="11"/>
      <c r="N708" s="11" t="s">
        <v>2504</v>
      </c>
    </row>
    <row r="709" spans="1:14" ht="90">
      <c r="A709" s="50" t="s">
        <v>2514</v>
      </c>
      <c r="B709" s="11" t="s">
        <v>2500</v>
      </c>
      <c r="C709" s="11" t="s">
        <v>2501</v>
      </c>
      <c r="D709" s="11" t="s">
        <v>2515</v>
      </c>
      <c r="E709" s="4" t="s">
        <v>981</v>
      </c>
      <c r="F709" s="4" t="s">
        <v>2516</v>
      </c>
      <c r="G709" s="4" t="s">
        <v>2437</v>
      </c>
      <c r="H709" s="4" t="s">
        <v>54</v>
      </c>
      <c r="I709" s="6">
        <v>2603.8000000000002</v>
      </c>
      <c r="J709" s="6" t="s">
        <v>18</v>
      </c>
      <c r="K709" s="6" t="s">
        <v>18</v>
      </c>
      <c r="L709" s="6" t="s">
        <v>18</v>
      </c>
      <c r="M709" s="11"/>
      <c r="N709" s="11" t="s">
        <v>2504</v>
      </c>
    </row>
    <row r="710" spans="1:14" ht="90">
      <c r="A710" s="50" t="s">
        <v>2517</v>
      </c>
      <c r="B710" s="11" t="s">
        <v>2500</v>
      </c>
      <c r="C710" s="11" t="s">
        <v>2501</v>
      </c>
      <c r="D710" s="11" t="s">
        <v>2515</v>
      </c>
      <c r="E710" s="4" t="s">
        <v>981</v>
      </c>
      <c r="F710" s="4" t="s">
        <v>2518</v>
      </c>
      <c r="G710" s="4" t="s">
        <v>2437</v>
      </c>
      <c r="H710" s="4" t="s">
        <v>54</v>
      </c>
      <c r="I710" s="6">
        <v>8245</v>
      </c>
      <c r="J710" s="6" t="s">
        <v>18</v>
      </c>
      <c r="K710" s="6" t="s">
        <v>18</v>
      </c>
      <c r="L710" s="6" t="s">
        <v>18</v>
      </c>
      <c r="M710" s="11"/>
      <c r="N710" s="11" t="s">
        <v>2504</v>
      </c>
    </row>
    <row r="711" spans="1:14" ht="90">
      <c r="A711" s="50" t="s">
        <v>2519</v>
      </c>
      <c r="B711" s="11" t="s">
        <v>2500</v>
      </c>
      <c r="C711" s="11" t="s">
        <v>2501</v>
      </c>
      <c r="D711" s="11" t="s">
        <v>2515</v>
      </c>
      <c r="E711" s="4" t="s">
        <v>981</v>
      </c>
      <c r="F711" s="4" t="s">
        <v>2520</v>
      </c>
      <c r="G711" s="4" t="s">
        <v>2437</v>
      </c>
      <c r="H711" s="4" t="s">
        <v>54</v>
      </c>
      <c r="I711" s="6">
        <v>21544.9</v>
      </c>
      <c r="J711" s="6" t="s">
        <v>18</v>
      </c>
      <c r="K711" s="6" t="s">
        <v>18</v>
      </c>
      <c r="L711" s="6" t="s">
        <v>18</v>
      </c>
      <c r="M711" s="11"/>
      <c r="N711" s="11" t="s">
        <v>2504</v>
      </c>
    </row>
    <row r="712" spans="1:14" ht="90">
      <c r="A712" s="50" t="s">
        <v>2521</v>
      </c>
      <c r="B712" s="11" t="s">
        <v>2500</v>
      </c>
      <c r="C712" s="11" t="s">
        <v>2501</v>
      </c>
      <c r="D712" s="11" t="s">
        <v>2522</v>
      </c>
      <c r="E712" s="4" t="s">
        <v>981</v>
      </c>
      <c r="F712" s="4" t="s">
        <v>2523</v>
      </c>
      <c r="G712" s="4" t="s">
        <v>2448</v>
      </c>
      <c r="H712" s="4" t="s">
        <v>1231</v>
      </c>
      <c r="I712" s="6">
        <v>2603.8000000000002</v>
      </c>
      <c r="J712" s="6" t="s">
        <v>18</v>
      </c>
      <c r="K712" s="6" t="s">
        <v>18</v>
      </c>
      <c r="L712" s="6" t="s">
        <v>18</v>
      </c>
      <c r="M712" s="11"/>
      <c r="N712" s="11" t="s">
        <v>2504</v>
      </c>
    </row>
    <row r="713" spans="1:14" ht="90">
      <c r="A713" s="50" t="s">
        <v>2524</v>
      </c>
      <c r="B713" s="11" t="s">
        <v>2500</v>
      </c>
      <c r="C713" s="11" t="s">
        <v>2501</v>
      </c>
      <c r="D713" s="11" t="s">
        <v>2522</v>
      </c>
      <c r="E713" s="4" t="s">
        <v>981</v>
      </c>
      <c r="F713" s="4" t="s">
        <v>2525</v>
      </c>
      <c r="G713" s="4" t="s">
        <v>2448</v>
      </c>
      <c r="H713" s="4" t="s">
        <v>1231</v>
      </c>
      <c r="I713" s="6">
        <v>8245</v>
      </c>
      <c r="J713" s="6" t="s">
        <v>18</v>
      </c>
      <c r="K713" s="6" t="s">
        <v>18</v>
      </c>
      <c r="L713" s="6" t="s">
        <v>18</v>
      </c>
      <c r="M713" s="11"/>
      <c r="N713" s="11" t="s">
        <v>2504</v>
      </c>
    </row>
    <row r="714" spans="1:14" ht="90">
      <c r="A714" s="50" t="s">
        <v>2529</v>
      </c>
      <c r="B714" s="13" t="s">
        <v>2500</v>
      </c>
      <c r="C714" s="11" t="s">
        <v>2501</v>
      </c>
      <c r="D714" s="11" t="s">
        <v>2527</v>
      </c>
      <c r="E714" s="4" t="s">
        <v>981</v>
      </c>
      <c r="F714" s="4" t="s">
        <v>2530</v>
      </c>
      <c r="G714" s="4" t="s">
        <v>2430</v>
      </c>
      <c r="H714" s="4" t="s">
        <v>1231</v>
      </c>
      <c r="I714" s="6">
        <v>2496.8000000000002</v>
      </c>
      <c r="J714" s="6" t="s">
        <v>18</v>
      </c>
      <c r="K714" s="6" t="s">
        <v>18</v>
      </c>
      <c r="L714" s="6" t="s">
        <v>18</v>
      </c>
      <c r="M714" s="11"/>
      <c r="N714" s="11" t="s">
        <v>2504</v>
      </c>
    </row>
    <row r="715" spans="1:14" ht="90">
      <c r="A715" s="50" t="s">
        <v>2526</v>
      </c>
      <c r="B715" s="50" t="s">
        <v>2500</v>
      </c>
      <c r="C715" s="11" t="s">
        <v>2501</v>
      </c>
      <c r="D715" s="11" t="s">
        <v>2527</v>
      </c>
      <c r="E715" s="4" t="s">
        <v>981</v>
      </c>
      <c r="F715" s="4" t="s">
        <v>2528</v>
      </c>
      <c r="G715" s="4" t="s">
        <v>2430</v>
      </c>
      <c r="H715" s="4" t="s">
        <v>1231</v>
      </c>
      <c r="I715" s="6">
        <v>6596.5</v>
      </c>
      <c r="J715" s="6" t="s">
        <v>18</v>
      </c>
      <c r="K715" s="6" t="s">
        <v>18</v>
      </c>
      <c r="L715" s="6" t="s">
        <v>18</v>
      </c>
      <c r="M715" s="11"/>
      <c r="N715" s="11" t="s">
        <v>2504</v>
      </c>
    </row>
    <row r="716" spans="1:14" ht="90">
      <c r="A716" s="50" t="s">
        <v>3833</v>
      </c>
      <c r="B716" s="50" t="s">
        <v>2500</v>
      </c>
      <c r="C716" s="11" t="s">
        <v>2501</v>
      </c>
      <c r="D716" s="11" t="s">
        <v>3834</v>
      </c>
      <c r="E716" s="4" t="s">
        <v>981</v>
      </c>
      <c r="F716" s="4" t="s">
        <v>3835</v>
      </c>
      <c r="G716" s="4" t="s">
        <v>2545</v>
      </c>
      <c r="H716" s="4" t="s">
        <v>34</v>
      </c>
      <c r="I716" s="6">
        <v>21544.9</v>
      </c>
      <c r="J716" s="6" t="s">
        <v>18</v>
      </c>
      <c r="K716" s="6" t="s">
        <v>18</v>
      </c>
      <c r="L716" s="6" t="s">
        <v>18</v>
      </c>
      <c r="M716" s="11"/>
      <c r="N716" s="11" t="s">
        <v>2504</v>
      </c>
    </row>
    <row r="717" spans="1:14" ht="90">
      <c r="A717" s="50" t="s">
        <v>2531</v>
      </c>
      <c r="B717" s="11" t="s">
        <v>2532</v>
      </c>
      <c r="C717" s="11" t="s">
        <v>2533</v>
      </c>
      <c r="D717" s="11" t="s">
        <v>2534</v>
      </c>
      <c r="E717" s="4" t="s">
        <v>981</v>
      </c>
      <c r="F717" s="4" t="s">
        <v>2535</v>
      </c>
      <c r="G717" s="4" t="s">
        <v>3674</v>
      </c>
      <c r="H717" s="4" t="s">
        <v>1468</v>
      </c>
      <c r="I717" s="6">
        <v>2313.6</v>
      </c>
      <c r="J717" s="6" t="s">
        <v>18</v>
      </c>
      <c r="K717" s="6" t="s">
        <v>18</v>
      </c>
      <c r="L717" s="6" t="s">
        <v>18</v>
      </c>
      <c r="M717" s="11"/>
      <c r="N717" s="11" t="s">
        <v>2536</v>
      </c>
    </row>
    <row r="718" spans="1:14" ht="90">
      <c r="A718" s="50" t="s">
        <v>2537</v>
      </c>
      <c r="B718" s="11" t="s">
        <v>2532</v>
      </c>
      <c r="C718" s="11" t="s">
        <v>2533</v>
      </c>
      <c r="D718" s="11" t="s">
        <v>2534</v>
      </c>
      <c r="E718" s="4" t="s">
        <v>981</v>
      </c>
      <c r="F718" s="4" t="s">
        <v>2538</v>
      </c>
      <c r="G718" s="4" t="s">
        <v>3674</v>
      </c>
      <c r="H718" s="4" t="s">
        <v>1468</v>
      </c>
      <c r="I718" s="6">
        <v>8637.9</v>
      </c>
      <c r="J718" s="6" t="s">
        <v>18</v>
      </c>
      <c r="K718" s="6" t="s">
        <v>18</v>
      </c>
      <c r="L718" s="6" t="s">
        <v>18</v>
      </c>
      <c r="M718" s="11"/>
      <c r="N718" s="11" t="s">
        <v>2536</v>
      </c>
    </row>
    <row r="719" spans="1:14" ht="90">
      <c r="A719" s="59" t="s">
        <v>2539</v>
      </c>
      <c r="B719" s="12" t="s">
        <v>2532</v>
      </c>
      <c r="C719" s="11" t="s">
        <v>2533</v>
      </c>
      <c r="D719" s="11" t="s">
        <v>2540</v>
      </c>
      <c r="E719" s="4" t="s">
        <v>981</v>
      </c>
      <c r="F719" s="4" t="s">
        <v>2541</v>
      </c>
      <c r="G719" s="4" t="s">
        <v>3691</v>
      </c>
      <c r="H719" s="4" t="s">
        <v>138</v>
      </c>
      <c r="I719" s="6">
        <v>1577.1</v>
      </c>
      <c r="J719" s="6" t="s">
        <v>18</v>
      </c>
      <c r="K719" s="6" t="s">
        <v>18</v>
      </c>
      <c r="L719" s="6" t="s">
        <v>18</v>
      </c>
      <c r="M719" s="11"/>
      <c r="N719" s="11" t="s">
        <v>2536</v>
      </c>
    </row>
    <row r="720" spans="1:14" ht="90">
      <c r="A720" s="59" t="s">
        <v>2542</v>
      </c>
      <c r="B720" s="12" t="s">
        <v>2532</v>
      </c>
      <c r="C720" s="11" t="s">
        <v>2533</v>
      </c>
      <c r="D720" s="11" t="s">
        <v>2540</v>
      </c>
      <c r="E720" s="4" t="s">
        <v>981</v>
      </c>
      <c r="F720" s="4" t="s">
        <v>3723</v>
      </c>
      <c r="G720" s="4" t="s">
        <v>3691</v>
      </c>
      <c r="H720" s="4" t="s">
        <v>138</v>
      </c>
      <c r="I720" s="6">
        <v>6235.7</v>
      </c>
      <c r="J720" s="6" t="s">
        <v>18</v>
      </c>
      <c r="K720" s="6" t="s">
        <v>18</v>
      </c>
      <c r="L720" s="6" t="s">
        <v>18</v>
      </c>
      <c r="M720" s="11"/>
      <c r="N720" s="11" t="s">
        <v>2536</v>
      </c>
    </row>
    <row r="721" spans="1:14" ht="90">
      <c r="A721" s="54" t="s">
        <v>2543</v>
      </c>
      <c r="B721" s="13" t="s">
        <v>2532</v>
      </c>
      <c r="C721" s="11" t="s">
        <v>2533</v>
      </c>
      <c r="D721" s="11" t="s">
        <v>2544</v>
      </c>
      <c r="E721" s="55" t="s">
        <v>981</v>
      </c>
      <c r="F721" s="55" t="s">
        <v>2541</v>
      </c>
      <c r="G721" s="55" t="s">
        <v>2545</v>
      </c>
      <c r="H721" s="55" t="s">
        <v>34</v>
      </c>
      <c r="I721" s="6">
        <v>1577.1</v>
      </c>
      <c r="J721" s="6" t="s">
        <v>18</v>
      </c>
      <c r="K721" s="6" t="s">
        <v>18</v>
      </c>
      <c r="L721" s="6" t="s">
        <v>18</v>
      </c>
      <c r="M721" s="11"/>
      <c r="N721" s="11" t="s">
        <v>2536</v>
      </c>
    </row>
    <row r="722" spans="1:14" ht="90">
      <c r="A722" s="54" t="s">
        <v>2546</v>
      </c>
      <c r="B722" s="13" t="s">
        <v>2532</v>
      </c>
      <c r="C722" s="11" t="s">
        <v>2533</v>
      </c>
      <c r="D722" s="11" t="s">
        <v>2544</v>
      </c>
      <c r="E722" s="55" t="s">
        <v>981</v>
      </c>
      <c r="F722" s="55" t="s">
        <v>2547</v>
      </c>
      <c r="G722" s="55" t="s">
        <v>2545</v>
      </c>
      <c r="H722" s="55" t="s">
        <v>34</v>
      </c>
      <c r="I722" s="6">
        <v>6235.7</v>
      </c>
      <c r="J722" s="6" t="s">
        <v>18</v>
      </c>
      <c r="K722" s="6" t="s">
        <v>18</v>
      </c>
      <c r="L722" s="6" t="s">
        <v>18</v>
      </c>
      <c r="M722" s="11"/>
      <c r="N722" s="11" t="s">
        <v>2536</v>
      </c>
    </row>
    <row r="723" spans="1:14" ht="90">
      <c r="A723" s="61" t="s">
        <v>2548</v>
      </c>
      <c r="B723" s="11" t="s">
        <v>2532</v>
      </c>
      <c r="C723" s="11" t="s">
        <v>2533</v>
      </c>
      <c r="D723" s="11" t="s">
        <v>2549</v>
      </c>
      <c r="E723" s="4" t="s">
        <v>981</v>
      </c>
      <c r="F723" s="4" t="s">
        <v>2550</v>
      </c>
      <c r="G723" s="4" t="s">
        <v>2451</v>
      </c>
      <c r="H723" s="4" t="s">
        <v>34</v>
      </c>
      <c r="I723" s="6">
        <v>1577.1</v>
      </c>
      <c r="J723" s="6" t="s">
        <v>18</v>
      </c>
      <c r="K723" s="6" t="s">
        <v>18</v>
      </c>
      <c r="L723" s="6" t="s">
        <v>18</v>
      </c>
      <c r="M723" s="11"/>
      <c r="N723" s="11" t="s">
        <v>2536</v>
      </c>
    </row>
    <row r="724" spans="1:14" ht="90">
      <c r="A724" s="61" t="s">
        <v>2551</v>
      </c>
      <c r="B724" s="11" t="s">
        <v>2532</v>
      </c>
      <c r="C724" s="11" t="s">
        <v>2533</v>
      </c>
      <c r="D724" s="11" t="s">
        <v>2549</v>
      </c>
      <c r="E724" s="4" t="s">
        <v>981</v>
      </c>
      <c r="F724" s="4" t="s">
        <v>2552</v>
      </c>
      <c r="G724" s="4" t="s">
        <v>2451</v>
      </c>
      <c r="H724" s="4" t="s">
        <v>34</v>
      </c>
      <c r="I724" s="6">
        <v>6235.7</v>
      </c>
      <c r="J724" s="6" t="s">
        <v>18</v>
      </c>
      <c r="K724" s="6" t="s">
        <v>18</v>
      </c>
      <c r="L724" s="6" t="s">
        <v>18</v>
      </c>
      <c r="M724" s="11"/>
      <c r="N724" s="11" t="s">
        <v>2536</v>
      </c>
    </row>
    <row r="725" spans="1:14" ht="90">
      <c r="A725" s="61" t="s">
        <v>2553</v>
      </c>
      <c r="B725" s="11" t="s">
        <v>2532</v>
      </c>
      <c r="C725" s="11" t="s">
        <v>2533</v>
      </c>
      <c r="D725" s="11" t="s">
        <v>2549</v>
      </c>
      <c r="E725" s="4" t="s">
        <v>981</v>
      </c>
      <c r="F725" s="4" t="s">
        <v>2554</v>
      </c>
      <c r="G725" s="4" t="s">
        <v>2451</v>
      </c>
      <c r="H725" s="4" t="s">
        <v>34</v>
      </c>
      <c r="I725" s="6">
        <v>12471.3</v>
      </c>
      <c r="J725" s="6" t="s">
        <v>18</v>
      </c>
      <c r="K725" s="6" t="s">
        <v>18</v>
      </c>
      <c r="L725" s="6" t="s">
        <v>18</v>
      </c>
      <c r="M725" s="11"/>
      <c r="N725" s="11" t="s">
        <v>2536</v>
      </c>
    </row>
    <row r="726" spans="1:14" ht="22.5">
      <c r="A726" s="50" t="s">
        <v>2555</v>
      </c>
      <c r="B726" s="11" t="s">
        <v>2556</v>
      </c>
      <c r="C726" s="11" t="s">
        <v>2557</v>
      </c>
      <c r="D726" s="11" t="s">
        <v>2558</v>
      </c>
      <c r="E726" s="4" t="s">
        <v>981</v>
      </c>
      <c r="F726" s="4" t="s">
        <v>2559</v>
      </c>
      <c r="G726" s="4" t="s">
        <v>3667</v>
      </c>
      <c r="H726" s="4" t="s">
        <v>133</v>
      </c>
      <c r="I726" s="6">
        <v>529.9</v>
      </c>
      <c r="J726" s="6" t="s">
        <v>18</v>
      </c>
      <c r="K726" s="6" t="s">
        <v>18</v>
      </c>
      <c r="L726" s="6" t="s">
        <v>18</v>
      </c>
      <c r="M726" s="11"/>
      <c r="N726" s="11"/>
    </row>
    <row r="727" spans="1:14" ht="22.5">
      <c r="A727" s="50" t="s">
        <v>2560</v>
      </c>
      <c r="B727" s="11" t="s">
        <v>2556</v>
      </c>
      <c r="C727" s="11" t="s">
        <v>2557</v>
      </c>
      <c r="D727" s="11" t="s">
        <v>2558</v>
      </c>
      <c r="E727" s="4" t="s">
        <v>981</v>
      </c>
      <c r="F727" s="4" t="s">
        <v>2561</v>
      </c>
      <c r="G727" s="4" t="s">
        <v>3667</v>
      </c>
      <c r="H727" s="4" t="s">
        <v>133</v>
      </c>
      <c r="I727" s="6">
        <v>1718</v>
      </c>
      <c r="J727" s="6" t="s">
        <v>18</v>
      </c>
      <c r="K727" s="6" t="s">
        <v>18</v>
      </c>
      <c r="L727" s="6" t="s">
        <v>18</v>
      </c>
      <c r="M727" s="11"/>
      <c r="N727" s="11"/>
    </row>
    <row r="728" spans="1:14" ht="45">
      <c r="A728" s="50" t="s">
        <v>2562</v>
      </c>
      <c r="B728" s="11" t="s">
        <v>2556</v>
      </c>
      <c r="C728" s="11" t="s">
        <v>2557</v>
      </c>
      <c r="D728" s="11" t="s">
        <v>2563</v>
      </c>
      <c r="E728" s="4" t="s">
        <v>345</v>
      </c>
      <c r="F728" s="4" t="s">
        <v>2564</v>
      </c>
      <c r="G728" s="4" t="s">
        <v>3668</v>
      </c>
      <c r="H728" s="4" t="s">
        <v>471</v>
      </c>
      <c r="I728" s="6">
        <v>529.9</v>
      </c>
      <c r="J728" s="6" t="s">
        <v>18</v>
      </c>
      <c r="K728" s="6" t="s">
        <v>18</v>
      </c>
      <c r="L728" s="6" t="s">
        <v>18</v>
      </c>
      <c r="M728" s="11"/>
      <c r="N728" s="11"/>
    </row>
    <row r="729" spans="1:14" ht="22.5">
      <c r="A729" s="50" t="s">
        <v>2565</v>
      </c>
      <c r="B729" s="11" t="s">
        <v>2556</v>
      </c>
      <c r="C729" s="11" t="s">
        <v>2557</v>
      </c>
      <c r="D729" s="11" t="s">
        <v>2563</v>
      </c>
      <c r="E729" s="4" t="s">
        <v>32</v>
      </c>
      <c r="F729" s="4" t="s">
        <v>1999</v>
      </c>
      <c r="G729" s="4" t="s">
        <v>3668</v>
      </c>
      <c r="H729" s="4" t="s">
        <v>471</v>
      </c>
      <c r="I729" s="6">
        <v>1199.4000000000001</v>
      </c>
      <c r="J729" s="6" t="s">
        <v>18</v>
      </c>
      <c r="K729" s="6" t="s">
        <v>18</v>
      </c>
      <c r="L729" s="6" t="s">
        <v>18</v>
      </c>
      <c r="M729" s="11"/>
      <c r="N729" s="11"/>
    </row>
    <row r="730" spans="1:14" ht="45">
      <c r="A730" s="61" t="s">
        <v>2566</v>
      </c>
      <c r="B730" s="12" t="s">
        <v>2556</v>
      </c>
      <c r="C730" s="12" t="s">
        <v>2557</v>
      </c>
      <c r="D730" s="11" t="s">
        <v>2567</v>
      </c>
      <c r="E730" s="4" t="s">
        <v>981</v>
      </c>
      <c r="F730" s="4" t="s">
        <v>2568</v>
      </c>
      <c r="G730" s="4" t="s">
        <v>2569</v>
      </c>
      <c r="H730" s="4" t="s">
        <v>1138</v>
      </c>
      <c r="I730" s="6">
        <v>529.9</v>
      </c>
      <c r="J730" s="7" t="s">
        <v>18</v>
      </c>
      <c r="K730" s="40" t="s">
        <v>18</v>
      </c>
      <c r="L730" s="6" t="s">
        <v>18</v>
      </c>
      <c r="M730" s="11"/>
      <c r="N730" s="11"/>
    </row>
    <row r="731" spans="1:14" ht="45">
      <c r="A731" s="61" t="s">
        <v>2570</v>
      </c>
      <c r="B731" s="12" t="s">
        <v>2556</v>
      </c>
      <c r="C731" s="12" t="s">
        <v>2557</v>
      </c>
      <c r="D731" s="11" t="s">
        <v>2567</v>
      </c>
      <c r="E731" s="4" t="s">
        <v>981</v>
      </c>
      <c r="F731" s="4" t="s">
        <v>2571</v>
      </c>
      <c r="G731" s="4" t="s">
        <v>2569</v>
      </c>
      <c r="H731" s="4" t="s">
        <v>1138</v>
      </c>
      <c r="I731" s="6">
        <v>1718</v>
      </c>
      <c r="J731" s="7" t="s">
        <v>18</v>
      </c>
      <c r="K731" s="40" t="s">
        <v>18</v>
      </c>
      <c r="L731" s="6" t="s">
        <v>18</v>
      </c>
      <c r="M731" s="11"/>
      <c r="N731" s="11"/>
    </row>
    <row r="732" spans="1:14" ht="45">
      <c r="A732" s="50" t="s">
        <v>2572</v>
      </c>
      <c r="B732" s="11" t="s">
        <v>2573</v>
      </c>
      <c r="C732" s="11" t="s">
        <v>2574</v>
      </c>
      <c r="D732" s="11" t="s">
        <v>2575</v>
      </c>
      <c r="E732" s="4" t="s">
        <v>345</v>
      </c>
      <c r="F732" s="4" t="s">
        <v>2576</v>
      </c>
      <c r="G732" s="4" t="s">
        <v>3579</v>
      </c>
      <c r="H732" s="4" t="s">
        <v>471</v>
      </c>
      <c r="I732" s="6">
        <v>1446.3</v>
      </c>
      <c r="J732" s="6" t="s">
        <v>18</v>
      </c>
      <c r="K732" s="6" t="s">
        <v>18</v>
      </c>
      <c r="L732" s="6" t="s">
        <v>18</v>
      </c>
      <c r="M732" s="11"/>
      <c r="N732" s="11"/>
    </row>
    <row r="733" spans="1:14" ht="45">
      <c r="A733" s="50" t="s">
        <v>2577</v>
      </c>
      <c r="B733" s="11" t="s">
        <v>2578</v>
      </c>
      <c r="C733" s="11" t="s">
        <v>2579</v>
      </c>
      <c r="D733" s="11" t="s">
        <v>2580</v>
      </c>
      <c r="E733" s="4" t="s">
        <v>345</v>
      </c>
      <c r="F733" s="4" t="s">
        <v>2581</v>
      </c>
      <c r="G733" s="4" t="s">
        <v>3579</v>
      </c>
      <c r="H733" s="4" t="s">
        <v>471</v>
      </c>
      <c r="I733" s="6">
        <v>295.60000000000002</v>
      </c>
      <c r="J733" s="6" t="s">
        <v>18</v>
      </c>
      <c r="K733" s="6" t="s">
        <v>18</v>
      </c>
      <c r="L733" s="6" t="s">
        <v>18</v>
      </c>
      <c r="M733" s="11"/>
      <c r="N733" s="11"/>
    </row>
    <row r="734" spans="1:14" ht="22.5">
      <c r="A734" s="50" t="s">
        <v>2582</v>
      </c>
      <c r="B734" s="11" t="s">
        <v>2578</v>
      </c>
      <c r="C734" s="11" t="s">
        <v>2579</v>
      </c>
      <c r="D734" s="11" t="s">
        <v>2580</v>
      </c>
      <c r="E734" s="4" t="s">
        <v>32</v>
      </c>
      <c r="F734" s="4" t="s">
        <v>2583</v>
      </c>
      <c r="G734" s="4" t="s">
        <v>3579</v>
      </c>
      <c r="H734" s="4" t="s">
        <v>471</v>
      </c>
      <c r="I734" s="6">
        <v>3376.6</v>
      </c>
      <c r="J734" s="6" t="s">
        <v>18</v>
      </c>
      <c r="K734" s="6" t="s">
        <v>18</v>
      </c>
      <c r="L734" s="6" t="s">
        <v>18</v>
      </c>
      <c r="M734" s="11"/>
      <c r="N734" s="11"/>
    </row>
    <row r="735" spans="1:14" ht="22.5">
      <c r="A735" s="50" t="s">
        <v>2584</v>
      </c>
      <c r="B735" s="11" t="s">
        <v>2585</v>
      </c>
      <c r="C735" s="11" t="s">
        <v>2586</v>
      </c>
      <c r="D735" s="11" t="s">
        <v>2587</v>
      </c>
      <c r="E735" s="4" t="s">
        <v>59</v>
      </c>
      <c r="F735" s="4" t="s">
        <v>2588</v>
      </c>
      <c r="G735" s="4" t="s">
        <v>2589</v>
      </c>
      <c r="H735" s="4" t="s">
        <v>2590</v>
      </c>
      <c r="I735" s="6">
        <v>2227.8000000000002</v>
      </c>
      <c r="J735" s="6" t="s">
        <v>18</v>
      </c>
      <c r="K735" s="6" t="s">
        <v>18</v>
      </c>
      <c r="L735" s="6" t="s">
        <v>18</v>
      </c>
      <c r="M735" s="11"/>
      <c r="N735" s="11"/>
    </row>
    <row r="736" spans="1:14" ht="22.5">
      <c r="A736" s="50" t="s">
        <v>2591</v>
      </c>
      <c r="B736" s="11" t="s">
        <v>2592</v>
      </c>
      <c r="C736" s="11" t="s">
        <v>2593</v>
      </c>
      <c r="D736" s="11" t="s">
        <v>2594</v>
      </c>
      <c r="E736" s="4" t="s">
        <v>981</v>
      </c>
      <c r="F736" s="4" t="s">
        <v>3724</v>
      </c>
      <c r="G736" s="4" t="s">
        <v>3667</v>
      </c>
      <c r="H736" s="4" t="s">
        <v>133</v>
      </c>
      <c r="I736" s="6">
        <v>430.7</v>
      </c>
      <c r="J736" s="6" t="s">
        <v>18</v>
      </c>
      <c r="K736" s="6" t="s">
        <v>18</v>
      </c>
      <c r="L736" s="6" t="s">
        <v>18</v>
      </c>
      <c r="M736" s="11"/>
      <c r="N736" s="11"/>
    </row>
    <row r="737" spans="1:14" ht="22.5">
      <c r="A737" s="50" t="s">
        <v>2595</v>
      </c>
      <c r="B737" s="11" t="s">
        <v>2592</v>
      </c>
      <c r="C737" s="11" t="s">
        <v>2593</v>
      </c>
      <c r="D737" s="11" t="s">
        <v>2594</v>
      </c>
      <c r="E737" s="4" t="s">
        <v>981</v>
      </c>
      <c r="F737" s="4" t="s">
        <v>3725</v>
      </c>
      <c r="G737" s="4" t="s">
        <v>3667</v>
      </c>
      <c r="H737" s="4" t="s">
        <v>133</v>
      </c>
      <c r="I737" s="6">
        <v>1615.3</v>
      </c>
      <c r="J737" s="6" t="s">
        <v>18</v>
      </c>
      <c r="K737" s="6" t="s">
        <v>18</v>
      </c>
      <c r="L737" s="6" t="s">
        <v>18</v>
      </c>
      <c r="M737" s="11"/>
      <c r="N737" s="11"/>
    </row>
    <row r="738" spans="1:14" ht="22.5">
      <c r="A738" s="50" t="s">
        <v>2597</v>
      </c>
      <c r="B738" s="11" t="s">
        <v>2592</v>
      </c>
      <c r="C738" s="11" t="s">
        <v>2593</v>
      </c>
      <c r="D738" s="11" t="s">
        <v>2596</v>
      </c>
      <c r="E738" s="4" t="s">
        <v>981</v>
      </c>
      <c r="F738" s="4" t="s">
        <v>2598</v>
      </c>
      <c r="G738" s="55" t="s">
        <v>3671</v>
      </c>
      <c r="H738" s="4" t="s">
        <v>2368</v>
      </c>
      <c r="I738" s="6">
        <v>905.9</v>
      </c>
      <c r="J738" s="6" t="s">
        <v>18</v>
      </c>
      <c r="K738" s="6" t="s">
        <v>18</v>
      </c>
      <c r="L738" s="6" t="s">
        <v>18</v>
      </c>
      <c r="M738" s="11"/>
      <c r="N738" s="11"/>
    </row>
    <row r="739" spans="1:14" ht="45">
      <c r="A739" s="50" t="s">
        <v>2599</v>
      </c>
      <c r="B739" s="11" t="s">
        <v>2592</v>
      </c>
      <c r="C739" s="12" t="s">
        <v>2593</v>
      </c>
      <c r="D739" s="11" t="s">
        <v>2600</v>
      </c>
      <c r="E739" s="4" t="s">
        <v>981</v>
      </c>
      <c r="F739" s="4" t="s">
        <v>2601</v>
      </c>
      <c r="G739" s="4" t="s">
        <v>2602</v>
      </c>
      <c r="H739" s="4" t="s">
        <v>1138</v>
      </c>
      <c r="I739" s="6">
        <v>430.7</v>
      </c>
      <c r="J739" s="4" t="s">
        <v>18</v>
      </c>
      <c r="K739" s="4" t="s">
        <v>18</v>
      </c>
      <c r="L739" s="6" t="s">
        <v>18</v>
      </c>
      <c r="M739" s="11"/>
      <c r="N739" s="11"/>
    </row>
    <row r="740" spans="1:14" ht="45">
      <c r="A740" s="50" t="s">
        <v>2603</v>
      </c>
      <c r="B740" s="11" t="s">
        <v>2592</v>
      </c>
      <c r="C740" s="12" t="s">
        <v>2593</v>
      </c>
      <c r="D740" s="11" t="s">
        <v>2600</v>
      </c>
      <c r="E740" s="4" t="s">
        <v>981</v>
      </c>
      <c r="F740" s="4" t="s">
        <v>2604</v>
      </c>
      <c r="G740" s="4" t="s">
        <v>2602</v>
      </c>
      <c r="H740" s="4" t="s">
        <v>1138</v>
      </c>
      <c r="I740" s="6">
        <v>1615.3</v>
      </c>
      <c r="J740" s="4" t="s">
        <v>18</v>
      </c>
      <c r="K740" s="4" t="s">
        <v>18</v>
      </c>
      <c r="L740" s="6" t="s">
        <v>18</v>
      </c>
      <c r="M740" s="11"/>
      <c r="N740" s="11"/>
    </row>
    <row r="741" spans="1:14" ht="22.5">
      <c r="A741" s="50" t="s">
        <v>2605</v>
      </c>
      <c r="B741" s="11" t="s">
        <v>2606</v>
      </c>
      <c r="C741" s="11" t="s">
        <v>2607</v>
      </c>
      <c r="D741" s="11" t="s">
        <v>2608</v>
      </c>
      <c r="E741" s="4" t="s">
        <v>981</v>
      </c>
      <c r="F741" s="4" t="s">
        <v>2609</v>
      </c>
      <c r="G741" s="55" t="s">
        <v>3685</v>
      </c>
      <c r="H741" s="4" t="s">
        <v>2368</v>
      </c>
      <c r="I741" s="8">
        <v>1353</v>
      </c>
      <c r="J741" s="6" t="s">
        <v>18</v>
      </c>
      <c r="K741" s="6" t="s">
        <v>18</v>
      </c>
      <c r="L741" s="6" t="s">
        <v>18</v>
      </c>
      <c r="M741" s="11"/>
      <c r="N741" s="11"/>
    </row>
    <row r="742" spans="1:14" ht="22.5">
      <c r="A742" s="50" t="s">
        <v>2610</v>
      </c>
      <c r="B742" s="11" t="s">
        <v>2606</v>
      </c>
      <c r="C742" s="11" t="s">
        <v>2607</v>
      </c>
      <c r="D742" s="11" t="s">
        <v>2611</v>
      </c>
      <c r="E742" s="4" t="s">
        <v>981</v>
      </c>
      <c r="F742" s="4" t="s">
        <v>2612</v>
      </c>
      <c r="G742" s="4" t="s">
        <v>2498</v>
      </c>
      <c r="H742" s="4" t="s">
        <v>1468</v>
      </c>
      <c r="I742" s="5">
        <v>1503.4</v>
      </c>
      <c r="J742" s="6" t="s">
        <v>18</v>
      </c>
      <c r="K742" s="6" t="s">
        <v>18</v>
      </c>
      <c r="L742" s="6" t="s">
        <v>18</v>
      </c>
      <c r="M742" s="11"/>
      <c r="N742" s="11"/>
    </row>
    <row r="743" spans="1:14" ht="22.5">
      <c r="A743" s="50" t="s">
        <v>2613</v>
      </c>
      <c r="B743" s="11" t="s">
        <v>2606</v>
      </c>
      <c r="C743" s="11" t="s">
        <v>2607</v>
      </c>
      <c r="D743" s="11" t="s">
        <v>2611</v>
      </c>
      <c r="E743" s="4" t="s">
        <v>981</v>
      </c>
      <c r="F743" s="4" t="s">
        <v>2614</v>
      </c>
      <c r="G743" s="4" t="s">
        <v>2498</v>
      </c>
      <c r="H743" s="4" t="s">
        <v>1468</v>
      </c>
      <c r="I743" s="5">
        <v>5147.6000000000004</v>
      </c>
      <c r="J743" s="6" t="s">
        <v>18</v>
      </c>
      <c r="K743" s="6" t="s">
        <v>18</v>
      </c>
      <c r="L743" s="6" t="s">
        <v>18</v>
      </c>
      <c r="M743" s="11"/>
      <c r="N743" s="11"/>
    </row>
    <row r="744" spans="1:14" s="52" customFormat="1" ht="22.5">
      <c r="A744" s="61" t="s">
        <v>2615</v>
      </c>
      <c r="B744" s="12" t="s">
        <v>2606</v>
      </c>
      <c r="C744" s="11" t="s">
        <v>2607</v>
      </c>
      <c r="D744" s="11" t="s">
        <v>2616</v>
      </c>
      <c r="E744" s="4" t="s">
        <v>981</v>
      </c>
      <c r="F744" s="95" t="s">
        <v>2617</v>
      </c>
      <c r="G744" s="4" t="s">
        <v>3667</v>
      </c>
      <c r="H744" s="95" t="s">
        <v>133</v>
      </c>
      <c r="I744" s="5">
        <v>1503.4</v>
      </c>
      <c r="J744" s="6" t="s">
        <v>18</v>
      </c>
      <c r="K744" s="5" t="s">
        <v>18</v>
      </c>
      <c r="L744" s="7" t="s">
        <v>18</v>
      </c>
      <c r="M744" s="11"/>
      <c r="N744" s="11"/>
    </row>
    <row r="745" spans="1:14" s="52" customFormat="1" ht="22.5">
      <c r="A745" s="61" t="s">
        <v>2618</v>
      </c>
      <c r="B745" s="12" t="s">
        <v>2606</v>
      </c>
      <c r="C745" s="11" t="s">
        <v>2607</v>
      </c>
      <c r="D745" s="11" t="s">
        <v>2616</v>
      </c>
      <c r="E745" s="4" t="s">
        <v>981</v>
      </c>
      <c r="F745" s="95" t="s">
        <v>2619</v>
      </c>
      <c r="G745" s="4" t="s">
        <v>3667</v>
      </c>
      <c r="H745" s="95" t="s">
        <v>133</v>
      </c>
      <c r="I745" s="5">
        <v>5147.6000000000004</v>
      </c>
      <c r="J745" s="6" t="s">
        <v>18</v>
      </c>
      <c r="K745" s="5" t="s">
        <v>18</v>
      </c>
      <c r="L745" s="7" t="s">
        <v>18</v>
      </c>
      <c r="M745" s="11"/>
      <c r="N745" s="11"/>
    </row>
    <row r="746" spans="1:14" s="52" customFormat="1" ht="45">
      <c r="A746" s="51" t="s">
        <v>2620</v>
      </c>
      <c r="B746" s="13" t="s">
        <v>2606</v>
      </c>
      <c r="C746" s="11" t="s">
        <v>2607</v>
      </c>
      <c r="D746" s="11" t="s">
        <v>2621</v>
      </c>
      <c r="E746" s="17" t="s">
        <v>981</v>
      </c>
      <c r="F746" s="4" t="s">
        <v>2612</v>
      </c>
      <c r="G746" s="4" t="s">
        <v>2622</v>
      </c>
      <c r="H746" s="4" t="s">
        <v>2623</v>
      </c>
      <c r="I746" s="8">
        <v>1353</v>
      </c>
      <c r="J746" s="8" t="s">
        <v>18</v>
      </c>
      <c r="K746" s="38" t="s">
        <v>18</v>
      </c>
      <c r="L746" s="7" t="s">
        <v>18</v>
      </c>
      <c r="M746" s="11"/>
      <c r="N746" s="11"/>
    </row>
    <row r="747" spans="1:14" s="52" customFormat="1" ht="45">
      <c r="A747" s="51" t="s">
        <v>2624</v>
      </c>
      <c r="B747" s="13" t="s">
        <v>2606</v>
      </c>
      <c r="C747" s="11" t="s">
        <v>2607</v>
      </c>
      <c r="D747" s="11" t="s">
        <v>2621</v>
      </c>
      <c r="E747" s="17" t="s">
        <v>981</v>
      </c>
      <c r="F747" s="4" t="s">
        <v>2614</v>
      </c>
      <c r="G747" s="4" t="s">
        <v>2622</v>
      </c>
      <c r="H747" s="4" t="s">
        <v>2623</v>
      </c>
      <c r="I747" s="8">
        <v>4632.8</v>
      </c>
      <c r="J747" s="8" t="s">
        <v>18</v>
      </c>
      <c r="K747" s="38" t="s">
        <v>18</v>
      </c>
      <c r="L747" s="7" t="s">
        <v>18</v>
      </c>
      <c r="M747" s="11"/>
      <c r="N747" s="11"/>
    </row>
    <row r="748" spans="1:14" ht="90">
      <c r="A748" s="50" t="s">
        <v>2625</v>
      </c>
      <c r="B748" s="11" t="s">
        <v>2626</v>
      </c>
      <c r="C748" s="11" t="s">
        <v>2627</v>
      </c>
      <c r="D748" s="11" t="s">
        <v>2628</v>
      </c>
      <c r="E748" s="4" t="s">
        <v>981</v>
      </c>
      <c r="F748" s="4" t="s">
        <v>2629</v>
      </c>
      <c r="G748" s="4" t="s">
        <v>2630</v>
      </c>
      <c r="H748" s="4" t="s">
        <v>2631</v>
      </c>
      <c r="I748" s="6">
        <v>2415.6999999999998</v>
      </c>
      <c r="J748" s="6" t="s">
        <v>18</v>
      </c>
      <c r="K748" s="6" t="s">
        <v>18</v>
      </c>
      <c r="L748" s="6" t="s">
        <v>18</v>
      </c>
      <c r="M748" s="11"/>
      <c r="N748" s="11" t="s">
        <v>2438</v>
      </c>
    </row>
    <row r="749" spans="1:14" ht="90">
      <c r="A749" s="50" t="s">
        <v>2632</v>
      </c>
      <c r="B749" s="11" t="s">
        <v>2626</v>
      </c>
      <c r="C749" s="11" t="s">
        <v>2627</v>
      </c>
      <c r="D749" s="11" t="s">
        <v>2628</v>
      </c>
      <c r="E749" s="4" t="s">
        <v>981</v>
      </c>
      <c r="F749" s="4" t="s">
        <v>2633</v>
      </c>
      <c r="G749" s="4" t="s">
        <v>2634</v>
      </c>
      <c r="H749" s="4" t="s">
        <v>2631</v>
      </c>
      <c r="I749" s="6">
        <v>4831.6000000000004</v>
      </c>
      <c r="J749" s="6" t="s">
        <v>18</v>
      </c>
      <c r="K749" s="6" t="s">
        <v>18</v>
      </c>
      <c r="L749" s="6" t="s">
        <v>18</v>
      </c>
      <c r="M749" s="11"/>
      <c r="N749" s="11" t="s">
        <v>2438</v>
      </c>
    </row>
    <row r="750" spans="1:14" ht="90">
      <c r="A750" s="50" t="s">
        <v>2635</v>
      </c>
      <c r="B750" s="11" t="s">
        <v>2626</v>
      </c>
      <c r="C750" s="11" t="s">
        <v>2627</v>
      </c>
      <c r="D750" s="11" t="s">
        <v>2636</v>
      </c>
      <c r="E750" s="4" t="s">
        <v>981</v>
      </c>
      <c r="F750" s="4" t="s">
        <v>3726</v>
      </c>
      <c r="G750" s="4" t="s">
        <v>3667</v>
      </c>
      <c r="H750" s="4" t="s">
        <v>133</v>
      </c>
      <c r="I750" s="6">
        <v>2415.6999999999998</v>
      </c>
      <c r="J750" s="6" t="s">
        <v>18</v>
      </c>
      <c r="K750" s="6" t="s">
        <v>18</v>
      </c>
      <c r="L750" s="6" t="s">
        <v>18</v>
      </c>
      <c r="M750" s="11"/>
      <c r="N750" s="11" t="s">
        <v>2438</v>
      </c>
    </row>
    <row r="751" spans="1:14" ht="90">
      <c r="A751" s="50" t="s">
        <v>2637</v>
      </c>
      <c r="B751" s="11" t="s">
        <v>2626</v>
      </c>
      <c r="C751" s="11" t="s">
        <v>2627</v>
      </c>
      <c r="D751" s="11" t="s">
        <v>2636</v>
      </c>
      <c r="E751" s="4" t="s">
        <v>981</v>
      </c>
      <c r="F751" s="4" t="s">
        <v>2633</v>
      </c>
      <c r="G751" s="4" t="s">
        <v>3667</v>
      </c>
      <c r="H751" s="4" t="s">
        <v>133</v>
      </c>
      <c r="I751" s="6">
        <v>4831.6000000000004</v>
      </c>
      <c r="J751" s="6" t="s">
        <v>18</v>
      </c>
      <c r="K751" s="6" t="s">
        <v>18</v>
      </c>
      <c r="L751" s="6" t="s">
        <v>18</v>
      </c>
      <c r="M751" s="11"/>
      <c r="N751" s="11" t="s">
        <v>2438</v>
      </c>
    </row>
    <row r="752" spans="1:14" ht="90">
      <c r="A752" s="53" t="s">
        <v>2639</v>
      </c>
      <c r="B752" s="54" t="s">
        <v>2626</v>
      </c>
      <c r="C752" s="54" t="s">
        <v>2627</v>
      </c>
      <c r="D752" s="54" t="s">
        <v>2640</v>
      </c>
      <c r="E752" s="55" t="s">
        <v>981</v>
      </c>
      <c r="F752" s="55" t="s">
        <v>2641</v>
      </c>
      <c r="G752" s="55" t="s">
        <v>2642</v>
      </c>
      <c r="H752" s="55" t="s">
        <v>1231</v>
      </c>
      <c r="I752" s="6">
        <v>2415.6999999999998</v>
      </c>
      <c r="J752" s="4" t="s">
        <v>18</v>
      </c>
      <c r="K752" s="6" t="s">
        <v>18</v>
      </c>
      <c r="L752" s="57" t="s">
        <v>18</v>
      </c>
      <c r="M752" s="11"/>
      <c r="N752" s="11" t="s">
        <v>2438</v>
      </c>
    </row>
    <row r="753" spans="1:14" ht="90">
      <c r="A753" s="53" t="s">
        <v>2643</v>
      </c>
      <c r="B753" s="54" t="s">
        <v>2626</v>
      </c>
      <c r="C753" s="54" t="s">
        <v>2627</v>
      </c>
      <c r="D753" s="54" t="s">
        <v>2640</v>
      </c>
      <c r="E753" s="55" t="s">
        <v>981</v>
      </c>
      <c r="F753" s="55" t="s">
        <v>2644</v>
      </c>
      <c r="G753" s="55" t="s">
        <v>2642</v>
      </c>
      <c r="H753" s="55" t="s">
        <v>1231</v>
      </c>
      <c r="I753" s="6">
        <v>4831.6000000000004</v>
      </c>
      <c r="J753" s="4" t="s">
        <v>18</v>
      </c>
      <c r="K753" s="6" t="s">
        <v>18</v>
      </c>
      <c r="L753" s="57" t="s">
        <v>18</v>
      </c>
      <c r="M753" s="11"/>
      <c r="N753" s="11" t="s">
        <v>2438</v>
      </c>
    </row>
    <row r="754" spans="1:14" ht="90">
      <c r="A754" s="51" t="s">
        <v>2645</v>
      </c>
      <c r="B754" s="13" t="s">
        <v>2626</v>
      </c>
      <c r="C754" s="13" t="s">
        <v>2627</v>
      </c>
      <c r="D754" s="13" t="s">
        <v>2646</v>
      </c>
      <c r="E754" s="17" t="s">
        <v>981</v>
      </c>
      <c r="F754" s="4" t="s">
        <v>2647</v>
      </c>
      <c r="G754" s="17" t="s">
        <v>2648</v>
      </c>
      <c r="H754" s="17" t="s">
        <v>1231</v>
      </c>
      <c r="I754" s="8">
        <v>2415.6999999999998</v>
      </c>
      <c r="J754" s="17" t="s">
        <v>18</v>
      </c>
      <c r="K754" s="17" t="s">
        <v>18</v>
      </c>
      <c r="L754" s="25" t="s">
        <v>18</v>
      </c>
      <c r="M754" s="11"/>
      <c r="N754" s="11" t="s">
        <v>2438</v>
      </c>
    </row>
    <row r="755" spans="1:14" ht="90">
      <c r="A755" s="51" t="s">
        <v>2649</v>
      </c>
      <c r="B755" s="13" t="s">
        <v>2626</v>
      </c>
      <c r="C755" s="13" t="s">
        <v>2627</v>
      </c>
      <c r="D755" s="13" t="s">
        <v>2646</v>
      </c>
      <c r="E755" s="17" t="s">
        <v>981</v>
      </c>
      <c r="F755" s="4" t="s">
        <v>2638</v>
      </c>
      <c r="G755" s="17" t="s">
        <v>2650</v>
      </c>
      <c r="H755" s="17" t="s">
        <v>1231</v>
      </c>
      <c r="I755" s="8">
        <v>4831.6000000000004</v>
      </c>
      <c r="J755" s="17" t="s">
        <v>18</v>
      </c>
      <c r="K755" s="17" t="s">
        <v>18</v>
      </c>
      <c r="L755" s="25" t="s">
        <v>18</v>
      </c>
      <c r="M755" s="11"/>
      <c r="N755" s="11" t="s">
        <v>2438</v>
      </c>
    </row>
    <row r="756" spans="1:14" ht="90">
      <c r="A756" s="51" t="s">
        <v>3836</v>
      </c>
      <c r="B756" s="13" t="s">
        <v>2626</v>
      </c>
      <c r="C756" s="13" t="s">
        <v>2627</v>
      </c>
      <c r="D756" s="13" t="s">
        <v>3837</v>
      </c>
      <c r="E756" s="17" t="s">
        <v>981</v>
      </c>
      <c r="F756" s="4" t="s">
        <v>3838</v>
      </c>
      <c r="G756" s="17" t="s">
        <v>3646</v>
      </c>
      <c r="H756" s="17" t="s">
        <v>45</v>
      </c>
      <c r="I756" s="8">
        <v>2415.6999999999998</v>
      </c>
      <c r="J756" s="17" t="s">
        <v>18</v>
      </c>
      <c r="K756" s="17" t="s">
        <v>18</v>
      </c>
      <c r="L756" s="25" t="s">
        <v>18</v>
      </c>
      <c r="M756" s="11"/>
      <c r="N756" s="11" t="s">
        <v>2438</v>
      </c>
    </row>
    <row r="757" spans="1:14" ht="90">
      <c r="A757" s="51" t="s">
        <v>3839</v>
      </c>
      <c r="B757" s="13" t="s">
        <v>2626</v>
      </c>
      <c r="C757" s="13" t="s">
        <v>2627</v>
      </c>
      <c r="D757" s="13" t="s">
        <v>3837</v>
      </c>
      <c r="E757" s="17" t="s">
        <v>981</v>
      </c>
      <c r="F757" s="4" t="s">
        <v>3840</v>
      </c>
      <c r="G757" s="17" t="s">
        <v>3646</v>
      </c>
      <c r="H757" s="17" t="s">
        <v>45</v>
      </c>
      <c r="I757" s="8">
        <v>4831.6000000000004</v>
      </c>
      <c r="J757" s="17" t="s">
        <v>18</v>
      </c>
      <c r="K757" s="17" t="s">
        <v>18</v>
      </c>
      <c r="L757" s="25" t="s">
        <v>18</v>
      </c>
      <c r="M757" s="11"/>
      <c r="N757" s="11" t="s">
        <v>2438</v>
      </c>
    </row>
    <row r="758" spans="1:14" ht="405">
      <c r="A758" s="50" t="s">
        <v>2651</v>
      </c>
      <c r="B758" s="11" t="s">
        <v>2672</v>
      </c>
      <c r="C758" s="11" t="s">
        <v>2653</v>
      </c>
      <c r="D758" s="11" t="s">
        <v>2654</v>
      </c>
      <c r="E758" s="4" t="s">
        <v>240</v>
      </c>
      <c r="F758" s="4" t="s">
        <v>2655</v>
      </c>
      <c r="G758" s="4" t="s">
        <v>2890</v>
      </c>
      <c r="H758" s="4" t="s">
        <v>129</v>
      </c>
      <c r="I758" s="6">
        <v>22250.1</v>
      </c>
      <c r="J758" s="7" t="s">
        <v>1971</v>
      </c>
      <c r="K758" s="6">
        <f>(I758/120)/100*400</f>
        <v>741.67</v>
      </c>
      <c r="L758" s="6" t="s">
        <v>18</v>
      </c>
      <c r="M758" s="11" t="s">
        <v>2656</v>
      </c>
      <c r="N758" s="11" t="s">
        <v>2657</v>
      </c>
    </row>
    <row r="759" spans="1:14" ht="405">
      <c r="A759" s="50" t="s">
        <v>2658</v>
      </c>
      <c r="B759" s="11" t="s">
        <v>2672</v>
      </c>
      <c r="C759" s="11" t="s">
        <v>2653</v>
      </c>
      <c r="D759" s="11" t="s">
        <v>2654</v>
      </c>
      <c r="E759" s="4" t="s">
        <v>240</v>
      </c>
      <c r="F759" s="4" t="s">
        <v>2659</v>
      </c>
      <c r="G759" s="4" t="s">
        <v>2890</v>
      </c>
      <c r="H759" s="4" t="s">
        <v>129</v>
      </c>
      <c r="I759" s="5">
        <v>20025.900000000001</v>
      </c>
      <c r="J759" s="7" t="s">
        <v>1971</v>
      </c>
      <c r="K759" s="5">
        <f>+(I759/30)/400*400</f>
        <v>667.53000000000009</v>
      </c>
      <c r="L759" s="6" t="s">
        <v>18</v>
      </c>
      <c r="M759" s="11" t="s">
        <v>2656</v>
      </c>
      <c r="N759" s="11" t="s">
        <v>2657</v>
      </c>
    </row>
    <row r="760" spans="1:14" ht="405">
      <c r="A760" s="50" t="s">
        <v>2660</v>
      </c>
      <c r="B760" s="11" t="s">
        <v>2652</v>
      </c>
      <c r="C760" s="11" t="s">
        <v>2653</v>
      </c>
      <c r="D760" s="11" t="s">
        <v>2661</v>
      </c>
      <c r="E760" s="4" t="s">
        <v>240</v>
      </c>
      <c r="F760" s="4" t="s">
        <v>2655</v>
      </c>
      <c r="G760" s="4" t="s">
        <v>120</v>
      </c>
      <c r="H760" s="4" t="s">
        <v>16</v>
      </c>
      <c r="I760" s="6">
        <v>22250.1</v>
      </c>
      <c r="J760" s="7" t="s">
        <v>1971</v>
      </c>
      <c r="K760" s="6">
        <f>+(I760/120)/100*400</f>
        <v>741.67</v>
      </c>
      <c r="L760" s="6" t="s">
        <v>18</v>
      </c>
      <c r="M760" s="11" t="s">
        <v>2656</v>
      </c>
      <c r="N760" s="11" t="s">
        <v>2657</v>
      </c>
    </row>
    <row r="761" spans="1:14" ht="405">
      <c r="A761" s="122">
        <v>1039006</v>
      </c>
      <c r="B761" s="122" t="s">
        <v>2672</v>
      </c>
      <c r="C761" s="123" t="s">
        <v>2653</v>
      </c>
      <c r="D761" s="123" t="s">
        <v>2662</v>
      </c>
      <c r="E761" s="124" t="s">
        <v>406</v>
      </c>
      <c r="F761" s="124" t="s">
        <v>2663</v>
      </c>
      <c r="G761" s="124" t="s">
        <v>2664</v>
      </c>
      <c r="H761" s="125" t="s">
        <v>618</v>
      </c>
      <c r="I761" s="6">
        <v>11125.1</v>
      </c>
      <c r="J761" s="7" t="s">
        <v>1971</v>
      </c>
      <c r="K761" s="6">
        <f>+(I761/60)/100*400</f>
        <v>741.6733333333334</v>
      </c>
      <c r="L761" s="6" t="s">
        <v>18</v>
      </c>
      <c r="M761" s="11" t="s">
        <v>2656</v>
      </c>
      <c r="N761" s="11" t="s">
        <v>2657</v>
      </c>
    </row>
    <row r="762" spans="1:14" ht="405">
      <c r="A762" s="122">
        <v>1039007</v>
      </c>
      <c r="B762" s="122" t="s">
        <v>2672</v>
      </c>
      <c r="C762" s="123" t="s">
        <v>2653</v>
      </c>
      <c r="D762" s="123" t="s">
        <v>2662</v>
      </c>
      <c r="E762" s="124" t="s">
        <v>406</v>
      </c>
      <c r="F762" s="124" t="s">
        <v>2655</v>
      </c>
      <c r="G762" s="124" t="s">
        <v>2664</v>
      </c>
      <c r="H762" s="125" t="s">
        <v>618</v>
      </c>
      <c r="I762" s="6">
        <v>22250.1</v>
      </c>
      <c r="J762" s="7" t="s">
        <v>1971</v>
      </c>
      <c r="K762" s="6">
        <f>+(I762/120)/100*400</f>
        <v>741.67</v>
      </c>
      <c r="L762" s="6" t="s">
        <v>18</v>
      </c>
      <c r="M762" s="11" t="s">
        <v>2656</v>
      </c>
      <c r="N762" s="11" t="s">
        <v>2657</v>
      </c>
    </row>
    <row r="763" spans="1:14" ht="405">
      <c r="A763" s="122">
        <v>1039009</v>
      </c>
      <c r="B763" s="122" t="s">
        <v>2672</v>
      </c>
      <c r="C763" s="123" t="s">
        <v>2653</v>
      </c>
      <c r="D763" s="123" t="s">
        <v>2662</v>
      </c>
      <c r="E763" s="124" t="s">
        <v>406</v>
      </c>
      <c r="F763" s="124" t="s">
        <v>2659</v>
      </c>
      <c r="G763" s="124" t="s">
        <v>2664</v>
      </c>
      <c r="H763" s="125" t="s">
        <v>618</v>
      </c>
      <c r="I763" s="5">
        <v>20025.900000000001</v>
      </c>
      <c r="J763" s="7" t="s">
        <v>1971</v>
      </c>
      <c r="K763" s="5">
        <f>+(I763/30)/400*400</f>
        <v>667.53000000000009</v>
      </c>
      <c r="L763" s="6" t="s">
        <v>18</v>
      </c>
      <c r="M763" s="11" t="s">
        <v>2656</v>
      </c>
      <c r="N763" s="11" t="s">
        <v>2657</v>
      </c>
    </row>
    <row r="764" spans="1:14" ht="405">
      <c r="A764" s="119">
        <v>1039960</v>
      </c>
      <c r="B764" s="119" t="s">
        <v>2672</v>
      </c>
      <c r="C764" s="120" t="s">
        <v>2653</v>
      </c>
      <c r="D764" s="120" t="s">
        <v>2665</v>
      </c>
      <c r="E764" s="121" t="s">
        <v>240</v>
      </c>
      <c r="F764" s="121" t="s">
        <v>2655</v>
      </c>
      <c r="G764" s="121" t="s">
        <v>2470</v>
      </c>
      <c r="H764" s="121" t="s">
        <v>129</v>
      </c>
      <c r="I764" s="6">
        <v>22250.1</v>
      </c>
      <c r="J764" s="7" t="s">
        <v>1971</v>
      </c>
      <c r="K764" s="6">
        <f>+(I764/120)/100*400</f>
        <v>741.67</v>
      </c>
      <c r="L764" s="6" t="s">
        <v>18</v>
      </c>
      <c r="M764" s="11" t="s">
        <v>2656</v>
      </c>
      <c r="N764" s="11" t="s">
        <v>2657</v>
      </c>
    </row>
    <row r="765" spans="1:14" ht="405">
      <c r="A765" s="119">
        <v>1039961</v>
      </c>
      <c r="B765" s="119" t="s">
        <v>2672</v>
      </c>
      <c r="C765" s="120" t="s">
        <v>2653</v>
      </c>
      <c r="D765" s="120" t="s">
        <v>2665</v>
      </c>
      <c r="E765" s="121" t="s">
        <v>240</v>
      </c>
      <c r="F765" s="121" t="s">
        <v>2659</v>
      </c>
      <c r="G765" s="121" t="s">
        <v>2470</v>
      </c>
      <c r="H765" s="121" t="s">
        <v>129</v>
      </c>
      <c r="I765" s="5">
        <v>20025.900000000001</v>
      </c>
      <c r="J765" s="7" t="s">
        <v>1971</v>
      </c>
      <c r="K765" s="5">
        <f>+(I765/30)/400*400</f>
        <v>667.53000000000009</v>
      </c>
      <c r="L765" s="6" t="s">
        <v>18</v>
      </c>
      <c r="M765" s="11" t="s">
        <v>2656</v>
      </c>
      <c r="N765" s="11" t="s">
        <v>2657</v>
      </c>
    </row>
    <row r="766" spans="1:14" ht="405">
      <c r="A766" s="50" t="s">
        <v>2666</v>
      </c>
      <c r="B766" s="11" t="s">
        <v>2652</v>
      </c>
      <c r="C766" s="11" t="s">
        <v>2653</v>
      </c>
      <c r="D766" s="11" t="s">
        <v>2667</v>
      </c>
      <c r="E766" s="4" t="s">
        <v>240</v>
      </c>
      <c r="F766" s="17" t="s">
        <v>2668</v>
      </c>
      <c r="G766" s="4" t="s">
        <v>2669</v>
      </c>
      <c r="H766" s="4" t="s">
        <v>2670</v>
      </c>
      <c r="I766" s="6">
        <v>11125.1</v>
      </c>
      <c r="J766" s="7" t="s">
        <v>1971</v>
      </c>
      <c r="K766" s="6">
        <f>+(I766/60)/100*400</f>
        <v>741.6733333333334</v>
      </c>
      <c r="L766" s="6" t="s">
        <v>18</v>
      </c>
      <c r="M766" s="11" t="s">
        <v>2656</v>
      </c>
      <c r="N766" s="11" t="s">
        <v>2657</v>
      </c>
    </row>
    <row r="767" spans="1:14" ht="405">
      <c r="A767" s="50" t="s">
        <v>2671</v>
      </c>
      <c r="B767" s="11" t="s">
        <v>2652</v>
      </c>
      <c r="C767" s="11" t="s">
        <v>2653</v>
      </c>
      <c r="D767" s="11" t="s">
        <v>2667</v>
      </c>
      <c r="E767" s="4" t="s">
        <v>240</v>
      </c>
      <c r="F767" s="17" t="s">
        <v>2659</v>
      </c>
      <c r="G767" s="4" t="s">
        <v>2669</v>
      </c>
      <c r="H767" s="4" t="s">
        <v>2670</v>
      </c>
      <c r="I767" s="5">
        <v>20025.900000000001</v>
      </c>
      <c r="J767" s="7" t="s">
        <v>1971</v>
      </c>
      <c r="K767" s="5">
        <f>+(I767/30)/400*400</f>
        <v>667.53000000000009</v>
      </c>
      <c r="L767" s="24" t="s">
        <v>18</v>
      </c>
      <c r="M767" s="11" t="s">
        <v>2656</v>
      </c>
      <c r="N767" s="11" t="s">
        <v>2657</v>
      </c>
    </row>
    <row r="768" spans="1:14" ht="405">
      <c r="A768" s="50" t="s">
        <v>2673</v>
      </c>
      <c r="B768" s="13" t="s">
        <v>2674</v>
      </c>
      <c r="C768" s="54" t="s">
        <v>2653</v>
      </c>
      <c r="D768" s="11" t="s">
        <v>2675</v>
      </c>
      <c r="E768" s="55" t="s">
        <v>142</v>
      </c>
      <c r="F768" s="55" t="s">
        <v>2668</v>
      </c>
      <c r="G768" s="55" t="s">
        <v>2676</v>
      </c>
      <c r="H768" s="55" t="s">
        <v>2677</v>
      </c>
      <c r="I768" s="5">
        <v>11125.1</v>
      </c>
      <c r="J768" s="6" t="s">
        <v>1971</v>
      </c>
      <c r="K768" s="6">
        <f>(I768/60)/100*400</f>
        <v>741.6733333333334</v>
      </c>
      <c r="L768" s="24" t="s">
        <v>18</v>
      </c>
      <c r="M768" s="11" t="s">
        <v>2656</v>
      </c>
      <c r="N768" s="11" t="s">
        <v>2657</v>
      </c>
    </row>
    <row r="769" spans="1:14" ht="405">
      <c r="A769" s="50" t="s">
        <v>2678</v>
      </c>
      <c r="B769" s="13" t="s">
        <v>2672</v>
      </c>
      <c r="C769" s="54" t="s">
        <v>2653</v>
      </c>
      <c r="D769" s="11" t="s">
        <v>2675</v>
      </c>
      <c r="E769" s="55" t="s">
        <v>142</v>
      </c>
      <c r="F769" s="55" t="s">
        <v>2655</v>
      </c>
      <c r="G769" s="55" t="s">
        <v>2676</v>
      </c>
      <c r="H769" s="55" t="s">
        <v>2677</v>
      </c>
      <c r="I769" s="5">
        <v>22250.1</v>
      </c>
      <c r="J769" s="6" t="s">
        <v>1971</v>
      </c>
      <c r="K769" s="6">
        <f>(I769/120)/100*400</f>
        <v>741.67</v>
      </c>
      <c r="L769" s="24" t="s">
        <v>18</v>
      </c>
      <c r="M769" s="11" t="s">
        <v>2656</v>
      </c>
      <c r="N769" s="11" t="s">
        <v>2657</v>
      </c>
    </row>
    <row r="770" spans="1:14" ht="157.5">
      <c r="A770" s="119" t="s">
        <v>2684</v>
      </c>
      <c r="B770" s="119" t="s">
        <v>2679</v>
      </c>
      <c r="C770" s="120" t="s">
        <v>2680</v>
      </c>
      <c r="D770" s="120" t="s">
        <v>2685</v>
      </c>
      <c r="E770" s="121" t="s">
        <v>981</v>
      </c>
      <c r="F770" s="121" t="s">
        <v>2683</v>
      </c>
      <c r="G770" s="121" t="s">
        <v>2686</v>
      </c>
      <c r="H770" s="121" t="s">
        <v>54</v>
      </c>
      <c r="I770" s="6">
        <v>1123.7</v>
      </c>
      <c r="J770" s="7" t="s">
        <v>18</v>
      </c>
      <c r="K770" s="6" t="s">
        <v>18</v>
      </c>
      <c r="L770" s="6" t="s">
        <v>18</v>
      </c>
      <c r="M770" s="11" t="s">
        <v>2681</v>
      </c>
      <c r="N770" s="11" t="s">
        <v>2682</v>
      </c>
    </row>
    <row r="771" spans="1:14" ht="157.5">
      <c r="A771" s="119" t="s">
        <v>2687</v>
      </c>
      <c r="B771" s="119" t="s">
        <v>2679</v>
      </c>
      <c r="C771" s="120" t="s">
        <v>2680</v>
      </c>
      <c r="D771" s="120" t="s">
        <v>2685</v>
      </c>
      <c r="E771" s="121" t="s">
        <v>981</v>
      </c>
      <c r="F771" s="121" t="s">
        <v>2497</v>
      </c>
      <c r="G771" s="121" t="s">
        <v>2686</v>
      </c>
      <c r="H771" s="121" t="s">
        <v>54</v>
      </c>
      <c r="I771" s="6">
        <v>2571.8000000000002</v>
      </c>
      <c r="J771" s="7" t="s">
        <v>18</v>
      </c>
      <c r="K771" s="6" t="s">
        <v>18</v>
      </c>
      <c r="L771" s="6" t="s">
        <v>18</v>
      </c>
      <c r="M771" s="11" t="s">
        <v>2681</v>
      </c>
      <c r="N771" s="11" t="s">
        <v>2682</v>
      </c>
    </row>
    <row r="772" spans="1:14" ht="157.5">
      <c r="A772" s="119" t="s">
        <v>2688</v>
      </c>
      <c r="B772" s="119" t="s">
        <v>2679</v>
      </c>
      <c r="C772" s="120" t="s">
        <v>2680</v>
      </c>
      <c r="D772" s="120" t="s">
        <v>2689</v>
      </c>
      <c r="E772" s="121" t="s">
        <v>981</v>
      </c>
      <c r="F772" s="121" t="s">
        <v>2690</v>
      </c>
      <c r="G772" s="121" t="s">
        <v>2691</v>
      </c>
      <c r="H772" s="121" t="s">
        <v>2323</v>
      </c>
      <c r="I772" s="6">
        <v>1123.7</v>
      </c>
      <c r="J772" s="7" t="s">
        <v>18</v>
      </c>
      <c r="K772" s="6" t="s">
        <v>18</v>
      </c>
      <c r="L772" s="6" t="s">
        <v>18</v>
      </c>
      <c r="M772" s="11" t="s">
        <v>2681</v>
      </c>
      <c r="N772" s="11" t="s">
        <v>2682</v>
      </c>
    </row>
    <row r="773" spans="1:14" ht="157.5">
      <c r="A773" s="119" t="s">
        <v>2692</v>
      </c>
      <c r="B773" s="119" t="s">
        <v>2679</v>
      </c>
      <c r="C773" s="120" t="s">
        <v>2680</v>
      </c>
      <c r="D773" s="120" t="s">
        <v>2689</v>
      </c>
      <c r="E773" s="121" t="s">
        <v>981</v>
      </c>
      <c r="F773" s="121" t="s">
        <v>2693</v>
      </c>
      <c r="G773" s="121" t="s">
        <v>2694</v>
      </c>
      <c r="H773" s="121" t="s">
        <v>2323</v>
      </c>
      <c r="I773" s="6">
        <v>2571.8000000000002</v>
      </c>
      <c r="J773" s="7" t="s">
        <v>18</v>
      </c>
      <c r="K773" s="6" t="s">
        <v>18</v>
      </c>
      <c r="L773" s="6" t="s">
        <v>18</v>
      </c>
      <c r="M773" s="11" t="s">
        <v>2681</v>
      </c>
      <c r="N773" s="11" t="s">
        <v>2682</v>
      </c>
    </row>
    <row r="774" spans="1:14" ht="157.5">
      <c r="A774" s="119" t="s">
        <v>2695</v>
      </c>
      <c r="B774" s="119" t="s">
        <v>2696</v>
      </c>
      <c r="C774" s="120" t="s">
        <v>2680</v>
      </c>
      <c r="D774" s="120" t="s">
        <v>2697</v>
      </c>
      <c r="E774" s="121" t="s">
        <v>981</v>
      </c>
      <c r="F774" s="121" t="s">
        <v>2698</v>
      </c>
      <c r="G774" s="121" t="s">
        <v>2699</v>
      </c>
      <c r="H774" s="121" t="s">
        <v>2700</v>
      </c>
      <c r="I774" s="6">
        <v>1011.3</v>
      </c>
      <c r="J774" s="7" t="s">
        <v>18</v>
      </c>
      <c r="K774" s="6" t="s">
        <v>18</v>
      </c>
      <c r="L774" s="6" t="s">
        <v>18</v>
      </c>
      <c r="M774" s="11" t="s">
        <v>2681</v>
      </c>
      <c r="N774" s="11" t="s">
        <v>2682</v>
      </c>
    </row>
    <row r="775" spans="1:14" ht="157.5">
      <c r="A775" s="119" t="s">
        <v>2701</v>
      </c>
      <c r="B775" s="119" t="s">
        <v>2696</v>
      </c>
      <c r="C775" s="120" t="s">
        <v>2680</v>
      </c>
      <c r="D775" s="120" t="s">
        <v>2697</v>
      </c>
      <c r="E775" s="121" t="s">
        <v>981</v>
      </c>
      <c r="F775" s="121" t="s">
        <v>2702</v>
      </c>
      <c r="G775" s="121" t="s">
        <v>2699</v>
      </c>
      <c r="H775" s="121" t="s">
        <v>2700</v>
      </c>
      <c r="I775" s="6">
        <v>2314.6</v>
      </c>
      <c r="J775" s="7" t="s">
        <v>18</v>
      </c>
      <c r="K775" s="6" t="s">
        <v>18</v>
      </c>
      <c r="L775" s="6" t="s">
        <v>18</v>
      </c>
      <c r="M775" s="11" t="s">
        <v>2681</v>
      </c>
      <c r="N775" s="11" t="s">
        <v>2682</v>
      </c>
    </row>
    <row r="776" spans="1:14" ht="157.5">
      <c r="A776" s="119" t="s">
        <v>3658</v>
      </c>
      <c r="B776" s="119" t="s">
        <v>2696</v>
      </c>
      <c r="C776" s="120" t="s">
        <v>2680</v>
      </c>
      <c r="D776" s="120" t="s">
        <v>3648</v>
      </c>
      <c r="E776" s="121" t="s">
        <v>981</v>
      </c>
      <c r="F776" s="121" t="s">
        <v>3645</v>
      </c>
      <c r="G776" s="121" t="s">
        <v>3646</v>
      </c>
      <c r="H776" s="121" t="s">
        <v>45</v>
      </c>
      <c r="I776" s="6">
        <v>1011.3</v>
      </c>
      <c r="J776" s="7" t="s">
        <v>18</v>
      </c>
      <c r="K776" s="6" t="s">
        <v>18</v>
      </c>
      <c r="L776" s="6" t="s">
        <v>18</v>
      </c>
      <c r="M776" s="11" t="s">
        <v>2681</v>
      </c>
      <c r="N776" s="11" t="s">
        <v>2682</v>
      </c>
    </row>
    <row r="777" spans="1:14" ht="157.5">
      <c r="A777" s="119" t="s">
        <v>3659</v>
      </c>
      <c r="B777" s="119" t="s">
        <v>2696</v>
      </c>
      <c r="C777" s="120" t="s">
        <v>2680</v>
      </c>
      <c r="D777" s="120" t="s">
        <v>3648</v>
      </c>
      <c r="E777" s="121" t="s">
        <v>981</v>
      </c>
      <c r="F777" s="121" t="s">
        <v>3647</v>
      </c>
      <c r="G777" s="121" t="s">
        <v>3646</v>
      </c>
      <c r="H777" s="121" t="s">
        <v>45</v>
      </c>
      <c r="I777" s="6">
        <v>2314.6</v>
      </c>
      <c r="J777" s="7" t="s">
        <v>18</v>
      </c>
      <c r="K777" s="6" t="s">
        <v>18</v>
      </c>
      <c r="L777" s="6" t="s">
        <v>18</v>
      </c>
      <c r="M777" s="11" t="s">
        <v>2681</v>
      </c>
      <c r="N777" s="11" t="s">
        <v>2682</v>
      </c>
    </row>
    <row r="778" spans="1:14" ht="213.75">
      <c r="A778" s="50" t="s">
        <v>2703</v>
      </c>
      <c r="B778" s="11" t="s">
        <v>2724</v>
      </c>
      <c r="C778" s="11" t="s">
        <v>2705</v>
      </c>
      <c r="D778" s="11" t="s">
        <v>2706</v>
      </c>
      <c r="E778" s="4" t="s">
        <v>32</v>
      </c>
      <c r="F778" s="4" t="s">
        <v>2707</v>
      </c>
      <c r="G778" s="4" t="s">
        <v>2708</v>
      </c>
      <c r="H778" s="4" t="s">
        <v>284</v>
      </c>
      <c r="I778" s="6">
        <v>33439.699999999997</v>
      </c>
      <c r="J778" s="4" t="s">
        <v>18</v>
      </c>
      <c r="K778" s="6" t="s">
        <v>18</v>
      </c>
      <c r="L778" s="6" t="s">
        <v>18</v>
      </c>
      <c r="M778" s="14" t="s">
        <v>2709</v>
      </c>
      <c r="N778" s="11" t="s">
        <v>2710</v>
      </c>
    </row>
    <row r="779" spans="1:14" ht="213.75">
      <c r="A779" s="50" t="s">
        <v>2711</v>
      </c>
      <c r="B779" s="11" t="s">
        <v>2724</v>
      </c>
      <c r="C779" s="11" t="s">
        <v>2705</v>
      </c>
      <c r="D779" s="11" t="s">
        <v>2706</v>
      </c>
      <c r="E779" s="4" t="s">
        <v>32</v>
      </c>
      <c r="F779" s="4" t="s">
        <v>2712</v>
      </c>
      <c r="G779" s="4" t="s">
        <v>2708</v>
      </c>
      <c r="H779" s="4" t="s">
        <v>284</v>
      </c>
      <c r="I779" s="6">
        <v>9759.1</v>
      </c>
      <c r="J779" s="4" t="s">
        <v>18</v>
      </c>
      <c r="K779" s="6" t="s">
        <v>18</v>
      </c>
      <c r="L779" s="6" t="s">
        <v>18</v>
      </c>
      <c r="M779" s="14" t="s">
        <v>2709</v>
      </c>
      <c r="N779" s="11" t="s">
        <v>2710</v>
      </c>
    </row>
    <row r="780" spans="1:14" ht="213.75">
      <c r="A780" s="50" t="s">
        <v>2713</v>
      </c>
      <c r="B780" s="11" t="s">
        <v>2724</v>
      </c>
      <c r="C780" s="11" t="s">
        <v>2705</v>
      </c>
      <c r="D780" s="11" t="s">
        <v>2714</v>
      </c>
      <c r="E780" s="4" t="s">
        <v>32</v>
      </c>
      <c r="F780" s="4" t="s">
        <v>2707</v>
      </c>
      <c r="G780" s="4" t="s">
        <v>3536</v>
      </c>
      <c r="H780" s="4" t="s">
        <v>2727</v>
      </c>
      <c r="I780" s="6">
        <v>33439.699999999997</v>
      </c>
      <c r="J780" s="4" t="s">
        <v>18</v>
      </c>
      <c r="K780" s="6" t="s">
        <v>18</v>
      </c>
      <c r="L780" s="6" t="s">
        <v>18</v>
      </c>
      <c r="M780" s="14" t="s">
        <v>2709</v>
      </c>
      <c r="N780" s="11" t="s">
        <v>2710</v>
      </c>
    </row>
    <row r="781" spans="1:14" ht="213.75">
      <c r="A781" s="50" t="s">
        <v>2715</v>
      </c>
      <c r="B781" s="11" t="s">
        <v>2724</v>
      </c>
      <c r="C781" s="11" t="s">
        <v>2705</v>
      </c>
      <c r="D781" s="11" t="s">
        <v>2716</v>
      </c>
      <c r="E781" s="4" t="s">
        <v>32</v>
      </c>
      <c r="F781" s="4" t="s">
        <v>2717</v>
      </c>
      <c r="G781" s="55" t="s">
        <v>3678</v>
      </c>
      <c r="H781" s="55" t="s">
        <v>2727</v>
      </c>
      <c r="I781" s="6">
        <v>9759.1</v>
      </c>
      <c r="J781" s="4" t="s">
        <v>18</v>
      </c>
      <c r="K781" s="6" t="s">
        <v>18</v>
      </c>
      <c r="L781" s="6" t="s">
        <v>18</v>
      </c>
      <c r="M781" s="14" t="s">
        <v>2709</v>
      </c>
      <c r="N781" s="11" t="s">
        <v>2710</v>
      </c>
    </row>
    <row r="782" spans="1:14" ht="213.75">
      <c r="A782" s="50" t="s">
        <v>2718</v>
      </c>
      <c r="B782" s="11" t="s">
        <v>2724</v>
      </c>
      <c r="C782" s="11" t="s">
        <v>2705</v>
      </c>
      <c r="D782" s="11" t="s">
        <v>2716</v>
      </c>
      <c r="E782" s="4" t="s">
        <v>32</v>
      </c>
      <c r="F782" s="4" t="s">
        <v>2719</v>
      </c>
      <c r="G782" s="55" t="s">
        <v>3678</v>
      </c>
      <c r="H782" s="55" t="s">
        <v>2727</v>
      </c>
      <c r="I782" s="6">
        <v>33439.699999999997</v>
      </c>
      <c r="J782" s="4" t="s">
        <v>18</v>
      </c>
      <c r="K782" s="6" t="s">
        <v>18</v>
      </c>
      <c r="L782" s="6" t="s">
        <v>18</v>
      </c>
      <c r="M782" s="14" t="s">
        <v>2709</v>
      </c>
      <c r="N782" s="11" t="s">
        <v>2710</v>
      </c>
    </row>
    <row r="783" spans="1:14" ht="213.75">
      <c r="A783" s="50" t="s">
        <v>2720</v>
      </c>
      <c r="B783" s="11" t="s">
        <v>2704</v>
      </c>
      <c r="C783" s="11" t="s">
        <v>2705</v>
      </c>
      <c r="D783" s="11" t="s">
        <v>2721</v>
      </c>
      <c r="E783" s="4" t="s">
        <v>71</v>
      </c>
      <c r="F783" s="4" t="s">
        <v>2722</v>
      </c>
      <c r="G783" s="4" t="s">
        <v>3841</v>
      </c>
      <c r="H783" s="4" t="s">
        <v>34</v>
      </c>
      <c r="I783" s="6">
        <v>33439.699999999997</v>
      </c>
      <c r="J783" s="4" t="s">
        <v>18</v>
      </c>
      <c r="K783" s="6" t="s">
        <v>18</v>
      </c>
      <c r="L783" s="6" t="s">
        <v>18</v>
      </c>
      <c r="M783" s="14" t="s">
        <v>2709</v>
      </c>
      <c r="N783" s="11" t="s">
        <v>2710</v>
      </c>
    </row>
    <row r="784" spans="1:14" ht="213.75">
      <c r="A784" s="50" t="s">
        <v>2723</v>
      </c>
      <c r="B784" s="11" t="s">
        <v>2724</v>
      </c>
      <c r="C784" s="2" t="s">
        <v>2705</v>
      </c>
      <c r="D784" s="11" t="s">
        <v>2725</v>
      </c>
      <c r="E784" s="4" t="s">
        <v>32</v>
      </c>
      <c r="F784" s="4" t="s">
        <v>2712</v>
      </c>
      <c r="G784" s="4" t="s">
        <v>2726</v>
      </c>
      <c r="H784" s="4" t="s">
        <v>2727</v>
      </c>
      <c r="I784" s="6">
        <v>9759.1</v>
      </c>
      <c r="J784" s="4" t="s">
        <v>18</v>
      </c>
      <c r="K784" s="4" t="s">
        <v>18</v>
      </c>
      <c r="L784" s="6" t="s">
        <v>18</v>
      </c>
      <c r="M784" s="14" t="s">
        <v>2709</v>
      </c>
      <c r="N784" s="11" t="s">
        <v>2710</v>
      </c>
    </row>
    <row r="785" spans="1:14" ht="213.75">
      <c r="A785" s="50" t="s">
        <v>2728</v>
      </c>
      <c r="B785" s="11" t="s">
        <v>2724</v>
      </c>
      <c r="C785" s="2" t="s">
        <v>2705</v>
      </c>
      <c r="D785" s="11" t="s">
        <v>2725</v>
      </c>
      <c r="E785" s="4" t="s">
        <v>32</v>
      </c>
      <c r="F785" s="4" t="s">
        <v>2729</v>
      </c>
      <c r="G785" s="4" t="s">
        <v>2726</v>
      </c>
      <c r="H785" s="4" t="s">
        <v>2727</v>
      </c>
      <c r="I785" s="16">
        <v>23885.5</v>
      </c>
      <c r="J785" s="4" t="s">
        <v>18</v>
      </c>
      <c r="K785" s="4" t="s">
        <v>18</v>
      </c>
      <c r="L785" s="6" t="s">
        <v>18</v>
      </c>
      <c r="M785" s="14" t="s">
        <v>2709</v>
      </c>
      <c r="N785" s="11" t="s">
        <v>2710</v>
      </c>
    </row>
    <row r="786" spans="1:14" ht="213.75">
      <c r="A786" s="50" t="s">
        <v>2730</v>
      </c>
      <c r="B786" s="11" t="s">
        <v>2724</v>
      </c>
      <c r="C786" s="2" t="s">
        <v>2705</v>
      </c>
      <c r="D786" s="11" t="s">
        <v>2725</v>
      </c>
      <c r="E786" s="4" t="s">
        <v>32</v>
      </c>
      <c r="F786" s="4" t="s">
        <v>2707</v>
      </c>
      <c r="G786" s="4" t="s">
        <v>2726</v>
      </c>
      <c r="H786" s="4" t="s">
        <v>2727</v>
      </c>
      <c r="I786" s="6">
        <v>33439.699999999997</v>
      </c>
      <c r="J786" s="4" t="s">
        <v>18</v>
      </c>
      <c r="K786" s="4" t="s">
        <v>18</v>
      </c>
      <c r="L786" s="6" t="s">
        <v>18</v>
      </c>
      <c r="M786" s="14" t="s">
        <v>2709</v>
      </c>
      <c r="N786" s="11" t="s">
        <v>2710</v>
      </c>
    </row>
    <row r="787" spans="1:14" ht="213.75">
      <c r="A787" s="50" t="s">
        <v>2731</v>
      </c>
      <c r="B787" s="11" t="s">
        <v>2724</v>
      </c>
      <c r="C787" s="2" t="s">
        <v>2705</v>
      </c>
      <c r="D787" s="11" t="s">
        <v>2732</v>
      </c>
      <c r="E787" s="4" t="s">
        <v>32</v>
      </c>
      <c r="F787" s="4" t="s">
        <v>2707</v>
      </c>
      <c r="G787" s="4" t="s">
        <v>3537</v>
      </c>
      <c r="H787" s="4" t="s">
        <v>3538</v>
      </c>
      <c r="I787" s="6">
        <v>33439.699999999997</v>
      </c>
      <c r="J787" s="4" t="s">
        <v>18</v>
      </c>
      <c r="K787" s="4" t="s">
        <v>18</v>
      </c>
      <c r="L787" s="6" t="s">
        <v>18</v>
      </c>
      <c r="M787" s="14" t="s">
        <v>2709</v>
      </c>
      <c r="N787" s="11" t="s">
        <v>2710</v>
      </c>
    </row>
    <row r="788" spans="1:14" ht="213.75">
      <c r="A788" s="50" t="s">
        <v>2733</v>
      </c>
      <c r="B788" s="11" t="s">
        <v>2724</v>
      </c>
      <c r="C788" s="11" t="s">
        <v>2705</v>
      </c>
      <c r="D788" s="11" t="s">
        <v>2734</v>
      </c>
      <c r="E788" s="4" t="s">
        <v>32</v>
      </c>
      <c r="F788" s="4" t="s">
        <v>2712</v>
      </c>
      <c r="G788" s="4" t="s">
        <v>2735</v>
      </c>
      <c r="H788" s="4" t="s">
        <v>1109</v>
      </c>
      <c r="I788" s="6">
        <v>9759.1</v>
      </c>
      <c r="J788" s="4" t="s">
        <v>18</v>
      </c>
      <c r="K788" s="4" t="s">
        <v>18</v>
      </c>
      <c r="L788" s="6" t="s">
        <v>18</v>
      </c>
      <c r="M788" s="14" t="s">
        <v>2709</v>
      </c>
      <c r="N788" s="11" t="s">
        <v>2710</v>
      </c>
    </row>
    <row r="789" spans="1:14" ht="213.75">
      <c r="A789" s="50" t="s">
        <v>2737</v>
      </c>
      <c r="B789" s="11" t="s">
        <v>2724</v>
      </c>
      <c r="C789" s="11" t="s">
        <v>2705</v>
      </c>
      <c r="D789" s="11" t="s">
        <v>2734</v>
      </c>
      <c r="E789" s="4" t="s">
        <v>32</v>
      </c>
      <c r="F789" s="4" t="s">
        <v>2707</v>
      </c>
      <c r="G789" s="4" t="s">
        <v>2735</v>
      </c>
      <c r="H789" s="4" t="s">
        <v>1109</v>
      </c>
      <c r="I789" s="6">
        <v>33439.699999999997</v>
      </c>
      <c r="J789" s="4" t="s">
        <v>18</v>
      </c>
      <c r="K789" s="4" t="s">
        <v>18</v>
      </c>
      <c r="L789" s="6" t="s">
        <v>18</v>
      </c>
      <c r="M789" s="14" t="s">
        <v>2709</v>
      </c>
      <c r="N789" s="11" t="s">
        <v>2710</v>
      </c>
    </row>
    <row r="790" spans="1:14" ht="213.75">
      <c r="A790" s="50" t="s">
        <v>2738</v>
      </c>
      <c r="B790" s="13" t="s">
        <v>2724</v>
      </c>
      <c r="C790" s="11" t="s">
        <v>2705</v>
      </c>
      <c r="D790" s="11" t="s">
        <v>2739</v>
      </c>
      <c r="E790" s="4" t="s">
        <v>32</v>
      </c>
      <c r="F790" s="4" t="s">
        <v>2712</v>
      </c>
      <c r="G790" s="4" t="s">
        <v>400</v>
      </c>
      <c r="H790" s="4" t="s">
        <v>205</v>
      </c>
      <c r="I790" s="6">
        <v>9759.1</v>
      </c>
      <c r="J790" s="6" t="s">
        <v>18</v>
      </c>
      <c r="K790" s="6" t="s">
        <v>18</v>
      </c>
      <c r="L790" s="6" t="s">
        <v>18</v>
      </c>
      <c r="M790" s="14" t="s">
        <v>2709</v>
      </c>
      <c r="N790" s="11" t="s">
        <v>2710</v>
      </c>
    </row>
    <row r="791" spans="1:14" ht="213.75">
      <c r="A791" s="50" t="s">
        <v>2740</v>
      </c>
      <c r="B791" s="13" t="s">
        <v>2724</v>
      </c>
      <c r="C791" s="11" t="s">
        <v>2705</v>
      </c>
      <c r="D791" s="11" t="s">
        <v>2739</v>
      </c>
      <c r="E791" s="4" t="s">
        <v>32</v>
      </c>
      <c r="F791" s="4" t="s">
        <v>2707</v>
      </c>
      <c r="G791" s="4" t="s">
        <v>400</v>
      </c>
      <c r="H791" s="4" t="s">
        <v>205</v>
      </c>
      <c r="I791" s="6">
        <v>33439.699999999997</v>
      </c>
      <c r="J791" s="6" t="s">
        <v>18</v>
      </c>
      <c r="K791" s="6" t="s">
        <v>18</v>
      </c>
      <c r="L791" s="6" t="s">
        <v>18</v>
      </c>
      <c r="M791" s="14" t="s">
        <v>2709</v>
      </c>
      <c r="N791" s="11" t="s">
        <v>2710</v>
      </c>
    </row>
    <row r="792" spans="1:14" ht="213.75">
      <c r="A792" s="50" t="s">
        <v>3614</v>
      </c>
      <c r="B792" s="13" t="s">
        <v>2724</v>
      </c>
      <c r="C792" s="11" t="s">
        <v>2705</v>
      </c>
      <c r="D792" s="11" t="s">
        <v>3615</v>
      </c>
      <c r="E792" s="4" t="s">
        <v>32</v>
      </c>
      <c r="F792" s="4" t="s">
        <v>3660</v>
      </c>
      <c r="G792" s="4" t="s">
        <v>2451</v>
      </c>
      <c r="H792" s="4" t="s">
        <v>34</v>
      </c>
      <c r="I792" s="6">
        <v>33439.699999999997</v>
      </c>
      <c r="J792" s="6" t="s">
        <v>18</v>
      </c>
      <c r="K792" s="6" t="s">
        <v>18</v>
      </c>
      <c r="L792" s="6" t="s">
        <v>18</v>
      </c>
      <c r="M792" s="14" t="s">
        <v>2709</v>
      </c>
      <c r="N792" s="11" t="s">
        <v>2710</v>
      </c>
    </row>
    <row r="793" spans="1:14" ht="213.75">
      <c r="A793" s="50" t="s">
        <v>3842</v>
      </c>
      <c r="B793" s="13" t="s">
        <v>2724</v>
      </c>
      <c r="C793" s="11" t="s">
        <v>2705</v>
      </c>
      <c r="D793" s="11" t="s">
        <v>3843</v>
      </c>
      <c r="E793" s="4" t="s">
        <v>32</v>
      </c>
      <c r="F793" s="4" t="s">
        <v>2707</v>
      </c>
      <c r="G793" s="4" t="s">
        <v>3844</v>
      </c>
      <c r="H793" s="4" t="s">
        <v>3845</v>
      </c>
      <c r="I793" s="6">
        <v>33439.699999999997</v>
      </c>
      <c r="J793" s="6" t="s">
        <v>18</v>
      </c>
      <c r="K793" s="6" t="s">
        <v>18</v>
      </c>
      <c r="L793" s="6" t="s">
        <v>18</v>
      </c>
      <c r="M793" s="14" t="s">
        <v>2709</v>
      </c>
      <c r="N793" s="11" t="s">
        <v>2710</v>
      </c>
    </row>
    <row r="794" spans="1:14" s="52" customFormat="1" ht="56.25">
      <c r="A794" s="50" t="s">
        <v>2741</v>
      </c>
      <c r="B794" s="11" t="s">
        <v>2742</v>
      </c>
      <c r="C794" s="11" t="s">
        <v>2743</v>
      </c>
      <c r="D794" s="11" t="s">
        <v>3727</v>
      </c>
      <c r="E794" s="4" t="s">
        <v>345</v>
      </c>
      <c r="F794" s="4" t="s">
        <v>2744</v>
      </c>
      <c r="G794" s="4" t="s">
        <v>3728</v>
      </c>
      <c r="H794" s="4" t="s">
        <v>3729</v>
      </c>
      <c r="I794" s="6">
        <v>53282.2</v>
      </c>
      <c r="J794" s="6" t="s">
        <v>2745</v>
      </c>
      <c r="K794" s="6">
        <f>I794/1/45*0.134</f>
        <v>158.6625511111111</v>
      </c>
      <c r="L794" s="6" t="s">
        <v>18</v>
      </c>
      <c r="M794" s="11" t="s">
        <v>2746</v>
      </c>
      <c r="N794" s="11" t="s">
        <v>2747</v>
      </c>
    </row>
    <row r="795" spans="1:14" s="52" customFormat="1" ht="78.75">
      <c r="A795" s="50" t="s">
        <v>2748</v>
      </c>
      <c r="B795" s="11" t="s">
        <v>2742</v>
      </c>
      <c r="C795" s="11" t="s">
        <v>2743</v>
      </c>
      <c r="D795" s="11" t="s">
        <v>2749</v>
      </c>
      <c r="E795" s="4" t="s">
        <v>1370</v>
      </c>
      <c r="F795" s="4" t="s">
        <v>2750</v>
      </c>
      <c r="G795" s="4" t="s">
        <v>2751</v>
      </c>
      <c r="H795" s="4" t="s">
        <v>45</v>
      </c>
      <c r="I795" s="6">
        <v>8071.7</v>
      </c>
      <c r="J795" s="4" t="s">
        <v>2745</v>
      </c>
      <c r="K795" s="6">
        <f>I795/3.75*0.134</f>
        <v>288.42874666666671</v>
      </c>
      <c r="L795" s="57" t="s">
        <v>18</v>
      </c>
      <c r="M795" s="54" t="s">
        <v>2752</v>
      </c>
      <c r="N795" s="54" t="s">
        <v>2753</v>
      </c>
    </row>
    <row r="796" spans="1:14" s="52" customFormat="1" ht="56.25">
      <c r="A796" s="53" t="s">
        <v>2754</v>
      </c>
      <c r="B796" s="54" t="s">
        <v>2742</v>
      </c>
      <c r="C796" s="54" t="s">
        <v>2743</v>
      </c>
      <c r="D796" s="54" t="s">
        <v>2749</v>
      </c>
      <c r="E796" s="55" t="s">
        <v>1370</v>
      </c>
      <c r="F796" s="55" t="s">
        <v>2755</v>
      </c>
      <c r="G796" s="55" t="s">
        <v>2751</v>
      </c>
      <c r="H796" s="55" t="s">
        <v>45</v>
      </c>
      <c r="I796" s="6">
        <v>21837.200000000001</v>
      </c>
      <c r="J796" s="4" t="s">
        <v>2745</v>
      </c>
      <c r="K796" s="6">
        <f>I796/22.5*0.134</f>
        <v>130.0526577777778</v>
      </c>
      <c r="L796" s="57" t="s">
        <v>18</v>
      </c>
      <c r="M796" s="54" t="s">
        <v>2756</v>
      </c>
      <c r="N796" s="54" t="s">
        <v>2747</v>
      </c>
    </row>
    <row r="797" spans="1:14" s="52" customFormat="1" ht="45">
      <c r="A797" s="51" t="s">
        <v>2762</v>
      </c>
      <c r="B797" s="13" t="s">
        <v>2742</v>
      </c>
      <c r="C797" s="11" t="s">
        <v>2743</v>
      </c>
      <c r="D797" s="11" t="s">
        <v>2757</v>
      </c>
      <c r="E797" s="17" t="s">
        <v>2758</v>
      </c>
      <c r="F797" s="4" t="s">
        <v>2763</v>
      </c>
      <c r="G797" s="4" t="s">
        <v>2760</v>
      </c>
      <c r="H797" s="4" t="s">
        <v>2761</v>
      </c>
      <c r="I797" s="5">
        <v>12906.4</v>
      </c>
      <c r="J797" s="6" t="s">
        <v>2745</v>
      </c>
      <c r="K797" s="5">
        <f>I797/5*0.134</f>
        <v>345.89152000000001</v>
      </c>
      <c r="L797" s="8" t="s">
        <v>18</v>
      </c>
      <c r="M797" s="11" t="s">
        <v>2746</v>
      </c>
      <c r="N797" s="11" t="s">
        <v>2747</v>
      </c>
    </row>
    <row r="798" spans="1:14" ht="123.75">
      <c r="A798" s="50" t="s">
        <v>2764</v>
      </c>
      <c r="B798" s="11" t="s">
        <v>2765</v>
      </c>
      <c r="C798" s="11" t="s">
        <v>2766</v>
      </c>
      <c r="D798" s="11" t="s">
        <v>2767</v>
      </c>
      <c r="E798" s="4" t="s">
        <v>2768</v>
      </c>
      <c r="F798" s="4" t="s">
        <v>2759</v>
      </c>
      <c r="G798" s="4" t="s">
        <v>2769</v>
      </c>
      <c r="H798" s="4" t="s">
        <v>1231</v>
      </c>
      <c r="I798" s="6">
        <v>6295.4</v>
      </c>
      <c r="J798" s="6" t="s">
        <v>2770</v>
      </c>
      <c r="K798" s="6">
        <f>I798/1/3.6*0.129</f>
        <v>225.58516666666668</v>
      </c>
      <c r="L798" s="6" t="s">
        <v>18</v>
      </c>
      <c r="M798" s="11" t="s">
        <v>2771</v>
      </c>
      <c r="N798" s="11" t="s">
        <v>2772</v>
      </c>
    </row>
    <row r="799" spans="1:14" ht="78.75">
      <c r="A799" s="50" t="s">
        <v>2773</v>
      </c>
      <c r="B799" s="11" t="s">
        <v>2765</v>
      </c>
      <c r="C799" s="11" t="s">
        <v>2766</v>
      </c>
      <c r="D799" s="11" t="s">
        <v>2774</v>
      </c>
      <c r="E799" s="4" t="s">
        <v>2775</v>
      </c>
      <c r="F799" s="4" t="s">
        <v>2776</v>
      </c>
      <c r="G799" s="4" t="s">
        <v>2769</v>
      </c>
      <c r="H799" s="4" t="s">
        <v>1231</v>
      </c>
      <c r="I799" s="6">
        <v>20973</v>
      </c>
      <c r="J799" s="6" t="s">
        <v>2770</v>
      </c>
      <c r="K799" s="6">
        <f>I799/1/10.8*0.129</f>
        <v>250.51083333333332</v>
      </c>
      <c r="L799" s="6" t="s">
        <v>18</v>
      </c>
      <c r="M799" s="84" t="s">
        <v>2777</v>
      </c>
      <c r="N799" s="84" t="s">
        <v>2778</v>
      </c>
    </row>
    <row r="800" spans="1:14" ht="135">
      <c r="A800" s="50" t="s">
        <v>2779</v>
      </c>
      <c r="B800" s="11" t="s">
        <v>2780</v>
      </c>
      <c r="C800" s="11" t="s">
        <v>2781</v>
      </c>
      <c r="D800" s="11" t="s">
        <v>2782</v>
      </c>
      <c r="E800" s="4" t="s">
        <v>2783</v>
      </c>
      <c r="F800" s="4" t="s">
        <v>2784</v>
      </c>
      <c r="G800" s="4" t="s">
        <v>2785</v>
      </c>
      <c r="H800" s="4" t="s">
        <v>2786</v>
      </c>
      <c r="I800" s="6">
        <v>8577.4</v>
      </c>
      <c r="J800" s="6" t="s">
        <v>2745</v>
      </c>
      <c r="K800" s="6">
        <f>I800/3.75*0.134</f>
        <v>306.49909333333329</v>
      </c>
      <c r="L800" s="6" t="s">
        <v>18</v>
      </c>
      <c r="M800" s="50" t="s">
        <v>2787</v>
      </c>
      <c r="N800" s="50" t="s">
        <v>2788</v>
      </c>
    </row>
    <row r="801" spans="1:14" ht="101.25">
      <c r="A801" s="50" t="s">
        <v>2789</v>
      </c>
      <c r="B801" s="11" t="s">
        <v>2780</v>
      </c>
      <c r="C801" s="11" t="s">
        <v>2781</v>
      </c>
      <c r="D801" s="11" t="s">
        <v>2782</v>
      </c>
      <c r="E801" s="4" t="s">
        <v>2783</v>
      </c>
      <c r="F801" s="4" t="s">
        <v>2790</v>
      </c>
      <c r="G801" s="4" t="s">
        <v>2785</v>
      </c>
      <c r="H801" s="4" t="s">
        <v>2786</v>
      </c>
      <c r="I801" s="6">
        <v>22705.9</v>
      </c>
      <c r="J801" s="6" t="s">
        <v>2745</v>
      </c>
      <c r="K801" s="6">
        <f>I801/1/11.25*0.134</f>
        <v>270.45249777777781</v>
      </c>
      <c r="L801" s="6" t="s">
        <v>18</v>
      </c>
      <c r="M801" s="11" t="s">
        <v>2791</v>
      </c>
      <c r="N801" s="11" t="s">
        <v>2792</v>
      </c>
    </row>
    <row r="802" spans="1:14" ht="101.25">
      <c r="A802" s="50" t="s">
        <v>2793</v>
      </c>
      <c r="B802" s="11" t="s">
        <v>2780</v>
      </c>
      <c r="C802" s="11" t="s">
        <v>2781</v>
      </c>
      <c r="D802" s="11" t="s">
        <v>2782</v>
      </c>
      <c r="E802" s="4" t="s">
        <v>1370</v>
      </c>
      <c r="F802" s="4" t="s">
        <v>2794</v>
      </c>
      <c r="G802" s="4" t="s">
        <v>1381</v>
      </c>
      <c r="H802" s="4" t="s">
        <v>175</v>
      </c>
      <c r="I802" s="6">
        <v>50214.6</v>
      </c>
      <c r="J802" s="6" t="s">
        <v>2745</v>
      </c>
      <c r="K802" s="6">
        <f>I802/22.5*0.134</f>
        <v>299.05583999999999</v>
      </c>
      <c r="L802" s="6" t="s">
        <v>18</v>
      </c>
      <c r="M802" s="11" t="s">
        <v>2791</v>
      </c>
      <c r="N802" s="11" t="s">
        <v>2792</v>
      </c>
    </row>
    <row r="803" spans="1:14" s="52" customFormat="1" ht="45">
      <c r="A803" s="50" t="s">
        <v>2795</v>
      </c>
      <c r="B803" s="11" t="s">
        <v>2780</v>
      </c>
      <c r="C803" s="11" t="s">
        <v>2781</v>
      </c>
      <c r="D803" s="11" t="s">
        <v>2782</v>
      </c>
      <c r="E803" s="4" t="s">
        <v>345</v>
      </c>
      <c r="F803" s="4" t="s">
        <v>2796</v>
      </c>
      <c r="G803" s="4" t="s">
        <v>2797</v>
      </c>
      <c r="H803" s="4" t="s">
        <v>2798</v>
      </c>
      <c r="I803" s="6">
        <v>1925.1</v>
      </c>
      <c r="J803" s="6" t="s">
        <v>2799</v>
      </c>
      <c r="K803" s="6">
        <f>I803/7/0.1*0.1</f>
        <v>275.01428571428568</v>
      </c>
      <c r="L803" s="6" t="s">
        <v>18</v>
      </c>
      <c r="M803" s="11" t="s">
        <v>2800</v>
      </c>
      <c r="N803" s="11" t="s">
        <v>2801</v>
      </c>
    </row>
    <row r="804" spans="1:14" s="52" customFormat="1" ht="45">
      <c r="A804" s="50" t="s">
        <v>2802</v>
      </c>
      <c r="B804" s="11" t="s">
        <v>2780</v>
      </c>
      <c r="C804" s="11" t="s">
        <v>2781</v>
      </c>
      <c r="D804" s="11" t="s">
        <v>2803</v>
      </c>
      <c r="E804" s="4" t="s">
        <v>281</v>
      </c>
      <c r="F804" s="4" t="s">
        <v>2804</v>
      </c>
      <c r="G804" s="109" t="s">
        <v>2805</v>
      </c>
      <c r="H804" s="109" t="s">
        <v>2806</v>
      </c>
      <c r="I804" s="6">
        <v>1925.1</v>
      </c>
      <c r="J804" s="6" t="s">
        <v>2799</v>
      </c>
      <c r="K804" s="6">
        <f>I804/7/0.1*0.1</f>
        <v>275.01428571428568</v>
      </c>
      <c r="L804" s="6" t="s">
        <v>18</v>
      </c>
      <c r="M804" s="54" t="s">
        <v>2800</v>
      </c>
      <c r="N804" s="54" t="s">
        <v>2801</v>
      </c>
    </row>
    <row r="805" spans="1:14" s="52" customFormat="1" ht="225">
      <c r="A805" s="10" t="s">
        <v>2807</v>
      </c>
      <c r="B805" s="10" t="s">
        <v>2808</v>
      </c>
      <c r="C805" s="10" t="s">
        <v>2809</v>
      </c>
      <c r="D805" s="10" t="s">
        <v>2810</v>
      </c>
      <c r="E805" s="70" t="s">
        <v>281</v>
      </c>
      <c r="F805" s="70" t="s">
        <v>2811</v>
      </c>
      <c r="G805" s="70" t="s">
        <v>2812</v>
      </c>
      <c r="H805" s="70" t="s">
        <v>2813</v>
      </c>
      <c r="I805" s="6">
        <v>39831.199999999997</v>
      </c>
      <c r="J805" s="6" t="s">
        <v>3846</v>
      </c>
      <c r="K805" s="6">
        <f>(I805/2)/250*16.7</f>
        <v>1330.3620799999999</v>
      </c>
      <c r="L805" s="6" t="s">
        <v>18</v>
      </c>
      <c r="M805" s="11" t="s">
        <v>2814</v>
      </c>
      <c r="N805" s="11" t="s">
        <v>2815</v>
      </c>
    </row>
    <row r="806" spans="1:14" s="52" customFormat="1" ht="225">
      <c r="A806" s="10" t="s">
        <v>2816</v>
      </c>
      <c r="B806" s="10" t="s">
        <v>2808</v>
      </c>
      <c r="C806" s="10" t="s">
        <v>2809</v>
      </c>
      <c r="D806" s="10" t="s">
        <v>2817</v>
      </c>
      <c r="E806" s="70" t="s">
        <v>281</v>
      </c>
      <c r="F806" s="70" t="s">
        <v>2818</v>
      </c>
      <c r="G806" s="4" t="s">
        <v>3667</v>
      </c>
      <c r="H806" s="4" t="s">
        <v>133</v>
      </c>
      <c r="I806" s="6">
        <v>6758.2</v>
      </c>
      <c r="J806" s="6" t="s">
        <v>3846</v>
      </c>
      <c r="K806" s="6">
        <f>(I806/1)/250*16.7</f>
        <v>451.44775999999996</v>
      </c>
      <c r="L806" s="6" t="s">
        <v>18</v>
      </c>
      <c r="M806" s="11" t="s">
        <v>2814</v>
      </c>
      <c r="N806" s="11" t="s">
        <v>2815</v>
      </c>
    </row>
    <row r="807" spans="1:14" s="52" customFormat="1" ht="225">
      <c r="A807" s="10" t="s">
        <v>2821</v>
      </c>
      <c r="B807" s="10" t="s">
        <v>2808</v>
      </c>
      <c r="C807" s="10" t="s">
        <v>2809</v>
      </c>
      <c r="D807" s="10" t="s">
        <v>2822</v>
      </c>
      <c r="E807" s="70" t="s">
        <v>281</v>
      </c>
      <c r="F807" s="70" t="s">
        <v>2819</v>
      </c>
      <c r="G807" s="70" t="s">
        <v>2823</v>
      </c>
      <c r="H807" s="70" t="s">
        <v>2824</v>
      </c>
      <c r="I807" s="6">
        <v>12272.4</v>
      </c>
      <c r="J807" s="6" t="s">
        <v>3846</v>
      </c>
      <c r="K807" s="6">
        <f>(I807/2)/250*16.7</f>
        <v>409.89815999999996</v>
      </c>
      <c r="L807" s="6" t="s">
        <v>18</v>
      </c>
      <c r="M807" s="11" t="s">
        <v>2814</v>
      </c>
      <c r="N807" s="11" t="s">
        <v>2815</v>
      </c>
    </row>
    <row r="808" spans="1:14" s="52" customFormat="1" ht="225">
      <c r="A808" s="10" t="s">
        <v>3591</v>
      </c>
      <c r="B808" s="10" t="s">
        <v>2808</v>
      </c>
      <c r="C808" s="10" t="s">
        <v>2809</v>
      </c>
      <c r="D808" s="10" t="s">
        <v>3592</v>
      </c>
      <c r="E808" s="70" t="s">
        <v>281</v>
      </c>
      <c r="F808" s="70" t="s">
        <v>2819</v>
      </c>
      <c r="G808" s="70" t="s">
        <v>2820</v>
      </c>
      <c r="H808" s="70" t="s">
        <v>45</v>
      </c>
      <c r="I808" s="6">
        <v>12272.4</v>
      </c>
      <c r="J808" s="6" t="s">
        <v>3846</v>
      </c>
      <c r="K808" s="6">
        <f>(I808/2)/250*16.7</f>
        <v>409.89815999999996</v>
      </c>
      <c r="L808" s="6" t="s">
        <v>18</v>
      </c>
      <c r="M808" s="11" t="s">
        <v>2814</v>
      </c>
      <c r="N808" s="11" t="s">
        <v>2815</v>
      </c>
    </row>
    <row r="809" spans="1:14" s="52" customFormat="1" ht="225">
      <c r="A809" s="10" t="s">
        <v>3847</v>
      </c>
      <c r="B809" s="10" t="s">
        <v>2808</v>
      </c>
      <c r="C809" s="10" t="s">
        <v>2809</v>
      </c>
      <c r="D809" s="10" t="s">
        <v>3848</v>
      </c>
      <c r="E809" s="70" t="s">
        <v>281</v>
      </c>
      <c r="F809" s="70" t="s">
        <v>3849</v>
      </c>
      <c r="G809" s="70" t="s">
        <v>3279</v>
      </c>
      <c r="H809" s="70" t="s">
        <v>34</v>
      </c>
      <c r="I809" s="6">
        <v>6136.2</v>
      </c>
      <c r="J809" s="6" t="s">
        <v>3846</v>
      </c>
      <c r="K809" s="6">
        <f>(I809/1)/250*16.7</f>
        <v>409.89815999999996</v>
      </c>
      <c r="L809" s="6" t="s">
        <v>18</v>
      </c>
      <c r="M809" s="11" t="s">
        <v>2814</v>
      </c>
      <c r="N809" s="11" t="s">
        <v>2815</v>
      </c>
    </row>
    <row r="810" spans="1:14" s="52" customFormat="1" ht="225">
      <c r="A810" s="10" t="s">
        <v>3850</v>
      </c>
      <c r="B810" s="10" t="s">
        <v>2808</v>
      </c>
      <c r="C810" s="10" t="s">
        <v>2809</v>
      </c>
      <c r="D810" s="10" t="s">
        <v>3848</v>
      </c>
      <c r="E810" s="70" t="s">
        <v>281</v>
      </c>
      <c r="F810" s="70" t="s">
        <v>3851</v>
      </c>
      <c r="G810" s="70" t="s">
        <v>3279</v>
      </c>
      <c r="H810" s="70" t="s">
        <v>34</v>
      </c>
      <c r="I810" s="6">
        <v>12272.4</v>
      </c>
      <c r="J810" s="6" t="s">
        <v>3846</v>
      </c>
      <c r="K810" s="6">
        <f>(I810/2)/250*16.7</f>
        <v>409.89815999999996</v>
      </c>
      <c r="L810" s="6" t="s">
        <v>18</v>
      </c>
      <c r="M810" s="11" t="s">
        <v>2814</v>
      </c>
      <c r="N810" s="11" t="s">
        <v>2815</v>
      </c>
    </row>
    <row r="811" spans="1:14" ht="45">
      <c r="A811" s="50" t="s">
        <v>2825</v>
      </c>
      <c r="B811" s="11" t="s">
        <v>2826</v>
      </c>
      <c r="C811" s="11" t="s">
        <v>2827</v>
      </c>
      <c r="D811" s="11" t="s">
        <v>2828</v>
      </c>
      <c r="E811" s="4" t="s">
        <v>2829</v>
      </c>
      <c r="F811" s="4" t="s">
        <v>2830</v>
      </c>
      <c r="G811" s="4" t="s">
        <v>3676</v>
      </c>
      <c r="H811" s="4" t="s">
        <v>3677</v>
      </c>
      <c r="I811" s="6">
        <v>9888.7999999999993</v>
      </c>
      <c r="J811" s="6" t="s">
        <v>2831</v>
      </c>
      <c r="K811" s="6">
        <f>I811/5/120*350</f>
        <v>5768.4666666666662</v>
      </c>
      <c r="L811" s="6" t="s">
        <v>18</v>
      </c>
      <c r="M811" s="11"/>
      <c r="N811" s="11" t="s">
        <v>148</v>
      </c>
    </row>
    <row r="812" spans="1:14" ht="45">
      <c r="A812" s="50" t="s">
        <v>2832</v>
      </c>
      <c r="B812" s="11" t="s">
        <v>2826</v>
      </c>
      <c r="C812" s="11" t="s">
        <v>2827</v>
      </c>
      <c r="D812" s="11" t="s">
        <v>2828</v>
      </c>
      <c r="E812" s="4" t="s">
        <v>2829</v>
      </c>
      <c r="F812" s="4" t="s">
        <v>2833</v>
      </c>
      <c r="G812" s="4" t="s">
        <v>3676</v>
      </c>
      <c r="H812" s="4" t="s">
        <v>3677</v>
      </c>
      <c r="I812" s="6">
        <v>16292</v>
      </c>
      <c r="J812" s="6" t="s">
        <v>2831</v>
      </c>
      <c r="K812" s="6">
        <f>I812/5/300*350</f>
        <v>3801.4666666666672</v>
      </c>
      <c r="L812" s="6" t="s">
        <v>18</v>
      </c>
      <c r="M812" s="11"/>
      <c r="N812" s="11" t="s">
        <v>148</v>
      </c>
    </row>
    <row r="813" spans="1:14" ht="45">
      <c r="A813" s="50" t="s">
        <v>2834</v>
      </c>
      <c r="B813" s="11" t="s">
        <v>2826</v>
      </c>
      <c r="C813" s="11" t="s">
        <v>2827</v>
      </c>
      <c r="D813" s="11" t="s">
        <v>2828</v>
      </c>
      <c r="E813" s="4" t="s">
        <v>2829</v>
      </c>
      <c r="F813" s="4" t="s">
        <v>2835</v>
      </c>
      <c r="G813" s="4" t="s">
        <v>3676</v>
      </c>
      <c r="H813" s="4" t="s">
        <v>3677</v>
      </c>
      <c r="I813" s="6">
        <v>23193</v>
      </c>
      <c r="J813" s="6" t="s">
        <v>2831</v>
      </c>
      <c r="K813" s="6">
        <f>I813/5/480*350</f>
        <v>3382.3125</v>
      </c>
      <c r="L813" s="6" t="s">
        <v>18</v>
      </c>
      <c r="M813" s="11"/>
      <c r="N813" s="11" t="s">
        <v>148</v>
      </c>
    </row>
    <row r="814" spans="1:14" ht="45">
      <c r="A814" s="50" t="s">
        <v>2836</v>
      </c>
      <c r="B814" s="11" t="s">
        <v>2826</v>
      </c>
      <c r="C814" s="11" t="s">
        <v>2827</v>
      </c>
      <c r="D814" s="11" t="s">
        <v>2837</v>
      </c>
      <c r="E814" s="4" t="s">
        <v>2829</v>
      </c>
      <c r="F814" s="4" t="s">
        <v>2838</v>
      </c>
      <c r="G814" s="4" t="s">
        <v>1611</v>
      </c>
      <c r="H814" s="4" t="s">
        <v>133</v>
      </c>
      <c r="I814" s="6">
        <v>3258.4</v>
      </c>
      <c r="J814" s="6" t="s">
        <v>2831</v>
      </c>
      <c r="K814" s="6">
        <f>I814/1/300*350</f>
        <v>3801.4666666666672</v>
      </c>
      <c r="L814" s="6" t="s">
        <v>18</v>
      </c>
      <c r="M814" s="11"/>
      <c r="N814" s="11" t="s">
        <v>148</v>
      </c>
    </row>
    <row r="815" spans="1:14" ht="45">
      <c r="A815" s="50" t="s">
        <v>2839</v>
      </c>
      <c r="B815" s="11" t="s">
        <v>2826</v>
      </c>
      <c r="C815" s="11" t="s">
        <v>2827</v>
      </c>
      <c r="D815" s="11" t="s">
        <v>2837</v>
      </c>
      <c r="E815" s="4" t="s">
        <v>2829</v>
      </c>
      <c r="F815" s="4" t="s">
        <v>2840</v>
      </c>
      <c r="G815" s="4" t="s">
        <v>1611</v>
      </c>
      <c r="H815" s="4" t="s">
        <v>133</v>
      </c>
      <c r="I815" s="6">
        <v>4638.6000000000004</v>
      </c>
      <c r="J815" s="6" t="s">
        <v>2831</v>
      </c>
      <c r="K815" s="6">
        <f>I815/1/480*350</f>
        <v>3382.3125</v>
      </c>
      <c r="L815" s="6" t="s">
        <v>18</v>
      </c>
      <c r="M815" s="11"/>
      <c r="N815" s="11" t="s">
        <v>148</v>
      </c>
    </row>
    <row r="816" spans="1:14" ht="45">
      <c r="A816" s="50" t="s">
        <v>2841</v>
      </c>
      <c r="B816" s="11" t="s">
        <v>2826</v>
      </c>
      <c r="C816" s="11" t="s">
        <v>2827</v>
      </c>
      <c r="D816" s="14" t="s">
        <v>2842</v>
      </c>
      <c r="E816" s="4" t="s">
        <v>2829</v>
      </c>
      <c r="F816" s="4" t="s">
        <v>2833</v>
      </c>
      <c r="G816" s="6" t="s">
        <v>2602</v>
      </c>
      <c r="H816" s="6" t="s">
        <v>1138</v>
      </c>
      <c r="I816" s="6">
        <v>7806.9</v>
      </c>
      <c r="J816" s="6" t="s">
        <v>2831</v>
      </c>
      <c r="K816" s="6">
        <f>I816/5/300*350</f>
        <v>1821.6099999999997</v>
      </c>
      <c r="L816" s="6" t="s">
        <v>18</v>
      </c>
      <c r="M816" s="11"/>
      <c r="N816" s="11" t="s">
        <v>148</v>
      </c>
    </row>
    <row r="817" spans="1:14" ht="45">
      <c r="A817" s="50" t="s">
        <v>2843</v>
      </c>
      <c r="B817" s="11" t="s">
        <v>2826</v>
      </c>
      <c r="C817" s="11" t="s">
        <v>2827</v>
      </c>
      <c r="D817" s="14" t="s">
        <v>2842</v>
      </c>
      <c r="E817" s="4" t="s">
        <v>2829</v>
      </c>
      <c r="F817" s="4" t="s">
        <v>2835</v>
      </c>
      <c r="G817" s="6" t="s">
        <v>2602</v>
      </c>
      <c r="H817" s="6" t="s">
        <v>1138</v>
      </c>
      <c r="I817" s="6">
        <v>10580</v>
      </c>
      <c r="J817" s="6" t="s">
        <v>2831</v>
      </c>
      <c r="K817" s="6">
        <f>I817/5/480*350</f>
        <v>1542.9166666666665</v>
      </c>
      <c r="L817" s="6" t="s">
        <v>18</v>
      </c>
      <c r="M817" s="11"/>
      <c r="N817" s="11" t="s">
        <v>148</v>
      </c>
    </row>
    <row r="818" spans="1:14" ht="33.75">
      <c r="A818" s="50" t="s">
        <v>2844</v>
      </c>
      <c r="B818" s="11" t="s">
        <v>2845</v>
      </c>
      <c r="C818" s="11" t="s">
        <v>2846</v>
      </c>
      <c r="D818" s="14" t="s">
        <v>2847</v>
      </c>
      <c r="E818" s="4" t="s">
        <v>281</v>
      </c>
      <c r="F818" s="4" t="s">
        <v>2848</v>
      </c>
      <c r="G818" s="6" t="s">
        <v>1611</v>
      </c>
      <c r="H818" s="6" t="s">
        <v>133</v>
      </c>
      <c r="I818" s="6">
        <v>26666.7</v>
      </c>
      <c r="J818" s="6" t="s">
        <v>2849</v>
      </c>
      <c r="K818" s="6">
        <f>+(I818/1)/6*0.3</f>
        <v>1333.3349999999998</v>
      </c>
      <c r="L818" s="6" t="s">
        <v>18</v>
      </c>
      <c r="M818" s="11"/>
      <c r="N818" s="11" t="s">
        <v>148</v>
      </c>
    </row>
    <row r="819" spans="1:14" ht="33.75">
      <c r="A819" s="50" t="s">
        <v>3616</v>
      </c>
      <c r="B819" s="11" t="s">
        <v>2845</v>
      </c>
      <c r="C819" s="11" t="s">
        <v>2846</v>
      </c>
      <c r="D819" s="14" t="s">
        <v>3617</v>
      </c>
      <c r="E819" s="4" t="s">
        <v>281</v>
      </c>
      <c r="F819" s="4" t="s">
        <v>2848</v>
      </c>
      <c r="G819" s="6" t="s">
        <v>3618</v>
      </c>
      <c r="H819" s="6" t="s">
        <v>34</v>
      </c>
      <c r="I819" s="6">
        <v>26666.7</v>
      </c>
      <c r="J819" s="6" t="s">
        <v>2849</v>
      </c>
      <c r="K819" s="6">
        <f>I819/6*0.3</f>
        <v>1333.3349999999998</v>
      </c>
      <c r="L819" s="6" t="s">
        <v>18</v>
      </c>
      <c r="M819" s="11"/>
      <c r="N819" s="11" t="s">
        <v>148</v>
      </c>
    </row>
    <row r="820" spans="1:14" ht="56.25">
      <c r="A820" s="50" t="s">
        <v>3852</v>
      </c>
      <c r="B820" s="11" t="s">
        <v>2845</v>
      </c>
      <c r="C820" s="11" t="s">
        <v>2846</v>
      </c>
      <c r="D820" s="14" t="s">
        <v>3853</v>
      </c>
      <c r="E820" s="4" t="s">
        <v>281</v>
      </c>
      <c r="F820" s="4" t="s">
        <v>3854</v>
      </c>
      <c r="G820" s="6" t="s">
        <v>3855</v>
      </c>
      <c r="H820" s="6" t="s">
        <v>3856</v>
      </c>
      <c r="I820" s="6">
        <v>26666.7</v>
      </c>
      <c r="J820" s="6" t="s">
        <v>2849</v>
      </c>
      <c r="K820" s="6">
        <f>I820/6*0.3</f>
        <v>1333.3349999999998</v>
      </c>
      <c r="L820" s="6" t="s">
        <v>18</v>
      </c>
      <c r="M820" s="11"/>
      <c r="N820" s="11" t="s">
        <v>148</v>
      </c>
    </row>
    <row r="821" spans="1:14" ht="78.75">
      <c r="A821" s="50" t="s">
        <v>3857</v>
      </c>
      <c r="B821" s="11" t="s">
        <v>3858</v>
      </c>
      <c r="C821" s="11" t="s">
        <v>3859</v>
      </c>
      <c r="D821" s="14" t="s">
        <v>3860</v>
      </c>
      <c r="E821" s="4" t="s">
        <v>3861</v>
      </c>
      <c r="F821" s="4" t="s">
        <v>3863</v>
      </c>
      <c r="G821" s="6" t="s">
        <v>3862</v>
      </c>
      <c r="H821" s="6" t="s">
        <v>34</v>
      </c>
      <c r="I821" s="6">
        <v>16418.3</v>
      </c>
      <c r="J821" s="6" t="s">
        <v>18</v>
      </c>
      <c r="K821" s="6" t="s">
        <v>18</v>
      </c>
      <c r="L821" s="6" t="s">
        <v>18</v>
      </c>
      <c r="M821" s="11"/>
      <c r="N821" s="11"/>
    </row>
    <row r="822" spans="1:14" ht="45">
      <c r="A822" s="50" t="s">
        <v>2850</v>
      </c>
      <c r="B822" s="11" t="s">
        <v>2851</v>
      </c>
      <c r="C822" s="11" t="s">
        <v>2852</v>
      </c>
      <c r="D822" s="11" t="s">
        <v>2853</v>
      </c>
      <c r="E822" s="4" t="s">
        <v>981</v>
      </c>
      <c r="F822" s="4" t="s">
        <v>2854</v>
      </c>
      <c r="G822" s="4" t="s">
        <v>2855</v>
      </c>
      <c r="H822" s="4" t="s">
        <v>34</v>
      </c>
      <c r="I822" s="6">
        <v>428035.3</v>
      </c>
      <c r="J822" s="6" t="s">
        <v>2856</v>
      </c>
      <c r="K822" s="6">
        <f>I822/1000*100</f>
        <v>42803.53</v>
      </c>
      <c r="L822" s="6" t="s">
        <v>18</v>
      </c>
      <c r="M822" s="11"/>
      <c r="N822" s="11" t="s">
        <v>148</v>
      </c>
    </row>
    <row r="823" spans="1:14" ht="45">
      <c r="A823" s="11" t="s">
        <v>2857</v>
      </c>
      <c r="B823" s="11" t="s">
        <v>2851</v>
      </c>
      <c r="C823" s="11" t="s">
        <v>2852</v>
      </c>
      <c r="D823" s="11" t="s">
        <v>2853</v>
      </c>
      <c r="E823" s="4" t="s">
        <v>981</v>
      </c>
      <c r="F823" s="4" t="s">
        <v>2858</v>
      </c>
      <c r="G823" s="4" t="s">
        <v>2855</v>
      </c>
      <c r="H823" s="4" t="s">
        <v>34</v>
      </c>
      <c r="I823" s="6">
        <v>42803.5</v>
      </c>
      <c r="J823" s="6" t="s">
        <v>2856</v>
      </c>
      <c r="K823" s="6">
        <f>I823/100*100</f>
        <v>42803.5</v>
      </c>
      <c r="L823" s="6" t="s">
        <v>18</v>
      </c>
      <c r="M823" s="11"/>
      <c r="N823" s="11" t="s">
        <v>148</v>
      </c>
    </row>
    <row r="824" spans="1:14" ht="45">
      <c r="A824" s="71" t="s">
        <v>2859</v>
      </c>
      <c r="B824" s="72" t="s">
        <v>2851</v>
      </c>
      <c r="C824" s="72" t="s">
        <v>2860</v>
      </c>
      <c r="D824" s="72" t="s">
        <v>2861</v>
      </c>
      <c r="E824" s="35" t="s">
        <v>23</v>
      </c>
      <c r="F824" s="35" t="s">
        <v>2321</v>
      </c>
      <c r="G824" s="126" t="s">
        <v>3730</v>
      </c>
      <c r="H824" s="126" t="s">
        <v>3567</v>
      </c>
      <c r="I824" s="6">
        <v>17724.7</v>
      </c>
      <c r="J824" s="41" t="s">
        <v>339</v>
      </c>
      <c r="K824" s="18">
        <f>I824/25*100</f>
        <v>70898.8</v>
      </c>
      <c r="L824" s="6" t="s">
        <v>18</v>
      </c>
      <c r="M824" s="11"/>
      <c r="N824" s="11" t="s">
        <v>148</v>
      </c>
    </row>
    <row r="825" spans="1:14" ht="22.5">
      <c r="A825" s="50" t="s">
        <v>2862</v>
      </c>
      <c r="B825" s="11" t="s">
        <v>2863</v>
      </c>
      <c r="C825" s="11" t="s">
        <v>2864</v>
      </c>
      <c r="D825" s="11" t="s">
        <v>2865</v>
      </c>
      <c r="E825" s="4" t="s">
        <v>981</v>
      </c>
      <c r="F825" s="4" t="s">
        <v>2866</v>
      </c>
      <c r="G825" s="4" t="s">
        <v>1354</v>
      </c>
      <c r="H825" s="4" t="s">
        <v>423</v>
      </c>
      <c r="I825" s="6">
        <v>10226.5</v>
      </c>
      <c r="J825" s="6" t="s">
        <v>2867</v>
      </c>
      <c r="K825" s="6">
        <f>I825/10/250*250</f>
        <v>1022.6500000000001</v>
      </c>
      <c r="L825" s="6" t="s">
        <v>18</v>
      </c>
      <c r="M825" s="11"/>
      <c r="N825" s="11" t="s">
        <v>2868</v>
      </c>
    </row>
    <row r="826" spans="1:14" ht="22.5">
      <c r="A826" s="50" t="s">
        <v>2869</v>
      </c>
      <c r="B826" s="11" t="s">
        <v>2870</v>
      </c>
      <c r="C826" s="11" t="s">
        <v>2871</v>
      </c>
      <c r="D826" s="11" t="s">
        <v>2872</v>
      </c>
      <c r="E826" s="4" t="s">
        <v>71</v>
      </c>
      <c r="F826" s="4" t="s">
        <v>2873</v>
      </c>
      <c r="G826" s="4" t="s">
        <v>90</v>
      </c>
      <c r="H826" s="4" t="s">
        <v>16</v>
      </c>
      <c r="I826" s="6">
        <v>109.8</v>
      </c>
      <c r="J826" s="6" t="s">
        <v>339</v>
      </c>
      <c r="K826" s="6">
        <f>I826/5/75*100</f>
        <v>29.28</v>
      </c>
      <c r="L826" s="6" t="s">
        <v>18</v>
      </c>
      <c r="M826" s="11"/>
      <c r="N826" s="11"/>
    </row>
    <row r="827" spans="1:14" ht="22.5">
      <c r="A827" s="50" t="s">
        <v>2874</v>
      </c>
      <c r="B827" s="11" t="s">
        <v>2870</v>
      </c>
      <c r="C827" s="11" t="s">
        <v>2871</v>
      </c>
      <c r="D827" s="54" t="s">
        <v>2875</v>
      </c>
      <c r="E827" s="4" t="s">
        <v>71</v>
      </c>
      <c r="F827" s="4" t="s">
        <v>2876</v>
      </c>
      <c r="G827" s="55" t="s">
        <v>1733</v>
      </c>
      <c r="H827" s="4" t="s">
        <v>16</v>
      </c>
      <c r="I827" s="6">
        <v>109.8</v>
      </c>
      <c r="J827" s="6" t="s">
        <v>339</v>
      </c>
      <c r="K827" s="6">
        <f>I827/5/75*100</f>
        <v>29.28</v>
      </c>
      <c r="L827" s="6" t="s">
        <v>18</v>
      </c>
      <c r="M827" s="11"/>
      <c r="N827" s="11"/>
    </row>
    <row r="828" spans="1:14" ht="22.5">
      <c r="A828" s="9">
        <v>1162485</v>
      </c>
      <c r="B828" s="11" t="s">
        <v>2870</v>
      </c>
      <c r="C828" s="1" t="s">
        <v>2871</v>
      </c>
      <c r="D828" s="11" t="s">
        <v>2877</v>
      </c>
      <c r="E828" s="4" t="s">
        <v>2878</v>
      </c>
      <c r="F828" s="4" t="s">
        <v>2879</v>
      </c>
      <c r="G828" s="4" t="s">
        <v>15</v>
      </c>
      <c r="H828" s="4" t="s">
        <v>16</v>
      </c>
      <c r="I828" s="6">
        <v>60.7</v>
      </c>
      <c r="J828" s="31" t="s">
        <v>339</v>
      </c>
      <c r="K828" s="31">
        <f>I828/10/50*100</f>
        <v>12.14</v>
      </c>
      <c r="L828" s="25" t="s">
        <v>18</v>
      </c>
      <c r="M828" s="11"/>
      <c r="N828" s="11"/>
    </row>
    <row r="829" spans="1:14" ht="33.75">
      <c r="A829" s="11">
        <v>1162487</v>
      </c>
      <c r="B829" s="11" t="s">
        <v>2870</v>
      </c>
      <c r="C829" s="11" t="s">
        <v>2871</v>
      </c>
      <c r="D829" s="11" t="s">
        <v>2880</v>
      </c>
      <c r="E829" s="4" t="s">
        <v>2881</v>
      </c>
      <c r="F829" s="4" t="s">
        <v>351</v>
      </c>
      <c r="G829" s="4" t="s">
        <v>15</v>
      </c>
      <c r="H829" s="4" t="s">
        <v>16</v>
      </c>
      <c r="I829" s="6">
        <v>275.5</v>
      </c>
      <c r="J829" s="6" t="s">
        <v>339</v>
      </c>
      <c r="K829" s="6">
        <f>I829/30/75*100</f>
        <v>12.244444444444445</v>
      </c>
      <c r="L829" s="6" t="s">
        <v>18</v>
      </c>
      <c r="M829" s="11"/>
      <c r="N829" s="11"/>
    </row>
    <row r="830" spans="1:14" ht="22.5">
      <c r="A830" s="11">
        <v>1162190</v>
      </c>
      <c r="B830" s="11" t="s">
        <v>2870</v>
      </c>
      <c r="C830" s="11" t="s">
        <v>2871</v>
      </c>
      <c r="D830" s="54" t="s">
        <v>2875</v>
      </c>
      <c r="E830" s="55" t="s">
        <v>1985</v>
      </c>
      <c r="F830" s="4" t="s">
        <v>2882</v>
      </c>
      <c r="G830" s="55" t="s">
        <v>1733</v>
      </c>
      <c r="H830" s="4" t="s">
        <v>16</v>
      </c>
      <c r="I830" s="6">
        <v>81.099999999999994</v>
      </c>
      <c r="J830" s="6" t="s">
        <v>339</v>
      </c>
      <c r="K830" s="6">
        <f>I830/20/50*100</f>
        <v>8.11</v>
      </c>
      <c r="L830" s="6" t="s">
        <v>18</v>
      </c>
      <c r="M830" s="11"/>
      <c r="N830" s="11"/>
    </row>
    <row r="831" spans="1:14" ht="33.75">
      <c r="A831" s="11">
        <v>1162193</v>
      </c>
      <c r="B831" s="11" t="s">
        <v>2870</v>
      </c>
      <c r="C831" s="11" t="s">
        <v>2871</v>
      </c>
      <c r="D831" s="54" t="s">
        <v>2883</v>
      </c>
      <c r="E831" s="4" t="s">
        <v>2881</v>
      </c>
      <c r="F831" s="4" t="s">
        <v>2884</v>
      </c>
      <c r="G831" s="55" t="s">
        <v>1733</v>
      </c>
      <c r="H831" s="4" t="s">
        <v>16</v>
      </c>
      <c r="I831" s="6">
        <v>157.80000000000001</v>
      </c>
      <c r="J831" s="6" t="s">
        <v>339</v>
      </c>
      <c r="K831" s="6">
        <f>I831/20/100*100</f>
        <v>7.8900000000000015</v>
      </c>
      <c r="L831" s="6" t="s">
        <v>18</v>
      </c>
      <c r="M831" s="11"/>
      <c r="N831" s="11"/>
    </row>
    <row r="832" spans="1:14" ht="22.5">
      <c r="A832" s="11">
        <v>1162441</v>
      </c>
      <c r="B832" s="11" t="s">
        <v>2870</v>
      </c>
      <c r="C832" s="11" t="s">
        <v>2871</v>
      </c>
      <c r="D832" s="11" t="s">
        <v>2872</v>
      </c>
      <c r="E832" s="4" t="s">
        <v>1985</v>
      </c>
      <c r="F832" s="4" t="s">
        <v>2882</v>
      </c>
      <c r="G832" s="4" t="s">
        <v>90</v>
      </c>
      <c r="H832" s="4" t="s">
        <v>16</v>
      </c>
      <c r="I832" s="6">
        <v>81.099999999999994</v>
      </c>
      <c r="J832" s="6" t="s">
        <v>339</v>
      </c>
      <c r="K832" s="6">
        <f>I832/20/50*100</f>
        <v>8.11</v>
      </c>
      <c r="L832" s="6" t="s">
        <v>18</v>
      </c>
      <c r="M832" s="11"/>
      <c r="N832" s="11"/>
    </row>
    <row r="833" spans="1:14" ht="33.75">
      <c r="A833" s="11">
        <v>1162442</v>
      </c>
      <c r="B833" s="11" t="s">
        <v>2870</v>
      </c>
      <c r="C833" s="11" t="s">
        <v>2871</v>
      </c>
      <c r="D833" s="11" t="s">
        <v>2872</v>
      </c>
      <c r="E833" s="4" t="s">
        <v>2889</v>
      </c>
      <c r="F833" s="4" t="s">
        <v>2884</v>
      </c>
      <c r="G833" s="4" t="s">
        <v>90</v>
      </c>
      <c r="H833" s="4" t="s">
        <v>16</v>
      </c>
      <c r="I833" s="6">
        <v>157.80000000000001</v>
      </c>
      <c r="J833" s="6" t="s">
        <v>339</v>
      </c>
      <c r="K833" s="6">
        <f>I833/20/100*100</f>
        <v>7.8900000000000015</v>
      </c>
      <c r="L833" s="6" t="s">
        <v>18</v>
      </c>
      <c r="M833" s="11"/>
      <c r="N833" s="11"/>
    </row>
    <row r="834" spans="1:14" ht="22.5">
      <c r="A834" s="11">
        <v>5162445</v>
      </c>
      <c r="B834" s="11" t="s">
        <v>2870</v>
      </c>
      <c r="C834" s="11" t="s">
        <v>2871</v>
      </c>
      <c r="D834" s="11" t="s">
        <v>2872</v>
      </c>
      <c r="E834" s="4" t="s">
        <v>2885</v>
      </c>
      <c r="F834" s="4" t="s">
        <v>2886</v>
      </c>
      <c r="G834" s="4" t="s">
        <v>90</v>
      </c>
      <c r="H834" s="4" t="s">
        <v>16</v>
      </c>
      <c r="I834" s="6">
        <v>279.29999999999995</v>
      </c>
      <c r="J834" s="6" t="s">
        <v>339</v>
      </c>
      <c r="K834" s="6">
        <f>I834/10/50*100</f>
        <v>55.859999999999985</v>
      </c>
      <c r="L834" s="6" t="s">
        <v>18</v>
      </c>
      <c r="M834" s="11"/>
      <c r="N834" s="11"/>
    </row>
    <row r="835" spans="1:14" ht="33.75">
      <c r="A835" s="50" t="s">
        <v>2887</v>
      </c>
      <c r="B835" s="11" t="s">
        <v>2870</v>
      </c>
      <c r="C835" s="11" t="s">
        <v>2871</v>
      </c>
      <c r="D835" s="11" t="s">
        <v>2888</v>
      </c>
      <c r="E835" s="4" t="s">
        <v>2889</v>
      </c>
      <c r="F835" s="4" t="s">
        <v>2884</v>
      </c>
      <c r="G835" s="4" t="s">
        <v>2890</v>
      </c>
      <c r="H835" s="4" t="s">
        <v>129</v>
      </c>
      <c r="I835" s="6">
        <v>157.80000000000001</v>
      </c>
      <c r="J835" s="6" t="s">
        <v>339</v>
      </c>
      <c r="K835" s="6">
        <f>I835/20/100*100</f>
        <v>7.8900000000000015</v>
      </c>
      <c r="L835" s="6" t="s">
        <v>18</v>
      </c>
      <c r="M835" s="11"/>
      <c r="N835" s="11"/>
    </row>
    <row r="836" spans="1:14" ht="45">
      <c r="A836" s="11">
        <v>1162520</v>
      </c>
      <c r="B836" s="11" t="s">
        <v>2891</v>
      </c>
      <c r="C836" s="11" t="s">
        <v>2892</v>
      </c>
      <c r="D836" s="11" t="s">
        <v>2893</v>
      </c>
      <c r="E836" s="4" t="s">
        <v>240</v>
      </c>
      <c r="F836" s="4" t="s">
        <v>2894</v>
      </c>
      <c r="G836" s="4" t="s">
        <v>2895</v>
      </c>
      <c r="H836" s="4" t="s">
        <v>16</v>
      </c>
      <c r="I836" s="6">
        <v>495.7</v>
      </c>
      <c r="J836" s="6" t="s">
        <v>61</v>
      </c>
      <c r="K836" s="6">
        <f>I836/10/10*30</f>
        <v>148.71</v>
      </c>
      <c r="L836" s="6" t="s">
        <v>18</v>
      </c>
      <c r="M836" s="11"/>
      <c r="N836" s="11"/>
    </row>
    <row r="837" spans="1:14" ht="56.25">
      <c r="A837" s="50" t="s">
        <v>2896</v>
      </c>
      <c r="B837" s="11" t="s">
        <v>2891</v>
      </c>
      <c r="C837" s="11" t="s">
        <v>2892</v>
      </c>
      <c r="D837" s="11" t="s">
        <v>2893</v>
      </c>
      <c r="E837" s="4" t="s">
        <v>71</v>
      </c>
      <c r="F837" s="4" t="s">
        <v>2897</v>
      </c>
      <c r="G837" s="4" t="s">
        <v>2898</v>
      </c>
      <c r="H837" s="4" t="s">
        <v>16</v>
      </c>
      <c r="I837" s="6">
        <v>347.7</v>
      </c>
      <c r="J837" s="6" t="s">
        <v>61</v>
      </c>
      <c r="K837" s="6">
        <f>I837/5/30*30</f>
        <v>69.539999999999992</v>
      </c>
      <c r="L837" s="6" t="s">
        <v>18</v>
      </c>
      <c r="M837" s="11"/>
      <c r="N837" s="11"/>
    </row>
    <row r="838" spans="1:14" ht="22.5">
      <c r="A838" s="127" t="s">
        <v>2899</v>
      </c>
      <c r="B838" s="127" t="s">
        <v>2891</v>
      </c>
      <c r="C838" s="127" t="s">
        <v>2892</v>
      </c>
      <c r="D838" s="127" t="s">
        <v>2900</v>
      </c>
      <c r="E838" s="109" t="s">
        <v>71</v>
      </c>
      <c r="F838" s="109" t="s">
        <v>2901</v>
      </c>
      <c r="G838" s="109" t="s">
        <v>2902</v>
      </c>
      <c r="H838" s="109" t="s">
        <v>2903</v>
      </c>
      <c r="I838" s="6">
        <v>318.89999999999998</v>
      </c>
      <c r="J838" s="4" t="s">
        <v>61</v>
      </c>
      <c r="K838" s="6">
        <f>+(I838/5)/30*30</f>
        <v>63.779999999999994</v>
      </c>
      <c r="L838" s="24" t="s">
        <v>18</v>
      </c>
      <c r="M838" s="54"/>
      <c r="N838" s="54"/>
    </row>
    <row r="839" spans="1:14" ht="33.75">
      <c r="A839" s="50" t="s">
        <v>2904</v>
      </c>
      <c r="B839" s="11" t="s">
        <v>2905</v>
      </c>
      <c r="C839" s="11" t="s">
        <v>2906</v>
      </c>
      <c r="D839" s="11" t="s">
        <v>2907</v>
      </c>
      <c r="E839" s="4" t="s">
        <v>240</v>
      </c>
      <c r="F839" s="4" t="s">
        <v>2884</v>
      </c>
      <c r="G839" s="55" t="s">
        <v>2908</v>
      </c>
      <c r="H839" s="4" t="s">
        <v>361</v>
      </c>
      <c r="I839" s="6">
        <v>373.7</v>
      </c>
      <c r="J839" s="6" t="s">
        <v>226</v>
      </c>
      <c r="K839" s="6">
        <f>I839/20/100*200</f>
        <v>37.369999999999997</v>
      </c>
      <c r="L839" s="6" t="s">
        <v>18</v>
      </c>
      <c r="M839" s="11"/>
      <c r="N839" s="11"/>
    </row>
    <row r="840" spans="1:14" s="52" customFormat="1">
      <c r="A840" s="51" t="s">
        <v>2909</v>
      </c>
      <c r="B840" s="13" t="s">
        <v>2905</v>
      </c>
      <c r="C840" s="13" t="s">
        <v>2906</v>
      </c>
      <c r="D840" s="11" t="s">
        <v>2910</v>
      </c>
      <c r="E840" s="17" t="s">
        <v>240</v>
      </c>
      <c r="F840" s="4" t="s">
        <v>2884</v>
      </c>
      <c r="G840" s="4" t="s">
        <v>2911</v>
      </c>
      <c r="H840" s="4" t="s">
        <v>423</v>
      </c>
      <c r="I840" s="5">
        <v>209.2</v>
      </c>
      <c r="J840" s="6" t="s">
        <v>226</v>
      </c>
      <c r="K840" s="5">
        <f>I840/20/100*200</f>
        <v>20.919999999999998</v>
      </c>
      <c r="L840" s="7" t="s">
        <v>18</v>
      </c>
      <c r="M840" s="11"/>
      <c r="N840" s="11"/>
    </row>
    <row r="841" spans="1:14" ht="22.5">
      <c r="A841" s="11">
        <v>1162513</v>
      </c>
      <c r="B841" s="11" t="s">
        <v>2912</v>
      </c>
      <c r="C841" s="11" t="s">
        <v>2913</v>
      </c>
      <c r="D841" s="11" t="s">
        <v>2914</v>
      </c>
      <c r="E841" s="4" t="s">
        <v>240</v>
      </c>
      <c r="F841" s="4" t="s">
        <v>2915</v>
      </c>
      <c r="G841" s="4" t="s">
        <v>120</v>
      </c>
      <c r="H841" s="4" t="s">
        <v>16</v>
      </c>
      <c r="I841" s="6">
        <v>125.2</v>
      </c>
      <c r="J841" s="6" t="s">
        <v>1903</v>
      </c>
      <c r="K841" s="6">
        <f>I841/30/600*1200</f>
        <v>8.3466666666666676</v>
      </c>
      <c r="L841" s="6" t="s">
        <v>18</v>
      </c>
      <c r="M841" s="11"/>
      <c r="N841" s="11"/>
    </row>
    <row r="842" spans="1:14" ht="22.5">
      <c r="A842" s="11">
        <v>1162043</v>
      </c>
      <c r="B842" s="13" t="s">
        <v>2912</v>
      </c>
      <c r="C842" s="11" t="s">
        <v>2913</v>
      </c>
      <c r="D842" s="11" t="s">
        <v>2916</v>
      </c>
      <c r="E842" s="55" t="s">
        <v>240</v>
      </c>
      <c r="F842" s="55" t="s">
        <v>2915</v>
      </c>
      <c r="G842" s="55" t="s">
        <v>2917</v>
      </c>
      <c r="H842" s="55" t="s">
        <v>2918</v>
      </c>
      <c r="I842" s="6">
        <v>125.2</v>
      </c>
      <c r="J842" s="6" t="s">
        <v>1903</v>
      </c>
      <c r="K842" s="6">
        <f>+(I842/30)/600*1200</f>
        <v>8.3466666666666676</v>
      </c>
      <c r="L842" s="6" t="s">
        <v>18</v>
      </c>
      <c r="M842" s="11"/>
      <c r="N842" s="11"/>
    </row>
    <row r="843" spans="1:14" ht="22.5">
      <c r="A843" s="11">
        <v>1162423</v>
      </c>
      <c r="B843" s="11" t="s">
        <v>2919</v>
      </c>
      <c r="C843" s="11" t="s">
        <v>2920</v>
      </c>
      <c r="D843" s="11" t="s">
        <v>2921</v>
      </c>
      <c r="E843" s="4" t="s">
        <v>240</v>
      </c>
      <c r="F843" s="4" t="s">
        <v>2922</v>
      </c>
      <c r="G843" s="4" t="s">
        <v>15</v>
      </c>
      <c r="H843" s="4" t="s">
        <v>16</v>
      </c>
      <c r="I843" s="6">
        <v>190.2</v>
      </c>
      <c r="J843" s="6" t="s">
        <v>1080</v>
      </c>
      <c r="K843" s="6">
        <f>I843/20/375*500</f>
        <v>12.68</v>
      </c>
      <c r="L843" s="6" t="s">
        <v>18</v>
      </c>
      <c r="M843" s="11"/>
      <c r="N843" s="11"/>
    </row>
    <row r="844" spans="1:14" ht="22.5">
      <c r="A844" s="50" t="s">
        <v>2923</v>
      </c>
      <c r="B844" s="11" t="s">
        <v>2924</v>
      </c>
      <c r="C844" s="11" t="s">
        <v>2925</v>
      </c>
      <c r="D844" s="11" t="s">
        <v>2926</v>
      </c>
      <c r="E844" s="4" t="s">
        <v>71</v>
      </c>
      <c r="F844" s="4" t="s">
        <v>2927</v>
      </c>
      <c r="G844" s="4" t="s">
        <v>617</v>
      </c>
      <c r="H844" s="4" t="s">
        <v>618</v>
      </c>
      <c r="I844" s="6">
        <v>325</v>
      </c>
      <c r="J844" s="6" t="s">
        <v>1144</v>
      </c>
      <c r="K844" s="6">
        <f>I844/10/100*150</f>
        <v>48.75</v>
      </c>
      <c r="L844" s="6" t="s">
        <v>18</v>
      </c>
      <c r="M844" s="11"/>
      <c r="N844" s="11"/>
    </row>
    <row r="845" spans="1:14" ht="22.5">
      <c r="A845" s="50" t="s">
        <v>2928</v>
      </c>
      <c r="B845" s="11" t="s">
        <v>2924</v>
      </c>
      <c r="C845" s="11" t="s">
        <v>2925</v>
      </c>
      <c r="D845" s="11" t="s">
        <v>2929</v>
      </c>
      <c r="E845" s="4" t="s">
        <v>240</v>
      </c>
      <c r="F845" s="4" t="s">
        <v>2930</v>
      </c>
      <c r="G845" s="4" t="s">
        <v>617</v>
      </c>
      <c r="H845" s="4" t="s">
        <v>618</v>
      </c>
      <c r="I845" s="6">
        <v>163.4</v>
      </c>
      <c r="J845" s="6" t="s">
        <v>1144</v>
      </c>
      <c r="K845" s="6">
        <f>I845/20/100*150</f>
        <v>12.254999999999999</v>
      </c>
      <c r="L845" s="6" t="s">
        <v>18</v>
      </c>
      <c r="M845" s="11"/>
      <c r="N845" s="11"/>
    </row>
    <row r="846" spans="1:14" ht="22.5">
      <c r="A846" s="50" t="s">
        <v>2931</v>
      </c>
      <c r="B846" s="11" t="s">
        <v>2924</v>
      </c>
      <c r="C846" s="11" t="s">
        <v>2925</v>
      </c>
      <c r="D846" s="11" t="s">
        <v>2932</v>
      </c>
      <c r="E846" s="4" t="s">
        <v>71</v>
      </c>
      <c r="F846" s="4" t="s">
        <v>2933</v>
      </c>
      <c r="G846" s="4" t="s">
        <v>48</v>
      </c>
      <c r="H846" s="4" t="s">
        <v>49</v>
      </c>
      <c r="I846" s="6">
        <v>162.5</v>
      </c>
      <c r="J846" s="6" t="s">
        <v>1144</v>
      </c>
      <c r="K846" s="6">
        <f>I846/5/100*150</f>
        <v>48.75</v>
      </c>
      <c r="L846" s="6" t="s">
        <v>18</v>
      </c>
      <c r="M846" s="11"/>
      <c r="N846" s="11"/>
    </row>
    <row r="847" spans="1:14" ht="22.5">
      <c r="A847" s="50" t="s">
        <v>2934</v>
      </c>
      <c r="B847" s="11" t="s">
        <v>2924</v>
      </c>
      <c r="C847" s="11" t="s">
        <v>2925</v>
      </c>
      <c r="D847" s="11" t="s">
        <v>2932</v>
      </c>
      <c r="E847" s="4" t="s">
        <v>71</v>
      </c>
      <c r="F847" s="4" t="s">
        <v>2935</v>
      </c>
      <c r="G847" s="4" t="s">
        <v>48</v>
      </c>
      <c r="H847" s="4" t="s">
        <v>49</v>
      </c>
      <c r="I847" s="6">
        <v>325</v>
      </c>
      <c r="J847" s="6" t="s">
        <v>1144</v>
      </c>
      <c r="K847" s="6">
        <f>I847/10/100*150</f>
        <v>48.75</v>
      </c>
      <c r="L847" s="6" t="s">
        <v>18</v>
      </c>
      <c r="M847" s="11"/>
      <c r="N847" s="11"/>
    </row>
    <row r="848" spans="1:14" ht="22.5">
      <c r="A848" s="50" t="s">
        <v>2936</v>
      </c>
      <c r="B848" s="11" t="s">
        <v>2937</v>
      </c>
      <c r="C848" s="11" t="s">
        <v>2942</v>
      </c>
      <c r="D848" s="11" t="s">
        <v>2938</v>
      </c>
      <c r="E848" s="4" t="s">
        <v>71</v>
      </c>
      <c r="F848" s="4" t="s">
        <v>2939</v>
      </c>
      <c r="G848" s="4" t="s">
        <v>2940</v>
      </c>
      <c r="H848" s="4" t="s">
        <v>155</v>
      </c>
      <c r="I848" s="6">
        <v>3104.9</v>
      </c>
      <c r="J848" s="6" t="s">
        <v>18</v>
      </c>
      <c r="K848" s="6" t="s">
        <v>18</v>
      </c>
      <c r="L848" s="4" t="s">
        <v>18</v>
      </c>
      <c r="M848" s="11"/>
      <c r="N848" s="11" t="s">
        <v>148</v>
      </c>
    </row>
    <row r="849" spans="1:14" s="52" customFormat="1" ht="22.5">
      <c r="A849" s="51" t="s">
        <v>2941</v>
      </c>
      <c r="B849" s="11" t="s">
        <v>2937</v>
      </c>
      <c r="C849" s="11" t="s">
        <v>2942</v>
      </c>
      <c r="D849" s="11" t="s">
        <v>2943</v>
      </c>
      <c r="E849" s="4" t="s">
        <v>14</v>
      </c>
      <c r="F849" s="4" t="s">
        <v>2944</v>
      </c>
      <c r="G849" s="4" t="s">
        <v>2945</v>
      </c>
      <c r="H849" s="4" t="s">
        <v>2677</v>
      </c>
      <c r="I849" s="5">
        <v>3587.8</v>
      </c>
      <c r="J849" s="6" t="s">
        <v>18</v>
      </c>
      <c r="K849" s="5" t="s">
        <v>18</v>
      </c>
      <c r="L849" s="7" t="s">
        <v>18</v>
      </c>
      <c r="M849" s="11"/>
      <c r="N849" s="11" t="s">
        <v>148</v>
      </c>
    </row>
    <row r="850" spans="1:14" s="52" customFormat="1" ht="22.5">
      <c r="A850" s="51" t="s">
        <v>3864</v>
      </c>
      <c r="B850" s="11" t="s">
        <v>2937</v>
      </c>
      <c r="C850" s="11" t="s">
        <v>2942</v>
      </c>
      <c r="D850" s="11" t="s">
        <v>3865</v>
      </c>
      <c r="E850" s="4" t="s">
        <v>14</v>
      </c>
      <c r="F850" s="4" t="s">
        <v>3866</v>
      </c>
      <c r="G850" s="4" t="s">
        <v>3043</v>
      </c>
      <c r="H850" s="4" t="s">
        <v>34</v>
      </c>
      <c r="I850" s="5">
        <v>6168.9</v>
      </c>
      <c r="J850" s="6" t="s">
        <v>18</v>
      </c>
      <c r="K850" s="5" t="s">
        <v>18</v>
      </c>
      <c r="L850" s="7" t="s">
        <v>18</v>
      </c>
      <c r="M850" s="11"/>
      <c r="N850" s="11" t="s">
        <v>148</v>
      </c>
    </row>
    <row r="851" spans="1:14" ht="78.75">
      <c r="A851" s="50" t="s">
        <v>2946</v>
      </c>
      <c r="B851" s="11" t="s">
        <v>2947</v>
      </c>
      <c r="C851" s="11" t="s">
        <v>2948</v>
      </c>
      <c r="D851" s="11" t="s">
        <v>2949</v>
      </c>
      <c r="E851" s="4" t="s">
        <v>32</v>
      </c>
      <c r="F851" s="4" t="s">
        <v>2950</v>
      </c>
      <c r="G851" s="4" t="s">
        <v>2951</v>
      </c>
      <c r="H851" s="4" t="s">
        <v>1231</v>
      </c>
      <c r="I851" s="6">
        <v>44146.400000000001</v>
      </c>
      <c r="J851" s="6" t="s">
        <v>18</v>
      </c>
      <c r="K851" s="6" t="s">
        <v>18</v>
      </c>
      <c r="L851" s="6" t="s">
        <v>18</v>
      </c>
      <c r="M851" s="11" t="s">
        <v>2952</v>
      </c>
      <c r="N851" s="11" t="s">
        <v>148</v>
      </c>
    </row>
    <row r="852" spans="1:14" ht="78.75">
      <c r="A852" s="50" t="s">
        <v>2953</v>
      </c>
      <c r="B852" s="11" t="s">
        <v>2947</v>
      </c>
      <c r="C852" s="11" t="s">
        <v>2954</v>
      </c>
      <c r="D852" s="11" t="s">
        <v>2955</v>
      </c>
      <c r="E852" s="4" t="s">
        <v>32</v>
      </c>
      <c r="F852" s="4" t="s">
        <v>2956</v>
      </c>
      <c r="G852" s="4" t="s">
        <v>2957</v>
      </c>
      <c r="H852" s="4" t="s">
        <v>145</v>
      </c>
      <c r="I852" s="6">
        <v>15796.1</v>
      </c>
      <c r="J852" s="6" t="s">
        <v>18</v>
      </c>
      <c r="K852" s="6" t="s">
        <v>18</v>
      </c>
      <c r="L852" s="6" t="s">
        <v>18</v>
      </c>
      <c r="M852" s="11" t="s">
        <v>2952</v>
      </c>
      <c r="N852" s="11" t="s">
        <v>148</v>
      </c>
    </row>
    <row r="853" spans="1:14" ht="101.25">
      <c r="A853" s="50" t="s">
        <v>2958</v>
      </c>
      <c r="B853" s="11" t="s">
        <v>2959</v>
      </c>
      <c r="C853" s="11" t="s">
        <v>2960</v>
      </c>
      <c r="D853" s="11" t="s">
        <v>2961</v>
      </c>
      <c r="E853" s="4" t="s">
        <v>71</v>
      </c>
      <c r="F853" s="4" t="s">
        <v>2962</v>
      </c>
      <c r="G853" s="4" t="s">
        <v>2963</v>
      </c>
      <c r="H853" s="4" t="s">
        <v>34</v>
      </c>
      <c r="I853" s="6">
        <v>1615.9</v>
      </c>
      <c r="J853" s="6" t="s">
        <v>1071</v>
      </c>
      <c r="K853" s="6">
        <f>I853/3*6</f>
        <v>3231.8</v>
      </c>
      <c r="L853" s="6" t="s">
        <v>18</v>
      </c>
      <c r="M853" s="11" t="s">
        <v>2964</v>
      </c>
      <c r="N853" s="11" t="s">
        <v>2965</v>
      </c>
    </row>
    <row r="854" spans="1:14" ht="101.25">
      <c r="A854" s="71" t="s">
        <v>2966</v>
      </c>
      <c r="B854" s="72" t="s">
        <v>2959</v>
      </c>
      <c r="C854" s="72" t="s">
        <v>2960</v>
      </c>
      <c r="D854" s="72" t="s">
        <v>2967</v>
      </c>
      <c r="E854" s="35" t="s">
        <v>281</v>
      </c>
      <c r="F854" s="4" t="s">
        <v>3731</v>
      </c>
      <c r="G854" s="35" t="s">
        <v>2968</v>
      </c>
      <c r="H854" s="35" t="s">
        <v>2969</v>
      </c>
      <c r="I854" s="6">
        <v>1615.9</v>
      </c>
      <c r="J854" s="6" t="s">
        <v>1071</v>
      </c>
      <c r="K854" s="36">
        <f>I854/3*6</f>
        <v>3231.8</v>
      </c>
      <c r="L854" s="6" t="s">
        <v>18</v>
      </c>
      <c r="M854" s="11" t="s">
        <v>2964</v>
      </c>
      <c r="N854" s="11" t="s">
        <v>2965</v>
      </c>
    </row>
    <row r="855" spans="1:14" ht="101.25">
      <c r="A855" s="61" t="s">
        <v>2970</v>
      </c>
      <c r="B855" s="12" t="s">
        <v>2959</v>
      </c>
      <c r="C855" s="10" t="s">
        <v>2960</v>
      </c>
      <c r="D855" s="10" t="s">
        <v>2971</v>
      </c>
      <c r="E855" s="70" t="s">
        <v>71</v>
      </c>
      <c r="F855" s="70" t="s">
        <v>2972</v>
      </c>
      <c r="G855" s="4" t="s">
        <v>73</v>
      </c>
      <c r="H855" s="70" t="s">
        <v>74</v>
      </c>
      <c r="I855" s="5">
        <v>1615.9</v>
      </c>
      <c r="J855" s="6" t="s">
        <v>1071</v>
      </c>
      <c r="K855" s="5">
        <f>I855/1/3*6</f>
        <v>3231.8</v>
      </c>
      <c r="L855" s="6" t="s">
        <v>18</v>
      </c>
      <c r="M855" s="11" t="s">
        <v>2964</v>
      </c>
      <c r="N855" s="11" t="s">
        <v>2965</v>
      </c>
    </row>
    <row r="856" spans="1:14" s="52" customFormat="1" ht="22.5">
      <c r="A856" s="61" t="s">
        <v>2973</v>
      </c>
      <c r="B856" s="61" t="s">
        <v>2974</v>
      </c>
      <c r="C856" s="61" t="s">
        <v>2975</v>
      </c>
      <c r="D856" s="61" t="s">
        <v>2976</v>
      </c>
      <c r="E856" s="68" t="s">
        <v>2977</v>
      </c>
      <c r="F856" s="68" t="s">
        <v>2978</v>
      </c>
      <c r="G856" s="22" t="s">
        <v>3867</v>
      </c>
      <c r="H856" s="22" t="s">
        <v>284</v>
      </c>
      <c r="I856" s="5">
        <v>52627</v>
      </c>
      <c r="J856" s="22" t="s">
        <v>18</v>
      </c>
      <c r="K856" s="22" t="s">
        <v>18</v>
      </c>
      <c r="L856" s="22" t="s">
        <v>18</v>
      </c>
      <c r="M856" s="50" t="s">
        <v>2979</v>
      </c>
      <c r="N856" s="61" t="s">
        <v>148</v>
      </c>
    </row>
    <row r="857" spans="1:14" s="52" customFormat="1" ht="33.75">
      <c r="A857" s="61" t="s">
        <v>2980</v>
      </c>
      <c r="B857" s="61" t="s">
        <v>2981</v>
      </c>
      <c r="C857" s="61" t="s">
        <v>2982</v>
      </c>
      <c r="D857" s="61" t="s">
        <v>2983</v>
      </c>
      <c r="E857" s="68" t="s">
        <v>2977</v>
      </c>
      <c r="F857" s="68" t="s">
        <v>2984</v>
      </c>
      <c r="G857" s="68" t="s">
        <v>2985</v>
      </c>
      <c r="H857" s="68" t="s">
        <v>2986</v>
      </c>
      <c r="I857" s="5">
        <v>9021.9</v>
      </c>
      <c r="J857" s="22" t="s">
        <v>18</v>
      </c>
      <c r="K857" s="22" t="s">
        <v>18</v>
      </c>
      <c r="L857" s="22" t="s">
        <v>18</v>
      </c>
      <c r="M857" s="50"/>
      <c r="N857" s="61" t="s">
        <v>148</v>
      </c>
    </row>
    <row r="858" spans="1:14" s="52" customFormat="1" ht="22.5">
      <c r="A858" s="61" t="s">
        <v>2987</v>
      </c>
      <c r="B858" s="61" t="s">
        <v>2981</v>
      </c>
      <c r="C858" s="61" t="s">
        <v>2982</v>
      </c>
      <c r="D858" s="50" t="s">
        <v>2988</v>
      </c>
      <c r="E858" s="68" t="s">
        <v>2977</v>
      </c>
      <c r="F858" s="68" t="s">
        <v>2989</v>
      </c>
      <c r="G858" s="68" t="s">
        <v>799</v>
      </c>
      <c r="H858" s="68" t="s">
        <v>284</v>
      </c>
      <c r="I858" s="5">
        <v>54131.4</v>
      </c>
      <c r="J858" s="22" t="s">
        <v>18</v>
      </c>
      <c r="K858" s="22" t="s">
        <v>18</v>
      </c>
      <c r="L858" s="22" t="s">
        <v>18</v>
      </c>
      <c r="M858" s="50"/>
      <c r="N858" s="61" t="s">
        <v>148</v>
      </c>
    </row>
    <row r="859" spans="1:14" s="52" customFormat="1" ht="22.5">
      <c r="A859" s="61" t="s">
        <v>3600</v>
      </c>
      <c r="B859" s="61" t="s">
        <v>2981</v>
      </c>
      <c r="C859" s="61" t="s">
        <v>2982</v>
      </c>
      <c r="D859" s="50" t="s">
        <v>3601</v>
      </c>
      <c r="E859" s="68" t="s">
        <v>2977</v>
      </c>
      <c r="F859" s="68" t="s">
        <v>3602</v>
      </c>
      <c r="G859" s="68" t="s">
        <v>2997</v>
      </c>
      <c r="H859" s="68" t="s">
        <v>155</v>
      </c>
      <c r="I859" s="5">
        <v>9021.9</v>
      </c>
      <c r="J859" s="22" t="s">
        <v>18</v>
      </c>
      <c r="K859" s="22" t="s">
        <v>18</v>
      </c>
      <c r="L859" s="22" t="s">
        <v>18</v>
      </c>
      <c r="M859" s="50"/>
      <c r="N859" s="61" t="s">
        <v>148</v>
      </c>
    </row>
    <row r="860" spans="1:14" s="52" customFormat="1" ht="22.5">
      <c r="A860" s="61" t="s">
        <v>3603</v>
      </c>
      <c r="B860" s="61" t="s">
        <v>2981</v>
      </c>
      <c r="C860" s="61" t="s">
        <v>2982</v>
      </c>
      <c r="D860" s="50" t="s">
        <v>3601</v>
      </c>
      <c r="E860" s="68" t="s">
        <v>2977</v>
      </c>
      <c r="F860" s="68" t="s">
        <v>3604</v>
      </c>
      <c r="G860" s="68" t="s">
        <v>2997</v>
      </c>
      <c r="H860" s="68" t="s">
        <v>155</v>
      </c>
      <c r="I860" s="5">
        <v>54131.4</v>
      </c>
      <c r="J860" s="22" t="s">
        <v>18</v>
      </c>
      <c r="K860" s="22" t="s">
        <v>18</v>
      </c>
      <c r="L860" s="22" t="s">
        <v>18</v>
      </c>
      <c r="M860" s="50"/>
      <c r="N860" s="61" t="s">
        <v>148</v>
      </c>
    </row>
    <row r="861" spans="1:14" ht="22.5">
      <c r="A861" s="60" t="s">
        <v>2990</v>
      </c>
      <c r="B861" s="60" t="s">
        <v>2991</v>
      </c>
      <c r="C861" s="60" t="s">
        <v>2992</v>
      </c>
      <c r="D861" s="60" t="s">
        <v>2993</v>
      </c>
      <c r="E861" s="4" t="s">
        <v>59</v>
      </c>
      <c r="F861" s="41" t="s">
        <v>1639</v>
      </c>
      <c r="G861" s="41" t="s">
        <v>1476</v>
      </c>
      <c r="H861" s="41" t="s">
        <v>175</v>
      </c>
      <c r="I861" s="6">
        <v>2956.9</v>
      </c>
      <c r="J861" s="6" t="s">
        <v>18</v>
      </c>
      <c r="K861" s="6" t="s">
        <v>18</v>
      </c>
      <c r="L861" s="25" t="s">
        <v>18</v>
      </c>
      <c r="M861" s="11"/>
      <c r="N861" s="11"/>
    </row>
    <row r="862" spans="1:14" ht="22.5">
      <c r="A862" s="50" t="s">
        <v>2994</v>
      </c>
      <c r="B862" s="11" t="s">
        <v>2995</v>
      </c>
      <c r="C862" s="11" t="s">
        <v>2996</v>
      </c>
      <c r="D862" s="11" t="s">
        <v>3580</v>
      </c>
      <c r="E862" s="4" t="s">
        <v>71</v>
      </c>
      <c r="F862" s="4" t="s">
        <v>3732</v>
      </c>
      <c r="G862" s="4" t="s">
        <v>2997</v>
      </c>
      <c r="H862" s="4" t="s">
        <v>155</v>
      </c>
      <c r="I862" s="6">
        <v>6054</v>
      </c>
      <c r="J862" s="6" t="s">
        <v>18</v>
      </c>
      <c r="K862" s="6" t="s">
        <v>18</v>
      </c>
      <c r="L862" s="25" t="s">
        <v>18</v>
      </c>
      <c r="M862" s="11"/>
      <c r="N862" s="11" t="s">
        <v>148</v>
      </c>
    </row>
    <row r="863" spans="1:14" ht="22.5">
      <c r="A863" s="50" t="s">
        <v>2998</v>
      </c>
      <c r="B863" s="11" t="s">
        <v>2995</v>
      </c>
      <c r="C863" s="11" t="s">
        <v>2996</v>
      </c>
      <c r="D863" s="11" t="s">
        <v>2999</v>
      </c>
      <c r="E863" s="4" t="s">
        <v>71</v>
      </c>
      <c r="F863" s="4" t="s">
        <v>3000</v>
      </c>
      <c r="G863" s="4" t="s">
        <v>1097</v>
      </c>
      <c r="H863" s="4" t="s">
        <v>34</v>
      </c>
      <c r="I863" s="6">
        <v>1210.8</v>
      </c>
      <c r="J863" s="6" t="s">
        <v>18</v>
      </c>
      <c r="K863" s="6" t="s">
        <v>18</v>
      </c>
      <c r="L863" s="25" t="s">
        <v>18</v>
      </c>
      <c r="M863" s="11"/>
      <c r="N863" s="11" t="s">
        <v>148</v>
      </c>
    </row>
    <row r="864" spans="1:14" ht="22.5">
      <c r="A864" s="51" t="s">
        <v>3001</v>
      </c>
      <c r="B864" s="13" t="s">
        <v>2995</v>
      </c>
      <c r="C864" s="13" t="s">
        <v>2996</v>
      </c>
      <c r="D864" s="13" t="s">
        <v>3002</v>
      </c>
      <c r="E864" s="17" t="s">
        <v>981</v>
      </c>
      <c r="F864" s="17" t="s">
        <v>3003</v>
      </c>
      <c r="G864" s="17" t="s">
        <v>2945</v>
      </c>
      <c r="H864" s="17" t="s">
        <v>2677</v>
      </c>
      <c r="I864" s="16">
        <v>1210.8</v>
      </c>
      <c r="J864" s="17" t="s">
        <v>18</v>
      </c>
      <c r="K864" s="16" t="s">
        <v>18</v>
      </c>
      <c r="L864" s="25" t="s">
        <v>18</v>
      </c>
      <c r="M864" s="11"/>
      <c r="N864" s="11" t="s">
        <v>148</v>
      </c>
    </row>
    <row r="865" spans="1:14" ht="22.5">
      <c r="A865" s="51" t="s">
        <v>3004</v>
      </c>
      <c r="B865" s="13" t="s">
        <v>2995</v>
      </c>
      <c r="C865" s="13" t="s">
        <v>2996</v>
      </c>
      <c r="D865" s="13" t="s">
        <v>3002</v>
      </c>
      <c r="E865" s="17" t="s">
        <v>981</v>
      </c>
      <c r="F865" s="17" t="s">
        <v>3005</v>
      </c>
      <c r="G865" s="17" t="s">
        <v>2945</v>
      </c>
      <c r="H865" s="17" t="s">
        <v>2677</v>
      </c>
      <c r="I865" s="16">
        <v>6054</v>
      </c>
      <c r="J865" s="17" t="s">
        <v>18</v>
      </c>
      <c r="K865" s="16" t="s">
        <v>18</v>
      </c>
      <c r="L865" s="25" t="s">
        <v>18</v>
      </c>
      <c r="M865" s="11"/>
      <c r="N865" s="11" t="s">
        <v>148</v>
      </c>
    </row>
    <row r="866" spans="1:14" ht="22.5">
      <c r="A866" s="50" t="s">
        <v>3006</v>
      </c>
      <c r="B866" s="11" t="s">
        <v>3007</v>
      </c>
      <c r="C866" s="11" t="s">
        <v>3008</v>
      </c>
      <c r="D866" s="11" t="s">
        <v>3009</v>
      </c>
      <c r="E866" s="4" t="s">
        <v>14</v>
      </c>
      <c r="F866" s="4" t="s">
        <v>3010</v>
      </c>
      <c r="G866" s="4" t="s">
        <v>2997</v>
      </c>
      <c r="H866" s="4" t="s">
        <v>155</v>
      </c>
      <c r="I866" s="6">
        <v>11280.2</v>
      </c>
      <c r="J866" s="6" t="s">
        <v>18</v>
      </c>
      <c r="K866" s="6" t="s">
        <v>18</v>
      </c>
      <c r="L866" s="25" t="s">
        <v>18</v>
      </c>
      <c r="M866" s="11"/>
      <c r="N866" s="11" t="s">
        <v>148</v>
      </c>
    </row>
    <row r="867" spans="1:14" ht="22.5">
      <c r="A867" s="50" t="s">
        <v>3868</v>
      </c>
      <c r="B867" s="11" t="s">
        <v>3007</v>
      </c>
      <c r="C867" s="11" t="s">
        <v>3008</v>
      </c>
      <c r="D867" s="11" t="s">
        <v>3009</v>
      </c>
      <c r="E867" s="4" t="s">
        <v>14</v>
      </c>
      <c r="F867" s="4" t="s">
        <v>3869</v>
      </c>
      <c r="G867" s="4" t="s">
        <v>2997</v>
      </c>
      <c r="H867" s="4" t="s">
        <v>155</v>
      </c>
      <c r="I867" s="6">
        <v>2256</v>
      </c>
      <c r="J867" s="6" t="s">
        <v>18</v>
      </c>
      <c r="K867" s="6" t="s">
        <v>18</v>
      </c>
      <c r="L867" s="25" t="s">
        <v>18</v>
      </c>
      <c r="M867" s="11"/>
      <c r="N867" s="11" t="s">
        <v>148</v>
      </c>
    </row>
    <row r="868" spans="1:14" ht="22.5">
      <c r="A868" s="50" t="s">
        <v>3011</v>
      </c>
      <c r="B868" s="11" t="s">
        <v>3012</v>
      </c>
      <c r="C868" s="11" t="s">
        <v>3013</v>
      </c>
      <c r="D868" s="11" t="s">
        <v>3014</v>
      </c>
      <c r="E868" s="4" t="s">
        <v>71</v>
      </c>
      <c r="F868" s="4" t="s">
        <v>3015</v>
      </c>
      <c r="G868" s="4" t="s">
        <v>2997</v>
      </c>
      <c r="H868" s="4" t="s">
        <v>155</v>
      </c>
      <c r="I868" s="6">
        <v>1321.7</v>
      </c>
      <c r="J868" s="6" t="s">
        <v>18</v>
      </c>
      <c r="K868" s="6" t="s">
        <v>18</v>
      </c>
      <c r="L868" s="25" t="s">
        <v>18</v>
      </c>
      <c r="M868" s="11"/>
      <c r="N868" s="11" t="s">
        <v>148</v>
      </c>
    </row>
    <row r="869" spans="1:14" ht="56.25">
      <c r="A869" s="50" t="s">
        <v>3016</v>
      </c>
      <c r="B869" s="11" t="s">
        <v>3017</v>
      </c>
      <c r="C869" s="11" t="s">
        <v>3018</v>
      </c>
      <c r="D869" s="11" t="s">
        <v>3019</v>
      </c>
      <c r="E869" s="4" t="s">
        <v>3020</v>
      </c>
      <c r="F869" s="4" t="s">
        <v>3021</v>
      </c>
      <c r="G869" s="4" t="s">
        <v>3022</v>
      </c>
      <c r="H869" s="4" t="s">
        <v>3023</v>
      </c>
      <c r="I869" s="6">
        <v>4091.3</v>
      </c>
      <c r="J869" s="6" t="s">
        <v>18</v>
      </c>
      <c r="K869" s="6" t="s">
        <v>18</v>
      </c>
      <c r="L869" s="25" t="s">
        <v>18</v>
      </c>
      <c r="M869" s="11"/>
      <c r="N869" s="11" t="s">
        <v>148</v>
      </c>
    </row>
    <row r="870" spans="1:14" ht="45">
      <c r="A870" s="10" t="s">
        <v>3024</v>
      </c>
      <c r="B870" s="10" t="s">
        <v>3017</v>
      </c>
      <c r="C870" s="10" t="s">
        <v>3018</v>
      </c>
      <c r="D870" s="10" t="s">
        <v>3025</v>
      </c>
      <c r="E870" s="70" t="s">
        <v>3026</v>
      </c>
      <c r="F870" s="70" t="s">
        <v>3027</v>
      </c>
      <c r="G870" s="70" t="s">
        <v>3028</v>
      </c>
      <c r="H870" s="70" t="s">
        <v>760</v>
      </c>
      <c r="I870" s="6">
        <v>1652.1</v>
      </c>
      <c r="J870" s="4" t="s">
        <v>18</v>
      </c>
      <c r="K870" s="6" t="s">
        <v>18</v>
      </c>
      <c r="L870" s="4" t="s">
        <v>18</v>
      </c>
      <c r="M870" s="11"/>
      <c r="N870" s="11" t="s">
        <v>148</v>
      </c>
    </row>
    <row r="871" spans="1:14" ht="45">
      <c r="A871" s="10" t="s">
        <v>3029</v>
      </c>
      <c r="B871" s="10" t="s">
        <v>3017</v>
      </c>
      <c r="C871" s="10" t="s">
        <v>3018</v>
      </c>
      <c r="D871" s="10" t="s">
        <v>3025</v>
      </c>
      <c r="E871" s="70" t="s">
        <v>3026</v>
      </c>
      <c r="F871" s="70" t="s">
        <v>3021</v>
      </c>
      <c r="G871" s="70" t="s">
        <v>3028</v>
      </c>
      <c r="H871" s="70" t="s">
        <v>760</v>
      </c>
      <c r="I871" s="6">
        <v>3182.1</v>
      </c>
      <c r="J871" s="4" t="s">
        <v>18</v>
      </c>
      <c r="K871" s="6" t="s">
        <v>18</v>
      </c>
      <c r="L871" s="4" t="s">
        <v>18</v>
      </c>
      <c r="M871" s="11"/>
      <c r="N871" s="11" t="s">
        <v>148</v>
      </c>
    </row>
    <row r="872" spans="1:14" ht="45">
      <c r="A872" s="10" t="s">
        <v>3030</v>
      </c>
      <c r="B872" s="10" t="s">
        <v>3017</v>
      </c>
      <c r="C872" s="10" t="s">
        <v>3018</v>
      </c>
      <c r="D872" s="10" t="s">
        <v>3025</v>
      </c>
      <c r="E872" s="70" t="s">
        <v>3026</v>
      </c>
      <c r="F872" s="70" t="s">
        <v>3031</v>
      </c>
      <c r="G872" s="70" t="s">
        <v>3028</v>
      </c>
      <c r="H872" s="70" t="s">
        <v>760</v>
      </c>
      <c r="I872" s="6">
        <v>7817.7</v>
      </c>
      <c r="J872" s="4" t="s">
        <v>18</v>
      </c>
      <c r="K872" s="6" t="s">
        <v>18</v>
      </c>
      <c r="L872" s="4" t="s">
        <v>18</v>
      </c>
      <c r="M872" s="11"/>
      <c r="N872" s="11" t="s">
        <v>148</v>
      </c>
    </row>
    <row r="873" spans="1:14" ht="22.5">
      <c r="A873" s="50" t="s">
        <v>3032</v>
      </c>
      <c r="B873" s="11" t="s">
        <v>3033</v>
      </c>
      <c r="C873" s="11" t="s">
        <v>3034</v>
      </c>
      <c r="D873" s="11" t="s">
        <v>3035</v>
      </c>
      <c r="E873" s="4" t="s">
        <v>71</v>
      </c>
      <c r="F873" s="4" t="s">
        <v>3036</v>
      </c>
      <c r="G873" s="4" t="s">
        <v>2997</v>
      </c>
      <c r="H873" s="4" t="s">
        <v>155</v>
      </c>
      <c r="I873" s="6">
        <v>930.8</v>
      </c>
      <c r="J873" s="6" t="s">
        <v>18</v>
      </c>
      <c r="K873" s="6" t="s">
        <v>18</v>
      </c>
      <c r="L873" s="25" t="s">
        <v>18</v>
      </c>
      <c r="M873" s="11"/>
      <c r="N873" s="11" t="s">
        <v>148</v>
      </c>
    </row>
    <row r="874" spans="1:14" ht="22.5">
      <c r="A874" s="50" t="s">
        <v>3040</v>
      </c>
      <c r="B874" s="11" t="s">
        <v>3037</v>
      </c>
      <c r="C874" s="11" t="s">
        <v>3038</v>
      </c>
      <c r="D874" s="11" t="s">
        <v>3041</v>
      </c>
      <c r="E874" s="4" t="s">
        <v>3039</v>
      </c>
      <c r="F874" s="4" t="s">
        <v>3042</v>
      </c>
      <c r="G874" s="4" t="s">
        <v>3043</v>
      </c>
      <c r="H874" s="4" t="s">
        <v>34</v>
      </c>
      <c r="I874" s="6">
        <v>1074.5</v>
      </c>
      <c r="J874" s="6" t="s">
        <v>18</v>
      </c>
      <c r="K874" s="6" t="s">
        <v>18</v>
      </c>
      <c r="L874" s="25" t="s">
        <v>18</v>
      </c>
      <c r="M874" s="11"/>
      <c r="N874" s="11" t="s">
        <v>148</v>
      </c>
    </row>
    <row r="875" spans="1:14" ht="22.5">
      <c r="A875" s="50" t="s">
        <v>3044</v>
      </c>
      <c r="B875" s="11" t="s">
        <v>3037</v>
      </c>
      <c r="C875" s="11" t="s">
        <v>3038</v>
      </c>
      <c r="D875" s="11" t="s">
        <v>3045</v>
      </c>
      <c r="E875" s="4" t="s">
        <v>3039</v>
      </c>
      <c r="F875" s="4" t="s">
        <v>3046</v>
      </c>
      <c r="G875" s="4" t="s">
        <v>805</v>
      </c>
      <c r="H875" s="4" t="s">
        <v>34</v>
      </c>
      <c r="I875" s="6">
        <v>9746.9</v>
      </c>
      <c r="J875" s="6" t="s">
        <v>18</v>
      </c>
      <c r="K875" s="6" t="s">
        <v>18</v>
      </c>
      <c r="L875" s="25" t="s">
        <v>18</v>
      </c>
      <c r="M875" s="11"/>
      <c r="N875" s="11" t="s">
        <v>148</v>
      </c>
    </row>
    <row r="876" spans="1:14" s="52" customFormat="1" ht="22.5">
      <c r="A876" s="51" t="s">
        <v>3047</v>
      </c>
      <c r="B876" s="11" t="s">
        <v>3037</v>
      </c>
      <c r="C876" s="11" t="s">
        <v>3038</v>
      </c>
      <c r="D876" s="11" t="s">
        <v>3048</v>
      </c>
      <c r="E876" s="4" t="s">
        <v>3039</v>
      </c>
      <c r="F876" s="4" t="s">
        <v>3052</v>
      </c>
      <c r="G876" s="4" t="s">
        <v>3049</v>
      </c>
      <c r="H876" s="4" t="s">
        <v>471</v>
      </c>
      <c r="I876" s="6">
        <v>1074.5</v>
      </c>
      <c r="J876" s="6" t="s">
        <v>18</v>
      </c>
      <c r="K876" s="6" t="s">
        <v>18</v>
      </c>
      <c r="L876" s="7" t="s">
        <v>18</v>
      </c>
      <c r="M876" s="11"/>
      <c r="N876" s="11" t="s">
        <v>148</v>
      </c>
    </row>
    <row r="877" spans="1:14" s="52" customFormat="1" ht="33.75">
      <c r="A877" s="51" t="s">
        <v>3050</v>
      </c>
      <c r="B877" s="13" t="s">
        <v>3037</v>
      </c>
      <c r="C877" s="11" t="s">
        <v>3038</v>
      </c>
      <c r="D877" s="11" t="s">
        <v>3051</v>
      </c>
      <c r="E877" s="17" t="s">
        <v>3039</v>
      </c>
      <c r="F877" s="4" t="s">
        <v>3052</v>
      </c>
      <c r="G877" s="4" t="s">
        <v>3053</v>
      </c>
      <c r="H877" s="4" t="s">
        <v>3054</v>
      </c>
      <c r="I877" s="6">
        <v>1074.5</v>
      </c>
      <c r="J877" s="8" t="s">
        <v>18</v>
      </c>
      <c r="K877" s="8" t="s">
        <v>18</v>
      </c>
      <c r="L877" s="8" t="s">
        <v>18</v>
      </c>
      <c r="M877" s="11"/>
      <c r="N877" s="11" t="s">
        <v>148</v>
      </c>
    </row>
    <row r="878" spans="1:14" s="52" customFormat="1" ht="22.5">
      <c r="A878" s="51" t="s">
        <v>3055</v>
      </c>
      <c r="B878" s="13" t="s">
        <v>3037</v>
      </c>
      <c r="C878" s="11" t="s">
        <v>3038</v>
      </c>
      <c r="D878" s="11" t="s">
        <v>3051</v>
      </c>
      <c r="E878" s="17" t="s">
        <v>3039</v>
      </c>
      <c r="F878" s="4" t="s">
        <v>3056</v>
      </c>
      <c r="G878" s="4" t="s">
        <v>132</v>
      </c>
      <c r="H878" s="4" t="s">
        <v>133</v>
      </c>
      <c r="I878" s="5">
        <v>5958.6</v>
      </c>
      <c r="J878" s="8" t="s">
        <v>18</v>
      </c>
      <c r="K878" s="8" t="s">
        <v>18</v>
      </c>
      <c r="L878" s="8" t="s">
        <v>18</v>
      </c>
      <c r="M878" s="11"/>
      <c r="N878" s="11" t="s">
        <v>148</v>
      </c>
    </row>
    <row r="879" spans="1:14" s="52" customFormat="1" ht="22.5">
      <c r="A879" s="51" t="s">
        <v>3058</v>
      </c>
      <c r="B879" s="13" t="s">
        <v>3037</v>
      </c>
      <c r="C879" s="11" t="s">
        <v>3038</v>
      </c>
      <c r="D879" s="11" t="s">
        <v>3059</v>
      </c>
      <c r="E879" s="17" t="s">
        <v>3039</v>
      </c>
      <c r="F879" s="4" t="s">
        <v>3046</v>
      </c>
      <c r="G879" s="4" t="s">
        <v>132</v>
      </c>
      <c r="H879" s="4" t="s">
        <v>133</v>
      </c>
      <c r="I879" s="6">
        <v>9746.9</v>
      </c>
      <c r="J879" s="8" t="s">
        <v>18</v>
      </c>
      <c r="K879" s="8" t="s">
        <v>18</v>
      </c>
      <c r="L879" s="8" t="s">
        <v>18</v>
      </c>
      <c r="M879" s="11"/>
      <c r="N879" s="11" t="s">
        <v>148</v>
      </c>
    </row>
    <row r="880" spans="1:14" ht="22.5">
      <c r="A880" s="50" t="s">
        <v>3060</v>
      </c>
      <c r="B880" s="11" t="s">
        <v>3061</v>
      </c>
      <c r="C880" s="11" t="s">
        <v>3062</v>
      </c>
      <c r="D880" s="11" t="s">
        <v>3063</v>
      </c>
      <c r="E880" s="4" t="s">
        <v>71</v>
      </c>
      <c r="F880" s="4" t="s">
        <v>3064</v>
      </c>
      <c r="G880" s="4" t="s">
        <v>3065</v>
      </c>
      <c r="H880" s="4" t="s">
        <v>175</v>
      </c>
      <c r="I880" s="33">
        <v>2483.9</v>
      </c>
      <c r="J880" s="6" t="s">
        <v>18</v>
      </c>
      <c r="K880" s="6" t="s">
        <v>18</v>
      </c>
      <c r="L880" s="25" t="s">
        <v>18</v>
      </c>
      <c r="M880" s="11"/>
      <c r="N880" s="11" t="s">
        <v>148</v>
      </c>
    </row>
    <row r="881" spans="1:14" ht="22.5">
      <c r="A881" s="50" t="s">
        <v>3066</v>
      </c>
      <c r="B881" s="11" t="s">
        <v>3061</v>
      </c>
      <c r="C881" s="11" t="s">
        <v>3062</v>
      </c>
      <c r="D881" s="11" t="s">
        <v>3067</v>
      </c>
      <c r="E881" s="4" t="s">
        <v>71</v>
      </c>
      <c r="F881" s="4" t="s">
        <v>3068</v>
      </c>
      <c r="G881" s="4" t="s">
        <v>3069</v>
      </c>
      <c r="H881" s="4" t="s">
        <v>175</v>
      </c>
      <c r="I881" s="6">
        <v>2046.6</v>
      </c>
      <c r="J881" s="6" t="s">
        <v>18</v>
      </c>
      <c r="K881" s="6" t="s">
        <v>18</v>
      </c>
      <c r="L881" s="25" t="s">
        <v>18</v>
      </c>
      <c r="M881" s="11"/>
      <c r="N881" s="11" t="s">
        <v>148</v>
      </c>
    </row>
    <row r="882" spans="1:14" ht="22.5">
      <c r="A882" s="50" t="s">
        <v>3070</v>
      </c>
      <c r="B882" s="11" t="s">
        <v>3061</v>
      </c>
      <c r="C882" s="11" t="s">
        <v>3062</v>
      </c>
      <c r="D882" s="11" t="s">
        <v>3071</v>
      </c>
      <c r="E882" s="4" t="s">
        <v>71</v>
      </c>
      <c r="F882" s="4" t="s">
        <v>3072</v>
      </c>
      <c r="G882" s="4" t="s">
        <v>3069</v>
      </c>
      <c r="H882" s="4" t="s">
        <v>175</v>
      </c>
      <c r="I882" s="6">
        <v>1947.6</v>
      </c>
      <c r="J882" s="6" t="s">
        <v>18</v>
      </c>
      <c r="K882" s="6" t="s">
        <v>18</v>
      </c>
      <c r="L882" s="25" t="s">
        <v>18</v>
      </c>
      <c r="M882" s="11"/>
      <c r="N882" s="11" t="s">
        <v>148</v>
      </c>
    </row>
    <row r="883" spans="1:14" s="52" customFormat="1" ht="22.5">
      <c r="A883" s="50" t="s">
        <v>3073</v>
      </c>
      <c r="B883" s="11" t="s">
        <v>3061</v>
      </c>
      <c r="C883" s="11" t="s">
        <v>3062</v>
      </c>
      <c r="D883" s="60" t="s">
        <v>3074</v>
      </c>
      <c r="E883" s="4" t="s">
        <v>71</v>
      </c>
      <c r="F883" s="4" t="s">
        <v>3075</v>
      </c>
      <c r="G883" s="4" t="s">
        <v>3076</v>
      </c>
      <c r="H883" s="4" t="s">
        <v>34</v>
      </c>
      <c r="I883" s="6">
        <v>1977.3</v>
      </c>
      <c r="J883" s="6" t="s">
        <v>18</v>
      </c>
      <c r="K883" s="6" t="s">
        <v>18</v>
      </c>
      <c r="L883" s="6" t="s">
        <v>18</v>
      </c>
      <c r="M883" s="11" t="s">
        <v>3077</v>
      </c>
      <c r="N883" s="11" t="s">
        <v>148</v>
      </c>
    </row>
    <row r="884" spans="1:14" s="52" customFormat="1" ht="22.5">
      <c r="A884" s="53" t="s">
        <v>3078</v>
      </c>
      <c r="B884" s="54" t="s">
        <v>3061</v>
      </c>
      <c r="C884" s="10" t="s">
        <v>3062</v>
      </c>
      <c r="D884" s="10" t="s">
        <v>3733</v>
      </c>
      <c r="E884" s="55" t="s">
        <v>71</v>
      </c>
      <c r="F884" s="56" t="s">
        <v>3079</v>
      </c>
      <c r="G884" s="55" t="s">
        <v>2676</v>
      </c>
      <c r="H884" s="55" t="s">
        <v>2677</v>
      </c>
      <c r="I884" s="5">
        <v>1591.7</v>
      </c>
      <c r="J884" s="16" t="s">
        <v>18</v>
      </c>
      <c r="K884" s="5" t="s">
        <v>18</v>
      </c>
      <c r="L884" s="21" t="s">
        <v>18</v>
      </c>
      <c r="M884" s="54"/>
      <c r="N884" s="54" t="s">
        <v>148</v>
      </c>
    </row>
    <row r="885" spans="1:14" ht="22.5">
      <c r="A885" s="50" t="s">
        <v>3080</v>
      </c>
      <c r="B885" s="11" t="s">
        <v>3081</v>
      </c>
      <c r="C885" s="11" t="s">
        <v>3082</v>
      </c>
      <c r="D885" s="11" t="s">
        <v>3083</v>
      </c>
      <c r="E885" s="4" t="s">
        <v>71</v>
      </c>
      <c r="F885" s="4" t="s">
        <v>3084</v>
      </c>
      <c r="G885" s="4" t="s">
        <v>90</v>
      </c>
      <c r="H885" s="4" t="s">
        <v>16</v>
      </c>
      <c r="I885" s="6">
        <v>239</v>
      </c>
      <c r="J885" s="6" t="s">
        <v>18</v>
      </c>
      <c r="K885" s="6" t="s">
        <v>18</v>
      </c>
      <c r="L885" s="25" t="s">
        <v>18</v>
      </c>
      <c r="M885" s="11"/>
      <c r="N885" s="11"/>
    </row>
    <row r="886" spans="1:14" ht="22.5">
      <c r="A886" s="50" t="s">
        <v>3085</v>
      </c>
      <c r="B886" s="11" t="s">
        <v>3081</v>
      </c>
      <c r="C886" s="11" t="s">
        <v>3082</v>
      </c>
      <c r="D886" s="11" t="s">
        <v>3086</v>
      </c>
      <c r="E886" s="4" t="s">
        <v>71</v>
      </c>
      <c r="F886" s="4" t="s">
        <v>3087</v>
      </c>
      <c r="G886" s="4" t="s">
        <v>90</v>
      </c>
      <c r="H886" s="4" t="s">
        <v>16</v>
      </c>
      <c r="I886" s="6">
        <v>1263.3</v>
      </c>
      <c r="J886" s="6" t="s">
        <v>18</v>
      </c>
      <c r="K886" s="6" t="s">
        <v>18</v>
      </c>
      <c r="L886" s="25" t="s">
        <v>18</v>
      </c>
      <c r="M886" s="11"/>
      <c r="N886" s="11"/>
    </row>
    <row r="887" spans="1:14" ht="22.5">
      <c r="A887" s="50" t="s">
        <v>3088</v>
      </c>
      <c r="B887" s="11" t="s">
        <v>3081</v>
      </c>
      <c r="C887" s="11" t="s">
        <v>3082</v>
      </c>
      <c r="D887" s="11" t="s">
        <v>3089</v>
      </c>
      <c r="E887" s="4" t="s">
        <v>71</v>
      </c>
      <c r="F887" s="4" t="s">
        <v>3090</v>
      </c>
      <c r="G887" s="4" t="s">
        <v>73</v>
      </c>
      <c r="H887" s="4" t="s">
        <v>74</v>
      </c>
      <c r="I887" s="6">
        <v>486.8</v>
      </c>
      <c r="J887" s="6" t="s">
        <v>18</v>
      </c>
      <c r="K887" s="6" t="s">
        <v>18</v>
      </c>
      <c r="L887" s="25" t="s">
        <v>18</v>
      </c>
      <c r="M887" s="11"/>
      <c r="N887" s="11"/>
    </row>
    <row r="888" spans="1:14" ht="22.5">
      <c r="A888" s="50" t="s">
        <v>3091</v>
      </c>
      <c r="B888" s="11" t="s">
        <v>3081</v>
      </c>
      <c r="C888" s="11" t="s">
        <v>3082</v>
      </c>
      <c r="D888" s="11" t="s">
        <v>3089</v>
      </c>
      <c r="E888" s="4" t="s">
        <v>71</v>
      </c>
      <c r="F888" s="4" t="s">
        <v>3092</v>
      </c>
      <c r="G888" s="4" t="s">
        <v>73</v>
      </c>
      <c r="H888" s="4" t="s">
        <v>74</v>
      </c>
      <c r="I888" s="6">
        <v>2526.5</v>
      </c>
      <c r="J888" s="6" t="s">
        <v>18</v>
      </c>
      <c r="K888" s="6" t="s">
        <v>18</v>
      </c>
      <c r="L888" s="25" t="s">
        <v>18</v>
      </c>
      <c r="M888" s="11"/>
      <c r="N888" s="11"/>
    </row>
    <row r="889" spans="1:14" ht="22.5">
      <c r="A889" s="53" t="s">
        <v>3093</v>
      </c>
      <c r="B889" s="54" t="s">
        <v>3094</v>
      </c>
      <c r="C889" s="54" t="s">
        <v>3095</v>
      </c>
      <c r="D889" s="54" t="s">
        <v>3096</v>
      </c>
      <c r="E889" s="55" t="s">
        <v>14</v>
      </c>
      <c r="F889" s="56" t="s">
        <v>3097</v>
      </c>
      <c r="G889" s="55" t="s">
        <v>3775</v>
      </c>
      <c r="H889" s="55" t="s">
        <v>984</v>
      </c>
      <c r="I889" s="5">
        <v>1363.9</v>
      </c>
      <c r="J889" s="8" t="s">
        <v>18</v>
      </c>
      <c r="K889" s="6" t="s">
        <v>18</v>
      </c>
      <c r="L889" s="57" t="s">
        <v>18</v>
      </c>
      <c r="M889" s="54"/>
      <c r="N889" s="54" t="s">
        <v>148</v>
      </c>
    </row>
    <row r="890" spans="1:14" ht="22.5">
      <c r="A890" s="50" t="s">
        <v>3098</v>
      </c>
      <c r="B890" s="11" t="s">
        <v>3099</v>
      </c>
      <c r="C890" s="11" t="s">
        <v>3100</v>
      </c>
      <c r="D890" s="11" t="s">
        <v>3101</v>
      </c>
      <c r="E890" s="4" t="s">
        <v>71</v>
      </c>
      <c r="F890" s="4" t="s">
        <v>3102</v>
      </c>
      <c r="G890" s="4" t="s">
        <v>90</v>
      </c>
      <c r="H890" s="4" t="s">
        <v>16</v>
      </c>
      <c r="I890" s="6">
        <v>1012.1</v>
      </c>
      <c r="J890" s="6" t="s">
        <v>18</v>
      </c>
      <c r="K890" s="6" t="s">
        <v>18</v>
      </c>
      <c r="L890" s="25" t="s">
        <v>18</v>
      </c>
      <c r="M890" s="11"/>
      <c r="N890" s="11"/>
    </row>
    <row r="891" spans="1:14" ht="33.75">
      <c r="A891" s="50" t="s">
        <v>3104</v>
      </c>
      <c r="B891" s="11" t="s">
        <v>3105</v>
      </c>
      <c r="C891" s="11" t="s">
        <v>3106</v>
      </c>
      <c r="D891" s="11" t="s">
        <v>3107</v>
      </c>
      <c r="E891" s="4" t="s">
        <v>71</v>
      </c>
      <c r="F891" s="4" t="s">
        <v>3108</v>
      </c>
      <c r="G891" s="4" t="s">
        <v>204</v>
      </c>
      <c r="H891" s="4" t="s">
        <v>205</v>
      </c>
      <c r="I891" s="6">
        <v>697.2</v>
      </c>
      <c r="J891" s="6" t="s">
        <v>61</v>
      </c>
      <c r="K891" s="6">
        <f>I891/10/20*30</f>
        <v>104.58</v>
      </c>
      <c r="L891" s="25" t="s">
        <v>18</v>
      </c>
      <c r="M891" s="11"/>
      <c r="N891" s="11"/>
    </row>
    <row r="892" spans="1:14" ht="22.5">
      <c r="A892" s="50" t="s">
        <v>3109</v>
      </c>
      <c r="B892" s="11" t="s">
        <v>3110</v>
      </c>
      <c r="C892" s="11" t="s">
        <v>3111</v>
      </c>
      <c r="D892" s="11" t="s">
        <v>3112</v>
      </c>
      <c r="E892" s="4" t="s">
        <v>71</v>
      </c>
      <c r="F892" s="4" t="s">
        <v>3113</v>
      </c>
      <c r="G892" s="4" t="s">
        <v>15</v>
      </c>
      <c r="H892" s="4" t="s">
        <v>16</v>
      </c>
      <c r="I892" s="6">
        <v>166.1</v>
      </c>
      <c r="J892" s="6" t="s">
        <v>17</v>
      </c>
      <c r="K892" s="6">
        <f>I892/5/50*300</f>
        <v>199.32</v>
      </c>
      <c r="L892" s="25" t="s">
        <v>18</v>
      </c>
      <c r="M892" s="11"/>
      <c r="N892" s="11"/>
    </row>
    <row r="893" spans="1:14" ht="22.5">
      <c r="A893" s="50" t="s">
        <v>3114</v>
      </c>
      <c r="B893" s="11" t="s">
        <v>3110</v>
      </c>
      <c r="C893" s="10" t="s">
        <v>3111</v>
      </c>
      <c r="D893" s="10" t="s">
        <v>3112</v>
      </c>
      <c r="E893" s="4" t="s">
        <v>71</v>
      </c>
      <c r="F893" s="4" t="s">
        <v>3115</v>
      </c>
      <c r="G893" s="4" t="s">
        <v>15</v>
      </c>
      <c r="H893" s="4" t="s">
        <v>16</v>
      </c>
      <c r="I893" s="6">
        <v>224.8</v>
      </c>
      <c r="J893" s="6" t="s">
        <v>17</v>
      </c>
      <c r="K893" s="6">
        <f>I893/5/100*300</f>
        <v>134.88</v>
      </c>
      <c r="L893" s="25" t="s">
        <v>18</v>
      </c>
      <c r="M893" s="11"/>
      <c r="N893" s="11"/>
    </row>
    <row r="894" spans="1:14" ht="22.5">
      <c r="A894" s="50" t="s">
        <v>3116</v>
      </c>
      <c r="B894" s="11" t="s">
        <v>3117</v>
      </c>
      <c r="C894" s="11" t="s">
        <v>3118</v>
      </c>
      <c r="D894" s="11" t="s">
        <v>3119</v>
      </c>
      <c r="E894" s="4" t="s">
        <v>71</v>
      </c>
      <c r="F894" s="4" t="s">
        <v>3120</v>
      </c>
      <c r="G894" s="4" t="s">
        <v>90</v>
      </c>
      <c r="H894" s="4" t="s">
        <v>16</v>
      </c>
      <c r="I894" s="6">
        <v>1650.5</v>
      </c>
      <c r="J894" s="6" t="s">
        <v>1490</v>
      </c>
      <c r="K894" s="6">
        <f>I894/50/2.5*3</f>
        <v>39.611999999999995</v>
      </c>
      <c r="L894" s="25" t="s">
        <v>18</v>
      </c>
      <c r="M894" s="11"/>
      <c r="N894" s="11"/>
    </row>
    <row r="895" spans="1:14" ht="33.75">
      <c r="A895" s="50" t="s">
        <v>3121</v>
      </c>
      <c r="B895" s="11" t="s">
        <v>3117</v>
      </c>
      <c r="C895" s="11" t="s">
        <v>3118</v>
      </c>
      <c r="D895" s="11" t="s">
        <v>3122</v>
      </c>
      <c r="E895" s="4" t="s">
        <v>71</v>
      </c>
      <c r="F895" s="4" t="s">
        <v>3120</v>
      </c>
      <c r="G895" s="4" t="s">
        <v>3123</v>
      </c>
      <c r="H895" s="4" t="s">
        <v>205</v>
      </c>
      <c r="I895" s="6">
        <v>1650.5</v>
      </c>
      <c r="J895" s="6" t="s">
        <v>1490</v>
      </c>
      <c r="K895" s="6">
        <f>I895/50/2.5*3</f>
        <v>39.611999999999995</v>
      </c>
      <c r="L895" s="25" t="s">
        <v>18</v>
      </c>
      <c r="M895" s="11"/>
      <c r="N895" s="11"/>
    </row>
    <row r="896" spans="1:14" ht="22.5">
      <c r="A896" s="50" t="s">
        <v>3124</v>
      </c>
      <c r="B896" s="11" t="s">
        <v>3125</v>
      </c>
      <c r="C896" s="11" t="s">
        <v>3126</v>
      </c>
      <c r="D896" s="11" t="s">
        <v>3127</v>
      </c>
      <c r="E896" s="4" t="s">
        <v>166</v>
      </c>
      <c r="F896" s="4" t="s">
        <v>3128</v>
      </c>
      <c r="G896" s="4" t="s">
        <v>3129</v>
      </c>
      <c r="H896" s="4" t="s">
        <v>16</v>
      </c>
      <c r="I896" s="33">
        <v>1504.8</v>
      </c>
      <c r="J896" s="6" t="s">
        <v>1490</v>
      </c>
      <c r="K896" s="6">
        <f>I896/10/1000*3000</f>
        <v>451.44</v>
      </c>
      <c r="L896" s="25" t="s">
        <v>18</v>
      </c>
      <c r="M896" s="11"/>
      <c r="N896" s="11"/>
    </row>
    <row r="897" spans="1:14" s="52" customFormat="1" ht="33.75">
      <c r="A897" s="50" t="s">
        <v>3130</v>
      </c>
      <c r="B897" s="11" t="s">
        <v>3125</v>
      </c>
      <c r="C897" s="11" t="s">
        <v>3126</v>
      </c>
      <c r="D897" s="11" t="s">
        <v>3131</v>
      </c>
      <c r="E897" s="4" t="s">
        <v>166</v>
      </c>
      <c r="F897" s="4" t="s">
        <v>3132</v>
      </c>
      <c r="G897" s="4" t="s">
        <v>689</v>
      </c>
      <c r="H897" s="4" t="s">
        <v>45</v>
      </c>
      <c r="I897" s="6">
        <v>1164.7</v>
      </c>
      <c r="J897" s="6" t="s">
        <v>1499</v>
      </c>
      <c r="K897" s="6">
        <f>I897/10/500*3000</f>
        <v>698.82</v>
      </c>
      <c r="L897" s="6" t="s">
        <v>18</v>
      </c>
      <c r="M897" s="11"/>
      <c r="N897" s="11"/>
    </row>
    <row r="898" spans="1:14" s="52" customFormat="1" ht="33.75">
      <c r="A898" s="50" t="s">
        <v>3133</v>
      </c>
      <c r="B898" s="11" t="s">
        <v>3125</v>
      </c>
      <c r="C898" s="11" t="s">
        <v>3126</v>
      </c>
      <c r="D898" s="11" t="s">
        <v>3131</v>
      </c>
      <c r="E898" s="4" t="s">
        <v>166</v>
      </c>
      <c r="F898" s="89" t="s">
        <v>3134</v>
      </c>
      <c r="G898" s="4" t="s">
        <v>689</v>
      </c>
      <c r="H898" s="4" t="s">
        <v>45</v>
      </c>
      <c r="I898" s="6">
        <v>1504.8</v>
      </c>
      <c r="J898" s="6" t="s">
        <v>1499</v>
      </c>
      <c r="K898" s="6">
        <f>I898/10/1000*3000</f>
        <v>451.44</v>
      </c>
      <c r="L898" s="6" t="s">
        <v>18</v>
      </c>
      <c r="M898" s="11"/>
      <c r="N898" s="11"/>
    </row>
    <row r="899" spans="1:14" s="52" customFormat="1" ht="22.5">
      <c r="A899" s="50" t="s">
        <v>3135</v>
      </c>
      <c r="B899" s="11" t="s">
        <v>3125</v>
      </c>
      <c r="C899" s="11" t="s">
        <v>3126</v>
      </c>
      <c r="D899" s="11" t="s">
        <v>3136</v>
      </c>
      <c r="E899" s="4" t="s">
        <v>166</v>
      </c>
      <c r="F899" s="4" t="s">
        <v>3137</v>
      </c>
      <c r="G899" s="4" t="s">
        <v>3138</v>
      </c>
      <c r="H899" s="4" t="s">
        <v>471</v>
      </c>
      <c r="I899" s="6">
        <v>1504.8</v>
      </c>
      <c r="J899" s="6" t="s">
        <v>1490</v>
      </c>
      <c r="K899" s="6">
        <f>I899/10/1000*3000</f>
        <v>451.44</v>
      </c>
      <c r="L899" s="6" t="s">
        <v>18</v>
      </c>
      <c r="M899" s="11"/>
      <c r="N899" s="11"/>
    </row>
    <row r="900" spans="1:14" s="52" customFormat="1" ht="33.75">
      <c r="A900" s="61" t="s">
        <v>3139</v>
      </c>
      <c r="B900" s="12" t="s">
        <v>3125</v>
      </c>
      <c r="C900" s="10" t="s">
        <v>3126</v>
      </c>
      <c r="D900" s="10" t="s">
        <v>3140</v>
      </c>
      <c r="E900" s="70" t="s">
        <v>166</v>
      </c>
      <c r="F900" s="70" t="s">
        <v>3740</v>
      </c>
      <c r="G900" s="4" t="s">
        <v>53</v>
      </c>
      <c r="H900" s="70" t="s">
        <v>54</v>
      </c>
      <c r="I900" s="5">
        <v>3009.6</v>
      </c>
      <c r="J900" s="6" t="s">
        <v>1490</v>
      </c>
      <c r="K900" s="6">
        <f>I900/20*3</f>
        <v>451.43999999999994</v>
      </c>
      <c r="L900" s="6" t="s">
        <v>18</v>
      </c>
      <c r="M900" s="11"/>
      <c r="N900" s="11"/>
    </row>
    <row r="901" spans="1:14" s="52" customFormat="1" ht="45">
      <c r="A901" s="61" t="s">
        <v>3141</v>
      </c>
      <c r="B901" s="12" t="s">
        <v>3125</v>
      </c>
      <c r="C901" s="11" t="s">
        <v>3126</v>
      </c>
      <c r="D901" s="11" t="s">
        <v>3142</v>
      </c>
      <c r="E901" s="4" t="s">
        <v>166</v>
      </c>
      <c r="F901" s="4" t="s">
        <v>3143</v>
      </c>
      <c r="G901" s="4" t="s">
        <v>3144</v>
      </c>
      <c r="H901" s="4" t="s">
        <v>2736</v>
      </c>
      <c r="I901" s="5">
        <v>1164.7</v>
      </c>
      <c r="J901" s="25" t="s">
        <v>1490</v>
      </c>
      <c r="K901" s="6">
        <f>I901/10/500*3000</f>
        <v>698.82</v>
      </c>
      <c r="L901" s="6" t="s">
        <v>18</v>
      </c>
      <c r="M901" s="11"/>
      <c r="N901" s="11"/>
    </row>
    <row r="902" spans="1:14" s="52" customFormat="1" ht="45">
      <c r="A902" s="61" t="s">
        <v>3145</v>
      </c>
      <c r="B902" s="12" t="s">
        <v>3125</v>
      </c>
      <c r="C902" s="11" t="s">
        <v>3126</v>
      </c>
      <c r="D902" s="11" t="s">
        <v>3142</v>
      </c>
      <c r="E902" s="4" t="s">
        <v>166</v>
      </c>
      <c r="F902" s="4" t="s">
        <v>3057</v>
      </c>
      <c r="G902" s="4" t="s">
        <v>3144</v>
      </c>
      <c r="H902" s="4" t="s">
        <v>2736</v>
      </c>
      <c r="I902" s="5">
        <v>1504.8</v>
      </c>
      <c r="J902" s="25" t="s">
        <v>1490</v>
      </c>
      <c r="K902" s="6">
        <f>I902/10/1000*3000</f>
        <v>451.44</v>
      </c>
      <c r="L902" s="6" t="s">
        <v>18</v>
      </c>
      <c r="M902" s="11"/>
      <c r="N902" s="11"/>
    </row>
    <row r="903" spans="1:14" s="52" customFormat="1" ht="45">
      <c r="A903" s="61" t="s">
        <v>3870</v>
      </c>
      <c r="B903" s="12" t="s">
        <v>3125</v>
      </c>
      <c r="C903" s="11" t="s">
        <v>3126</v>
      </c>
      <c r="D903" s="11" t="s">
        <v>3871</v>
      </c>
      <c r="E903" s="4" t="s">
        <v>166</v>
      </c>
      <c r="F903" s="4" t="s">
        <v>3872</v>
      </c>
      <c r="G903" s="4" t="s">
        <v>3873</v>
      </c>
      <c r="H903" s="4" t="s">
        <v>3797</v>
      </c>
      <c r="I903" s="5">
        <v>1421.2</v>
      </c>
      <c r="J903" s="25" t="s">
        <v>1490</v>
      </c>
      <c r="K903" s="6">
        <f>I903/10/1000*3000</f>
        <v>426.36</v>
      </c>
      <c r="L903" s="6" t="s">
        <v>18</v>
      </c>
      <c r="M903" s="11"/>
      <c r="N903" s="11"/>
    </row>
    <row r="904" spans="1:14" ht="45">
      <c r="A904" s="50" t="s">
        <v>3146</v>
      </c>
      <c r="B904" s="11" t="s">
        <v>3147</v>
      </c>
      <c r="C904" s="11" t="s">
        <v>3148</v>
      </c>
      <c r="D904" s="11" t="s">
        <v>3149</v>
      </c>
      <c r="E904" s="4" t="s">
        <v>345</v>
      </c>
      <c r="F904" s="4" t="s">
        <v>3150</v>
      </c>
      <c r="G904" s="4" t="s">
        <v>15</v>
      </c>
      <c r="H904" s="4" t="s">
        <v>16</v>
      </c>
      <c r="I904" s="6">
        <v>1408.3</v>
      </c>
      <c r="J904" s="6" t="s">
        <v>339</v>
      </c>
      <c r="K904" s="6">
        <f>I904/5/220*100</f>
        <v>128.02727272727273</v>
      </c>
      <c r="L904" s="25" t="s">
        <v>18</v>
      </c>
      <c r="M904" s="11"/>
      <c r="N904" s="11"/>
    </row>
    <row r="905" spans="1:14" ht="22.5">
      <c r="A905" s="50" t="s">
        <v>3151</v>
      </c>
      <c r="B905" s="11" t="s">
        <v>3152</v>
      </c>
      <c r="C905" s="11" t="s">
        <v>3153</v>
      </c>
      <c r="D905" s="11" t="s">
        <v>3154</v>
      </c>
      <c r="E905" s="4" t="s">
        <v>166</v>
      </c>
      <c r="F905" s="4" t="s">
        <v>3734</v>
      </c>
      <c r="G905" s="4" t="s">
        <v>168</v>
      </c>
      <c r="H905" s="4" t="s">
        <v>34</v>
      </c>
      <c r="I905" s="6">
        <v>14151.699999999999</v>
      </c>
      <c r="J905" s="6" t="s">
        <v>18</v>
      </c>
      <c r="K905" s="6" t="s">
        <v>18</v>
      </c>
      <c r="L905" s="25" t="s">
        <v>18</v>
      </c>
      <c r="M905" s="11" t="s">
        <v>3155</v>
      </c>
      <c r="N905" s="11" t="s">
        <v>148</v>
      </c>
    </row>
    <row r="906" spans="1:14" ht="22.5">
      <c r="A906" s="50" t="s">
        <v>3156</v>
      </c>
      <c r="B906" s="11" t="s">
        <v>3157</v>
      </c>
      <c r="C906" s="11" t="s">
        <v>3158</v>
      </c>
      <c r="D906" s="11" t="s">
        <v>3159</v>
      </c>
      <c r="E906" s="4" t="s">
        <v>71</v>
      </c>
      <c r="F906" s="4" t="s">
        <v>3160</v>
      </c>
      <c r="G906" s="4" t="s">
        <v>3161</v>
      </c>
      <c r="H906" s="4" t="s">
        <v>618</v>
      </c>
      <c r="I906" s="6">
        <v>1589.9</v>
      </c>
      <c r="J906" s="31" t="s">
        <v>3162</v>
      </c>
      <c r="K906" s="31">
        <f>I906/5/25*1</f>
        <v>12.719200000000001</v>
      </c>
      <c r="L906" s="25" t="s">
        <v>18</v>
      </c>
      <c r="M906" s="11"/>
      <c r="N906" s="11" t="s">
        <v>3163</v>
      </c>
    </row>
    <row r="907" spans="1:14" ht="22.5">
      <c r="A907" s="50" t="s">
        <v>3164</v>
      </c>
      <c r="B907" s="11" t="s">
        <v>3165</v>
      </c>
      <c r="C907" s="11" t="s">
        <v>3166</v>
      </c>
      <c r="D907" s="11" t="s">
        <v>3167</v>
      </c>
      <c r="E907" s="4" t="s">
        <v>71</v>
      </c>
      <c r="F907" s="4" t="s">
        <v>3113</v>
      </c>
      <c r="G907" s="4" t="s">
        <v>1421</v>
      </c>
      <c r="H907" s="4" t="s">
        <v>618</v>
      </c>
      <c r="I907" s="6">
        <v>1569.9</v>
      </c>
      <c r="J907" s="31" t="s">
        <v>3168</v>
      </c>
      <c r="K907" s="31">
        <f>I907/5/50*3.3</f>
        <v>20.72268</v>
      </c>
      <c r="L907" s="25" t="s">
        <v>18</v>
      </c>
      <c r="M907" s="11"/>
      <c r="N907" s="11" t="s">
        <v>3163</v>
      </c>
    </row>
    <row r="908" spans="1:14" ht="22.5">
      <c r="A908" s="50" t="s">
        <v>3169</v>
      </c>
      <c r="B908" s="11" t="s">
        <v>3165</v>
      </c>
      <c r="C908" s="11" t="s">
        <v>3166</v>
      </c>
      <c r="D908" s="11" t="s">
        <v>3170</v>
      </c>
      <c r="E908" s="4" t="s">
        <v>71</v>
      </c>
      <c r="F908" s="4" t="s">
        <v>3171</v>
      </c>
      <c r="G908" s="4" t="s">
        <v>1421</v>
      </c>
      <c r="H908" s="4" t="s">
        <v>618</v>
      </c>
      <c r="I908" s="6">
        <v>290.7</v>
      </c>
      <c r="J908" s="6" t="s">
        <v>3172</v>
      </c>
      <c r="K908" s="6">
        <f>I908/10/5*8</f>
        <v>46.512</v>
      </c>
      <c r="L908" s="25" t="s">
        <v>18</v>
      </c>
      <c r="M908" s="11"/>
      <c r="N908" s="11" t="s">
        <v>3163</v>
      </c>
    </row>
    <row r="909" spans="1:14" ht="22.5">
      <c r="A909" s="53" t="s">
        <v>3173</v>
      </c>
      <c r="B909" s="54" t="s">
        <v>3165</v>
      </c>
      <c r="C909" s="54" t="s">
        <v>3166</v>
      </c>
      <c r="D909" s="54" t="s">
        <v>3174</v>
      </c>
      <c r="E909" s="55" t="s">
        <v>71</v>
      </c>
      <c r="F909" s="56" t="s">
        <v>3539</v>
      </c>
      <c r="G909" s="55" t="s">
        <v>73</v>
      </c>
      <c r="H909" s="55" t="s">
        <v>74</v>
      </c>
      <c r="I909" s="5">
        <v>290.7</v>
      </c>
      <c r="J909" s="8" t="s">
        <v>3172</v>
      </c>
      <c r="K909" s="5">
        <f>I909/10/5*8</f>
        <v>46.512</v>
      </c>
      <c r="L909" s="21" t="s">
        <v>18</v>
      </c>
      <c r="M909" s="54"/>
      <c r="N909" s="54" t="s">
        <v>3163</v>
      </c>
    </row>
    <row r="910" spans="1:14" ht="78.75">
      <c r="A910" s="50" t="s">
        <v>3175</v>
      </c>
      <c r="B910" s="11" t="s">
        <v>3176</v>
      </c>
      <c r="C910" s="11" t="s">
        <v>3177</v>
      </c>
      <c r="D910" s="11" t="s">
        <v>3178</v>
      </c>
      <c r="E910" s="4" t="s">
        <v>1360</v>
      </c>
      <c r="F910" s="4" t="s">
        <v>3179</v>
      </c>
      <c r="G910" s="4" t="s">
        <v>3180</v>
      </c>
      <c r="H910" s="4" t="s">
        <v>423</v>
      </c>
      <c r="I910" s="6">
        <v>5876</v>
      </c>
      <c r="J910" s="6" t="s">
        <v>3181</v>
      </c>
      <c r="K910" s="6">
        <f>I910/1/25*2.7</f>
        <v>634.60800000000006</v>
      </c>
      <c r="L910" s="25" t="s">
        <v>18</v>
      </c>
      <c r="M910" s="11" t="s">
        <v>3182</v>
      </c>
      <c r="N910" s="11" t="s">
        <v>3183</v>
      </c>
    </row>
    <row r="911" spans="1:14" ht="78.75">
      <c r="A911" s="50" t="s">
        <v>3184</v>
      </c>
      <c r="B911" s="11" t="s">
        <v>3176</v>
      </c>
      <c r="C911" s="11" t="s">
        <v>3177</v>
      </c>
      <c r="D911" s="11" t="s">
        <v>3178</v>
      </c>
      <c r="E911" s="4" t="s">
        <v>1360</v>
      </c>
      <c r="F911" s="4" t="s">
        <v>3185</v>
      </c>
      <c r="G911" s="4" t="s">
        <v>3180</v>
      </c>
      <c r="H911" s="4" t="s">
        <v>423</v>
      </c>
      <c r="I911" s="6">
        <v>7600.7</v>
      </c>
      <c r="J911" s="6" t="s">
        <v>3181</v>
      </c>
      <c r="K911" s="6">
        <f>I911/1/37.5*2.7</f>
        <v>547.25040000000001</v>
      </c>
      <c r="L911" s="25" t="s">
        <v>18</v>
      </c>
      <c r="M911" s="11" t="s">
        <v>3182</v>
      </c>
      <c r="N911" s="11" t="s">
        <v>3183</v>
      </c>
    </row>
    <row r="912" spans="1:14" ht="78.75">
      <c r="A912" s="50" t="s">
        <v>3186</v>
      </c>
      <c r="B912" s="11" t="s">
        <v>3176</v>
      </c>
      <c r="C912" s="11" t="s">
        <v>3177</v>
      </c>
      <c r="D912" s="11" t="s">
        <v>3178</v>
      </c>
      <c r="E912" s="4" t="s">
        <v>1360</v>
      </c>
      <c r="F912" s="4" t="s">
        <v>3187</v>
      </c>
      <c r="G912" s="4" t="s">
        <v>3180</v>
      </c>
      <c r="H912" s="4" t="s">
        <v>423</v>
      </c>
      <c r="I912" s="6">
        <v>9326.5</v>
      </c>
      <c r="J912" s="6" t="s">
        <v>3181</v>
      </c>
      <c r="K912" s="6">
        <f>I912/1/50*2.7</f>
        <v>503.63100000000003</v>
      </c>
      <c r="L912" s="25" t="s">
        <v>18</v>
      </c>
      <c r="M912" s="11" t="s">
        <v>3182</v>
      </c>
      <c r="N912" s="11" t="s">
        <v>3183</v>
      </c>
    </row>
    <row r="913" spans="1:14" ht="78.75">
      <c r="A913" s="50" t="s">
        <v>3188</v>
      </c>
      <c r="B913" s="12" t="s">
        <v>3176</v>
      </c>
      <c r="C913" s="11" t="s">
        <v>3177</v>
      </c>
      <c r="D913" s="11" t="s">
        <v>3189</v>
      </c>
      <c r="E913" s="4" t="s">
        <v>1370</v>
      </c>
      <c r="F913" s="4" t="s">
        <v>3190</v>
      </c>
      <c r="G913" s="4" t="s">
        <v>3191</v>
      </c>
      <c r="H913" s="4" t="s">
        <v>3192</v>
      </c>
      <c r="I913" s="6">
        <v>4782.2</v>
      </c>
      <c r="J913" s="6" t="s">
        <v>3181</v>
      </c>
      <c r="K913" s="6">
        <f>I913/1/25*2.7</f>
        <v>516.47759999999994</v>
      </c>
      <c r="L913" s="25" t="s">
        <v>18</v>
      </c>
      <c r="M913" s="11" t="s">
        <v>3182</v>
      </c>
      <c r="N913" s="11" t="s">
        <v>3183</v>
      </c>
    </row>
    <row r="914" spans="1:14" ht="78.75">
      <c r="A914" s="50" t="s">
        <v>3193</v>
      </c>
      <c r="B914" s="12" t="s">
        <v>3176</v>
      </c>
      <c r="C914" s="11" t="s">
        <v>3177</v>
      </c>
      <c r="D914" s="11" t="s">
        <v>3189</v>
      </c>
      <c r="E914" s="4" t="s">
        <v>1370</v>
      </c>
      <c r="F914" s="4" t="s">
        <v>3194</v>
      </c>
      <c r="G914" s="4" t="s">
        <v>3191</v>
      </c>
      <c r="H914" s="4" t="s">
        <v>3192</v>
      </c>
      <c r="I914" s="6">
        <v>6271.3</v>
      </c>
      <c r="J914" s="6" t="s">
        <v>3181</v>
      </c>
      <c r="K914" s="6">
        <f>I914/1/37.5*2.7</f>
        <v>451.53360000000004</v>
      </c>
      <c r="L914" s="25" t="s">
        <v>18</v>
      </c>
      <c r="M914" s="11" t="s">
        <v>3182</v>
      </c>
      <c r="N914" s="11" t="s">
        <v>3183</v>
      </c>
    </row>
    <row r="915" spans="1:14" ht="78.75">
      <c r="A915" s="50" t="s">
        <v>3195</v>
      </c>
      <c r="B915" s="12" t="s">
        <v>3176</v>
      </c>
      <c r="C915" s="11" t="s">
        <v>3177</v>
      </c>
      <c r="D915" s="11" t="s">
        <v>3189</v>
      </c>
      <c r="E915" s="4" t="s">
        <v>1370</v>
      </c>
      <c r="F915" s="4" t="s">
        <v>3196</v>
      </c>
      <c r="G915" s="4" t="s">
        <v>3191</v>
      </c>
      <c r="H915" s="4" t="s">
        <v>3192</v>
      </c>
      <c r="I915" s="6">
        <v>7674.1</v>
      </c>
      <c r="J915" s="6" t="s">
        <v>3181</v>
      </c>
      <c r="K915" s="6">
        <f>I915/1/50*2.7</f>
        <v>414.40140000000002</v>
      </c>
      <c r="L915" s="25" t="s">
        <v>18</v>
      </c>
      <c r="M915" s="11" t="s">
        <v>3182</v>
      </c>
      <c r="N915" s="11" t="s">
        <v>3183</v>
      </c>
    </row>
    <row r="916" spans="1:14" ht="78.75">
      <c r="A916" s="61" t="s">
        <v>3197</v>
      </c>
      <c r="B916" s="12" t="s">
        <v>3176</v>
      </c>
      <c r="C916" s="11" t="s">
        <v>3177</v>
      </c>
      <c r="D916" s="11" t="s">
        <v>3198</v>
      </c>
      <c r="E916" s="4" t="s">
        <v>1370</v>
      </c>
      <c r="F916" s="4" t="s">
        <v>3199</v>
      </c>
      <c r="G916" s="4" t="s">
        <v>3200</v>
      </c>
      <c r="H916" s="4" t="s">
        <v>45</v>
      </c>
      <c r="I916" s="6">
        <v>17917.900000000001</v>
      </c>
      <c r="J916" s="25" t="s">
        <v>3201</v>
      </c>
      <c r="K916" s="25">
        <f>+(I916/1)/75*2.7</f>
        <v>645.04440000000011</v>
      </c>
      <c r="L916" s="25" t="s">
        <v>18</v>
      </c>
      <c r="M916" s="11" t="s">
        <v>3182</v>
      </c>
      <c r="N916" s="11" t="s">
        <v>3183</v>
      </c>
    </row>
    <row r="917" spans="1:14" ht="78.75">
      <c r="A917" s="61" t="s">
        <v>3202</v>
      </c>
      <c r="B917" s="12" t="s">
        <v>3176</v>
      </c>
      <c r="C917" s="11" t="s">
        <v>3177</v>
      </c>
      <c r="D917" s="11" t="s">
        <v>3198</v>
      </c>
      <c r="E917" s="4" t="s">
        <v>1370</v>
      </c>
      <c r="F917" s="4" t="s">
        <v>3203</v>
      </c>
      <c r="G917" s="4" t="s">
        <v>3200</v>
      </c>
      <c r="H917" s="4" t="s">
        <v>45</v>
      </c>
      <c r="I917" s="6">
        <v>22028.400000000001</v>
      </c>
      <c r="J917" s="25" t="s">
        <v>3201</v>
      </c>
      <c r="K917" s="25">
        <f>+(I917/1)/100*2.7</f>
        <v>594.7668000000001</v>
      </c>
      <c r="L917" s="25" t="s">
        <v>18</v>
      </c>
      <c r="M917" s="11" t="s">
        <v>3182</v>
      </c>
      <c r="N917" s="11" t="s">
        <v>3183</v>
      </c>
    </row>
    <row r="918" spans="1:14" ht="45">
      <c r="A918" s="11" t="s">
        <v>3204</v>
      </c>
      <c r="B918" s="11" t="s">
        <v>3205</v>
      </c>
      <c r="C918" s="10" t="s">
        <v>3206</v>
      </c>
      <c r="D918" s="10" t="s">
        <v>3207</v>
      </c>
      <c r="E918" s="4" t="s">
        <v>3208</v>
      </c>
      <c r="F918" s="4" t="s">
        <v>3209</v>
      </c>
      <c r="G918" s="4" t="s">
        <v>2708</v>
      </c>
      <c r="H918" s="4" t="s">
        <v>284</v>
      </c>
      <c r="I918" s="16">
        <v>15882.1</v>
      </c>
      <c r="J918" s="4" t="s">
        <v>1216</v>
      </c>
      <c r="K918" s="6">
        <f>I918/1/75*2.5</f>
        <v>529.40333333333331</v>
      </c>
      <c r="L918" s="25" t="s">
        <v>18</v>
      </c>
      <c r="M918" s="11" t="s">
        <v>3210</v>
      </c>
      <c r="N918" s="11" t="s">
        <v>3183</v>
      </c>
    </row>
    <row r="919" spans="1:14" ht="45">
      <c r="A919" s="11" t="s">
        <v>3211</v>
      </c>
      <c r="B919" s="11" t="s">
        <v>3205</v>
      </c>
      <c r="C919" s="11" t="s">
        <v>3206</v>
      </c>
      <c r="D919" s="11" t="s">
        <v>3207</v>
      </c>
      <c r="E919" s="4" t="s">
        <v>3208</v>
      </c>
      <c r="F919" s="4" t="s">
        <v>3212</v>
      </c>
      <c r="G919" s="4" t="s">
        <v>2708</v>
      </c>
      <c r="H919" s="4" t="s">
        <v>284</v>
      </c>
      <c r="I919" s="16">
        <v>19535.400000000001</v>
      </c>
      <c r="J919" s="4" t="s">
        <v>1216</v>
      </c>
      <c r="K919" s="6">
        <f>I919/1/100*2.5</f>
        <v>488.38500000000005</v>
      </c>
      <c r="L919" s="25" t="s">
        <v>18</v>
      </c>
      <c r="M919" s="11" t="s">
        <v>3210</v>
      </c>
      <c r="N919" s="11" t="s">
        <v>3183</v>
      </c>
    </row>
    <row r="920" spans="1:14" ht="45">
      <c r="A920" s="11" t="s">
        <v>3213</v>
      </c>
      <c r="B920" s="11" t="s">
        <v>3205</v>
      </c>
      <c r="C920" s="11" t="s">
        <v>3206</v>
      </c>
      <c r="D920" s="11" t="s">
        <v>3207</v>
      </c>
      <c r="E920" s="4" t="s">
        <v>3208</v>
      </c>
      <c r="F920" s="4" t="s">
        <v>3214</v>
      </c>
      <c r="G920" s="4" t="s">
        <v>2708</v>
      </c>
      <c r="H920" s="4" t="s">
        <v>284</v>
      </c>
      <c r="I920" s="16">
        <v>29272</v>
      </c>
      <c r="J920" s="4" t="s">
        <v>1216</v>
      </c>
      <c r="K920" s="6">
        <f>I920/1/150*2.5</f>
        <v>487.86666666666667</v>
      </c>
      <c r="L920" s="25" t="s">
        <v>18</v>
      </c>
      <c r="M920" s="11" t="s">
        <v>3210</v>
      </c>
      <c r="N920" s="11" t="s">
        <v>3183</v>
      </c>
    </row>
    <row r="921" spans="1:14" ht="45">
      <c r="A921" s="10" t="s">
        <v>3215</v>
      </c>
      <c r="B921" s="10" t="s">
        <v>3205</v>
      </c>
      <c r="C921" s="10" t="s">
        <v>3206</v>
      </c>
      <c r="D921" s="10" t="s">
        <v>3216</v>
      </c>
      <c r="E921" s="70" t="s">
        <v>3208</v>
      </c>
      <c r="F921" s="70" t="s">
        <v>3217</v>
      </c>
      <c r="G921" s="70" t="s">
        <v>2708</v>
      </c>
      <c r="H921" s="4" t="s">
        <v>284</v>
      </c>
      <c r="I921" s="6">
        <v>52057.599999999999</v>
      </c>
      <c r="J921" s="4" t="s">
        <v>1216</v>
      </c>
      <c r="K921" s="6">
        <f>+I921/263*2.5</f>
        <v>494.84410646387829</v>
      </c>
      <c r="L921" s="4" t="s">
        <v>18</v>
      </c>
      <c r="M921" s="11" t="s">
        <v>3218</v>
      </c>
      <c r="N921" s="11" t="s">
        <v>3183</v>
      </c>
    </row>
    <row r="922" spans="1:14" ht="45">
      <c r="A922" s="10" t="s">
        <v>3219</v>
      </c>
      <c r="B922" s="10" t="s">
        <v>3205</v>
      </c>
      <c r="C922" s="10" t="s">
        <v>3206</v>
      </c>
      <c r="D922" s="10" t="s">
        <v>3216</v>
      </c>
      <c r="E922" s="70" t="s">
        <v>3208</v>
      </c>
      <c r="F922" s="70" t="s">
        <v>3220</v>
      </c>
      <c r="G922" s="70" t="s">
        <v>2708</v>
      </c>
      <c r="H922" s="4" t="s">
        <v>284</v>
      </c>
      <c r="I922" s="6">
        <v>64076.7</v>
      </c>
      <c r="J922" s="4" t="s">
        <v>1216</v>
      </c>
      <c r="K922" s="6">
        <f>+(I922/350)*2.5</f>
        <v>457.69071428571431</v>
      </c>
      <c r="L922" s="4" t="s">
        <v>18</v>
      </c>
      <c r="M922" s="11" t="s">
        <v>3218</v>
      </c>
      <c r="N922" s="11" t="s">
        <v>3183</v>
      </c>
    </row>
    <row r="923" spans="1:14" ht="45">
      <c r="A923" s="10" t="s">
        <v>3221</v>
      </c>
      <c r="B923" s="10" t="s">
        <v>3205</v>
      </c>
      <c r="C923" s="10" t="s">
        <v>3206</v>
      </c>
      <c r="D923" s="10" t="s">
        <v>3216</v>
      </c>
      <c r="E923" s="70" t="s">
        <v>3208</v>
      </c>
      <c r="F923" s="70" t="s">
        <v>3222</v>
      </c>
      <c r="G923" s="70" t="s">
        <v>2708</v>
      </c>
      <c r="H923" s="4" t="s">
        <v>284</v>
      </c>
      <c r="I923" s="6">
        <v>96111.5</v>
      </c>
      <c r="J923" s="4" t="s">
        <v>1216</v>
      </c>
      <c r="K923" s="6">
        <f>+I923/525*2.5</f>
        <v>457.67380952380955</v>
      </c>
      <c r="L923" s="4" t="s">
        <v>18</v>
      </c>
      <c r="M923" s="11" t="s">
        <v>3218</v>
      </c>
      <c r="N923" s="11" t="s">
        <v>3183</v>
      </c>
    </row>
    <row r="924" spans="1:14" ht="45">
      <c r="A924" s="50" t="s">
        <v>3224</v>
      </c>
      <c r="B924" s="11" t="s">
        <v>3205</v>
      </c>
      <c r="C924" s="11" t="s">
        <v>3206</v>
      </c>
      <c r="D924" s="11" t="s">
        <v>3223</v>
      </c>
      <c r="E924" s="4" t="s">
        <v>3208</v>
      </c>
      <c r="F924" s="4" t="s">
        <v>3225</v>
      </c>
      <c r="G924" s="4" t="s">
        <v>3686</v>
      </c>
      <c r="H924" s="4" t="s">
        <v>3687</v>
      </c>
      <c r="I924" s="16">
        <v>13087.6</v>
      </c>
      <c r="J924" s="6" t="s">
        <v>1216</v>
      </c>
      <c r="K924" s="6">
        <f>I924/1/75*2.5</f>
        <v>436.25333333333339</v>
      </c>
      <c r="L924" s="4" t="s">
        <v>18</v>
      </c>
      <c r="M924" s="11" t="s">
        <v>3210</v>
      </c>
      <c r="N924" s="11" t="s">
        <v>3183</v>
      </c>
    </row>
    <row r="925" spans="1:14" ht="45">
      <c r="A925" s="50" t="s">
        <v>3226</v>
      </c>
      <c r="B925" s="11" t="s">
        <v>3205</v>
      </c>
      <c r="C925" s="11" t="s">
        <v>3206</v>
      </c>
      <c r="D925" s="11" t="s">
        <v>3223</v>
      </c>
      <c r="E925" s="4" t="s">
        <v>3208</v>
      </c>
      <c r="F925" s="4" t="s">
        <v>3227</v>
      </c>
      <c r="G925" s="4" t="s">
        <v>3686</v>
      </c>
      <c r="H925" s="4" t="s">
        <v>3687</v>
      </c>
      <c r="I925" s="16">
        <v>17162.7</v>
      </c>
      <c r="J925" s="6" t="s">
        <v>1216</v>
      </c>
      <c r="K925" s="6">
        <f>I925/1/100*2.5</f>
        <v>429.0675</v>
      </c>
      <c r="L925" s="4" t="s">
        <v>18</v>
      </c>
      <c r="M925" s="11" t="s">
        <v>3210</v>
      </c>
      <c r="N925" s="11" t="s">
        <v>3183</v>
      </c>
    </row>
    <row r="926" spans="1:14" ht="45">
      <c r="A926" s="50" t="s">
        <v>3228</v>
      </c>
      <c r="B926" s="11" t="s">
        <v>3205</v>
      </c>
      <c r="C926" s="11" t="s">
        <v>3206</v>
      </c>
      <c r="D926" s="11" t="s">
        <v>3223</v>
      </c>
      <c r="E926" s="4" t="s">
        <v>3208</v>
      </c>
      <c r="F926" s="4" t="s">
        <v>3229</v>
      </c>
      <c r="G926" s="4" t="s">
        <v>3686</v>
      </c>
      <c r="H926" s="4" t="s">
        <v>3687</v>
      </c>
      <c r="I926" s="16">
        <v>21998.2</v>
      </c>
      <c r="J926" s="6" t="s">
        <v>1216</v>
      </c>
      <c r="K926" s="6">
        <f>I926/1/150*2.5</f>
        <v>366.63666666666671</v>
      </c>
      <c r="L926" s="4" t="s">
        <v>18</v>
      </c>
      <c r="M926" s="11" t="s">
        <v>3210</v>
      </c>
      <c r="N926" s="11" t="s">
        <v>3183</v>
      </c>
    </row>
    <row r="927" spans="1:14" ht="22.5">
      <c r="A927" s="50" t="s">
        <v>3230</v>
      </c>
      <c r="B927" s="11" t="s">
        <v>3231</v>
      </c>
      <c r="C927" s="11" t="s">
        <v>3232</v>
      </c>
      <c r="D927" s="11" t="s">
        <v>3233</v>
      </c>
      <c r="E927" s="4" t="s">
        <v>3234</v>
      </c>
      <c r="F927" s="4" t="s">
        <v>3235</v>
      </c>
      <c r="G927" s="4" t="s">
        <v>90</v>
      </c>
      <c r="H927" s="4" t="s">
        <v>16</v>
      </c>
      <c r="I927" s="6">
        <v>321.10000000000002</v>
      </c>
      <c r="J927" s="6" t="s">
        <v>1223</v>
      </c>
      <c r="K927" s="6">
        <f>I927/10/10*10</f>
        <v>32.11</v>
      </c>
      <c r="L927" s="25" t="s">
        <v>18</v>
      </c>
      <c r="M927" s="11"/>
      <c r="N927" s="11"/>
    </row>
    <row r="928" spans="1:14" ht="22.5">
      <c r="A928" s="53" t="s">
        <v>3236</v>
      </c>
      <c r="B928" s="54" t="s">
        <v>3231</v>
      </c>
      <c r="C928" s="54" t="s">
        <v>3232</v>
      </c>
      <c r="D928" s="54" t="s">
        <v>3237</v>
      </c>
      <c r="E928" s="55" t="s">
        <v>71</v>
      </c>
      <c r="F928" s="56" t="s">
        <v>3238</v>
      </c>
      <c r="G928" s="55" t="s">
        <v>73</v>
      </c>
      <c r="H928" s="55" t="s">
        <v>74</v>
      </c>
      <c r="I928" s="5">
        <v>256.8</v>
      </c>
      <c r="J928" s="8" t="s">
        <v>1223</v>
      </c>
      <c r="K928" s="5">
        <f>I928/10/10*10</f>
        <v>25.68</v>
      </c>
      <c r="L928" s="21" t="s">
        <v>18</v>
      </c>
      <c r="M928" s="54"/>
      <c r="N928" s="54"/>
    </row>
    <row r="929" spans="1:14" ht="45">
      <c r="A929" s="50" t="s">
        <v>3239</v>
      </c>
      <c r="B929" s="11" t="s">
        <v>3240</v>
      </c>
      <c r="C929" s="11" t="s">
        <v>3241</v>
      </c>
      <c r="D929" s="11" t="s">
        <v>3242</v>
      </c>
      <c r="E929" s="4" t="s">
        <v>71</v>
      </c>
      <c r="F929" s="4" t="s">
        <v>3243</v>
      </c>
      <c r="G929" s="89" t="s">
        <v>3244</v>
      </c>
      <c r="H929" s="89" t="s">
        <v>3245</v>
      </c>
      <c r="I929" s="6">
        <v>545.29999999999995</v>
      </c>
      <c r="J929" s="6" t="s">
        <v>626</v>
      </c>
      <c r="K929" s="6">
        <f>I929/10/5*15</f>
        <v>163.58999999999997</v>
      </c>
      <c r="L929" s="25" t="s">
        <v>18</v>
      </c>
      <c r="M929" s="11"/>
      <c r="N929" s="11"/>
    </row>
    <row r="930" spans="1:14" ht="45">
      <c r="A930" s="50" t="s">
        <v>3246</v>
      </c>
      <c r="B930" s="11" t="s">
        <v>3240</v>
      </c>
      <c r="C930" s="11" t="s">
        <v>3241</v>
      </c>
      <c r="D930" s="11" t="s">
        <v>3242</v>
      </c>
      <c r="E930" s="4" t="s">
        <v>71</v>
      </c>
      <c r="F930" s="4" t="s">
        <v>3247</v>
      </c>
      <c r="G930" s="89" t="s">
        <v>3244</v>
      </c>
      <c r="H930" s="89" t="s">
        <v>3245</v>
      </c>
      <c r="I930" s="6">
        <v>589.79999999999995</v>
      </c>
      <c r="J930" s="6" t="s">
        <v>626</v>
      </c>
      <c r="K930" s="6">
        <f>I930/5/15*15</f>
        <v>117.96</v>
      </c>
      <c r="L930" s="25" t="s">
        <v>18</v>
      </c>
      <c r="M930" s="11"/>
      <c r="N930" s="11"/>
    </row>
    <row r="931" spans="1:14" ht="22.5">
      <c r="A931" s="50" t="s">
        <v>3249</v>
      </c>
      <c r="B931" s="11" t="s">
        <v>3240</v>
      </c>
      <c r="C931" s="11" t="s">
        <v>3241</v>
      </c>
      <c r="D931" s="11" t="s">
        <v>3248</v>
      </c>
      <c r="E931" s="4" t="s">
        <v>14</v>
      </c>
      <c r="F931" s="4" t="s">
        <v>3250</v>
      </c>
      <c r="G931" s="41" t="s">
        <v>1097</v>
      </c>
      <c r="H931" s="4" t="s">
        <v>34</v>
      </c>
      <c r="I931" s="16">
        <v>1179.5</v>
      </c>
      <c r="J931" s="4" t="s">
        <v>626</v>
      </c>
      <c r="K931" s="6">
        <f>I931/10/15*15</f>
        <v>117.95</v>
      </c>
      <c r="L931" s="25" t="s">
        <v>18</v>
      </c>
      <c r="M931" s="11"/>
      <c r="N931" s="11"/>
    </row>
    <row r="932" spans="1:14" s="52" customFormat="1" ht="22.5">
      <c r="A932" s="51" t="s">
        <v>3251</v>
      </c>
      <c r="B932" s="13" t="s">
        <v>3240</v>
      </c>
      <c r="C932" s="13" t="s">
        <v>3241</v>
      </c>
      <c r="D932" s="13" t="s">
        <v>3252</v>
      </c>
      <c r="E932" s="17" t="s">
        <v>14</v>
      </c>
      <c r="F932" s="17" t="s">
        <v>3253</v>
      </c>
      <c r="G932" s="17" t="s">
        <v>2945</v>
      </c>
      <c r="H932" s="17" t="s">
        <v>2677</v>
      </c>
      <c r="I932" s="16">
        <v>1179.5</v>
      </c>
      <c r="J932" s="17" t="s">
        <v>626</v>
      </c>
      <c r="K932" s="38">
        <f>I932/10/15*15</f>
        <v>117.95</v>
      </c>
      <c r="L932" s="38" t="s">
        <v>18</v>
      </c>
      <c r="M932" s="11"/>
      <c r="N932" s="11"/>
    </row>
    <row r="933" spans="1:14" s="52" customFormat="1" ht="22.5">
      <c r="A933" s="51" t="s">
        <v>3254</v>
      </c>
      <c r="B933" s="13" t="s">
        <v>3240</v>
      </c>
      <c r="C933" s="13" t="s">
        <v>3241</v>
      </c>
      <c r="D933" s="13" t="s">
        <v>3252</v>
      </c>
      <c r="E933" s="17" t="s">
        <v>14</v>
      </c>
      <c r="F933" s="17" t="s">
        <v>3255</v>
      </c>
      <c r="G933" s="17" t="s">
        <v>2945</v>
      </c>
      <c r="H933" s="17" t="s">
        <v>2677</v>
      </c>
      <c r="I933" s="16">
        <v>490.8</v>
      </c>
      <c r="J933" s="17" t="s">
        <v>626</v>
      </c>
      <c r="K933" s="36">
        <f>I933/10/5*15</f>
        <v>147.23999999999998</v>
      </c>
      <c r="L933" s="38" t="s">
        <v>18</v>
      </c>
      <c r="M933" s="11"/>
      <c r="N933" s="11"/>
    </row>
    <row r="934" spans="1:14" s="52" customFormat="1" ht="45">
      <c r="A934" s="50" t="s">
        <v>3256</v>
      </c>
      <c r="B934" s="11" t="s">
        <v>3240</v>
      </c>
      <c r="C934" s="11" t="s">
        <v>3241</v>
      </c>
      <c r="D934" s="11" t="s">
        <v>3257</v>
      </c>
      <c r="E934" s="4" t="s">
        <v>14</v>
      </c>
      <c r="F934" s="4" t="s">
        <v>3258</v>
      </c>
      <c r="G934" s="4" t="s">
        <v>3259</v>
      </c>
      <c r="H934" s="4" t="s">
        <v>1138</v>
      </c>
      <c r="I934" s="6">
        <v>490.8</v>
      </c>
      <c r="J934" s="8" t="s">
        <v>626</v>
      </c>
      <c r="K934" s="6">
        <f>+I934/5 /10*15</f>
        <v>147.23999999999998</v>
      </c>
      <c r="L934" s="38" t="s">
        <v>18</v>
      </c>
      <c r="M934" s="11"/>
      <c r="N934" s="11"/>
    </row>
    <row r="935" spans="1:14" s="52" customFormat="1" ht="45">
      <c r="A935" s="50" t="s">
        <v>3260</v>
      </c>
      <c r="B935" s="11" t="s">
        <v>3240</v>
      </c>
      <c r="C935" s="11" t="s">
        <v>3241</v>
      </c>
      <c r="D935" s="11" t="s">
        <v>3257</v>
      </c>
      <c r="E935" s="4" t="s">
        <v>14</v>
      </c>
      <c r="F935" s="4" t="s">
        <v>3261</v>
      </c>
      <c r="G935" s="4" t="s">
        <v>3259</v>
      </c>
      <c r="H935" s="4" t="s">
        <v>1138</v>
      </c>
      <c r="I935" s="16">
        <v>1179.5</v>
      </c>
      <c r="J935" s="8" t="s">
        <v>626</v>
      </c>
      <c r="K935" s="6">
        <f>+I935/15 /10*15</f>
        <v>117.95000000000002</v>
      </c>
      <c r="L935" s="38" t="s">
        <v>18</v>
      </c>
      <c r="M935" s="11"/>
      <c r="N935" s="11"/>
    </row>
    <row r="936" spans="1:14" s="52" customFormat="1" ht="33.75">
      <c r="A936" s="61" t="s">
        <v>3262</v>
      </c>
      <c r="B936" s="12" t="s">
        <v>3263</v>
      </c>
      <c r="C936" s="11" t="s">
        <v>3264</v>
      </c>
      <c r="D936" s="11" t="s">
        <v>3265</v>
      </c>
      <c r="E936" s="4" t="s">
        <v>981</v>
      </c>
      <c r="F936" s="4" t="s">
        <v>3266</v>
      </c>
      <c r="G936" s="4" t="s">
        <v>3267</v>
      </c>
      <c r="H936" s="4" t="s">
        <v>2677</v>
      </c>
      <c r="I936" s="5">
        <v>26204</v>
      </c>
      <c r="J936" s="25" t="s">
        <v>3162</v>
      </c>
      <c r="K936" s="6">
        <f>I936/25/200*1000</f>
        <v>5240.8</v>
      </c>
      <c r="L936" s="132" t="s">
        <v>18</v>
      </c>
      <c r="M936" s="11"/>
      <c r="N936" s="11" t="s">
        <v>148</v>
      </c>
    </row>
    <row r="937" spans="1:14" s="52" customFormat="1" ht="22.5">
      <c r="A937" s="61" t="s">
        <v>3268</v>
      </c>
      <c r="B937" s="12" t="s">
        <v>3263</v>
      </c>
      <c r="C937" s="54" t="s">
        <v>3264</v>
      </c>
      <c r="D937" s="54" t="s">
        <v>3269</v>
      </c>
      <c r="E937" s="55" t="s">
        <v>981</v>
      </c>
      <c r="F937" s="55" t="s">
        <v>3270</v>
      </c>
      <c r="G937" s="55" t="s">
        <v>3271</v>
      </c>
      <c r="H937" s="55" t="s">
        <v>2677</v>
      </c>
      <c r="I937" s="6">
        <v>5240.8</v>
      </c>
      <c r="J937" s="7" t="s">
        <v>3162</v>
      </c>
      <c r="K937" s="5">
        <f>I937/5/200*1000</f>
        <v>5240.8</v>
      </c>
      <c r="L937" s="132" t="s">
        <v>18</v>
      </c>
      <c r="M937" s="11"/>
      <c r="N937" s="11" t="s">
        <v>148</v>
      </c>
    </row>
    <row r="938" spans="1:14" s="52" customFormat="1" ht="22.5">
      <c r="A938" s="53" t="s">
        <v>3272</v>
      </c>
      <c r="B938" s="54" t="s">
        <v>3263</v>
      </c>
      <c r="C938" s="54" t="s">
        <v>3264</v>
      </c>
      <c r="D938" s="54" t="s">
        <v>3273</v>
      </c>
      <c r="E938" s="55" t="s">
        <v>981</v>
      </c>
      <c r="F938" s="55" t="s">
        <v>3274</v>
      </c>
      <c r="G938" s="55" t="s">
        <v>3275</v>
      </c>
      <c r="H938" s="55" t="s">
        <v>3276</v>
      </c>
      <c r="I938" s="6">
        <v>26204</v>
      </c>
      <c r="J938" s="7" t="s">
        <v>3162</v>
      </c>
      <c r="K938" s="5">
        <f>+I938/25/200 *1000</f>
        <v>5240.8</v>
      </c>
      <c r="L938" s="132" t="s">
        <v>18</v>
      </c>
      <c r="M938" s="11"/>
      <c r="N938" s="11" t="s">
        <v>148</v>
      </c>
    </row>
    <row r="939" spans="1:14" s="52" customFormat="1" ht="22.5">
      <c r="A939" s="50" t="s">
        <v>3277</v>
      </c>
      <c r="B939" s="13" t="s">
        <v>3263</v>
      </c>
      <c r="C939" s="54" t="s">
        <v>3264</v>
      </c>
      <c r="D939" s="11" t="s">
        <v>3278</v>
      </c>
      <c r="E939" s="55" t="s">
        <v>981</v>
      </c>
      <c r="F939" s="55" t="s">
        <v>3274</v>
      </c>
      <c r="G939" s="55" t="s">
        <v>3279</v>
      </c>
      <c r="H939" s="55" t="s">
        <v>34</v>
      </c>
      <c r="I939" s="6">
        <v>26204</v>
      </c>
      <c r="J939" s="6" t="s">
        <v>3162</v>
      </c>
      <c r="K939" s="6">
        <f>+(I939/25)/200*1000</f>
        <v>5240.8</v>
      </c>
      <c r="L939" s="132" t="s">
        <v>18</v>
      </c>
      <c r="M939" s="11"/>
      <c r="N939" s="11" t="s">
        <v>148</v>
      </c>
    </row>
    <row r="940" spans="1:14" ht="33.75">
      <c r="A940" s="50" t="s">
        <v>3280</v>
      </c>
      <c r="B940" s="11" t="s">
        <v>3281</v>
      </c>
      <c r="C940" s="11" t="s">
        <v>3282</v>
      </c>
      <c r="D940" s="11" t="s">
        <v>3283</v>
      </c>
      <c r="E940" s="4" t="s">
        <v>3284</v>
      </c>
      <c r="F940" s="4" t="s">
        <v>3285</v>
      </c>
      <c r="G940" s="4" t="s">
        <v>3286</v>
      </c>
      <c r="H940" s="4" t="s">
        <v>133</v>
      </c>
      <c r="I940" s="6">
        <v>22634.5</v>
      </c>
      <c r="J940" s="6" t="s">
        <v>1966</v>
      </c>
      <c r="K940" s="6">
        <f>I940/10/10*400</f>
        <v>90537.999999999985</v>
      </c>
      <c r="L940" s="25" t="s">
        <v>18</v>
      </c>
      <c r="M940" s="11" t="s">
        <v>3287</v>
      </c>
      <c r="N940" s="11"/>
    </row>
    <row r="941" spans="1:14" ht="33.75">
      <c r="A941" s="50" t="s">
        <v>3288</v>
      </c>
      <c r="B941" s="11" t="s">
        <v>3289</v>
      </c>
      <c r="C941" s="11" t="s">
        <v>3294</v>
      </c>
      <c r="D941" s="11" t="s">
        <v>3290</v>
      </c>
      <c r="E941" s="4" t="s">
        <v>71</v>
      </c>
      <c r="F941" s="4" t="s">
        <v>3291</v>
      </c>
      <c r="G941" s="4" t="s">
        <v>3735</v>
      </c>
      <c r="H941" s="4" t="s">
        <v>54</v>
      </c>
      <c r="I941" s="6">
        <v>3621.5</v>
      </c>
      <c r="J941" s="31" t="s">
        <v>3292</v>
      </c>
      <c r="K941" s="31">
        <f>I941/50/2.5*2</f>
        <v>57.944000000000003</v>
      </c>
      <c r="L941" s="4" t="s">
        <v>18</v>
      </c>
      <c r="M941" s="11"/>
      <c r="N941" s="11" t="s">
        <v>148</v>
      </c>
    </row>
    <row r="942" spans="1:14" ht="33.75">
      <c r="A942" s="50" t="s">
        <v>3293</v>
      </c>
      <c r="B942" s="11" t="s">
        <v>3289</v>
      </c>
      <c r="C942" s="11" t="s">
        <v>3294</v>
      </c>
      <c r="D942" s="11" t="s">
        <v>3290</v>
      </c>
      <c r="E942" s="4" t="s">
        <v>71</v>
      </c>
      <c r="F942" s="4" t="s">
        <v>3565</v>
      </c>
      <c r="G942" s="4" t="s">
        <v>3735</v>
      </c>
      <c r="H942" s="4" t="s">
        <v>54</v>
      </c>
      <c r="I942" s="6">
        <v>724.3</v>
      </c>
      <c r="J942" s="31" t="s">
        <v>3292</v>
      </c>
      <c r="K942" s="31">
        <f>I942/10/2.5*2</f>
        <v>57.943999999999996</v>
      </c>
      <c r="L942" s="4" t="s">
        <v>18</v>
      </c>
      <c r="M942" s="11"/>
      <c r="N942" s="11" t="s">
        <v>148</v>
      </c>
    </row>
    <row r="943" spans="1:14" ht="123.75">
      <c r="A943" s="11">
        <v>2087506</v>
      </c>
      <c r="B943" s="11" t="s">
        <v>3295</v>
      </c>
      <c r="C943" s="11" t="s">
        <v>3296</v>
      </c>
      <c r="D943" s="11" t="s">
        <v>3297</v>
      </c>
      <c r="E943" s="4" t="s">
        <v>3298</v>
      </c>
      <c r="F943" s="4" t="s">
        <v>3299</v>
      </c>
      <c r="G943" s="4" t="s">
        <v>204</v>
      </c>
      <c r="H943" s="4" t="s">
        <v>205</v>
      </c>
      <c r="I943" s="6">
        <v>891.7</v>
      </c>
      <c r="J943" s="4" t="s">
        <v>3300</v>
      </c>
      <c r="K943" s="6">
        <f>I943/1000*25</f>
        <v>22.2925</v>
      </c>
      <c r="L943" s="25" t="s">
        <v>18</v>
      </c>
      <c r="M943" s="11" t="s">
        <v>3301</v>
      </c>
      <c r="N943" s="11" t="s">
        <v>3302</v>
      </c>
    </row>
    <row r="944" spans="1:14" ht="123.75">
      <c r="A944" s="11">
        <v>2087507</v>
      </c>
      <c r="B944" s="11" t="s">
        <v>3295</v>
      </c>
      <c r="C944" s="11" t="s">
        <v>3296</v>
      </c>
      <c r="D944" s="11" t="s">
        <v>3297</v>
      </c>
      <c r="E944" s="4" t="s">
        <v>3298</v>
      </c>
      <c r="F944" s="4" t="s">
        <v>3303</v>
      </c>
      <c r="G944" s="4" t="s">
        <v>204</v>
      </c>
      <c r="H944" s="4" t="s">
        <v>205</v>
      </c>
      <c r="I944" s="6">
        <v>6439.1</v>
      </c>
      <c r="J944" s="4" t="s">
        <v>3300</v>
      </c>
      <c r="K944" s="6">
        <f>I944/10000*25</f>
        <v>16.097749999999998</v>
      </c>
      <c r="L944" s="25" t="s">
        <v>18</v>
      </c>
      <c r="M944" s="11" t="s">
        <v>3301</v>
      </c>
      <c r="N944" s="11" t="s">
        <v>3302</v>
      </c>
    </row>
    <row r="945" spans="1:14" ht="33.75">
      <c r="A945" s="50" t="s">
        <v>3304</v>
      </c>
      <c r="B945" s="11" t="s">
        <v>3305</v>
      </c>
      <c r="C945" s="11" t="s">
        <v>3306</v>
      </c>
      <c r="D945" s="11" t="s">
        <v>3307</v>
      </c>
      <c r="E945" s="4" t="s">
        <v>71</v>
      </c>
      <c r="F945" s="4" t="s">
        <v>3308</v>
      </c>
      <c r="G945" s="4" t="s">
        <v>3309</v>
      </c>
      <c r="H945" s="4" t="s">
        <v>3310</v>
      </c>
      <c r="I945" s="6">
        <v>955.4</v>
      </c>
      <c r="J945" s="6" t="s">
        <v>27</v>
      </c>
      <c r="K945" s="6">
        <f>I945/10/20*20</f>
        <v>95.539999999999992</v>
      </c>
      <c r="L945" s="25" t="s">
        <v>18</v>
      </c>
      <c r="M945" s="11"/>
      <c r="N945" s="11"/>
    </row>
    <row r="946" spans="1:14" ht="45">
      <c r="A946" s="50" t="s">
        <v>3311</v>
      </c>
      <c r="B946" s="11" t="s">
        <v>3312</v>
      </c>
      <c r="C946" s="11" t="s">
        <v>3313</v>
      </c>
      <c r="D946" s="11" t="s">
        <v>3314</v>
      </c>
      <c r="E946" s="4" t="s">
        <v>3315</v>
      </c>
      <c r="F946" s="4" t="s">
        <v>3316</v>
      </c>
      <c r="G946" s="4" t="s">
        <v>3317</v>
      </c>
      <c r="H946" s="4" t="s">
        <v>3874</v>
      </c>
      <c r="I946" s="6">
        <v>69297.600000000006</v>
      </c>
      <c r="J946" s="6" t="s">
        <v>235</v>
      </c>
      <c r="K946" s="6">
        <f>I946/2/120*160</f>
        <v>46198.400000000001</v>
      </c>
      <c r="L946" s="25" t="s">
        <v>18</v>
      </c>
      <c r="M946" s="11"/>
      <c r="N946" s="11" t="s">
        <v>3318</v>
      </c>
    </row>
    <row r="947" spans="1:14" ht="45">
      <c r="A947" s="53" t="s">
        <v>3319</v>
      </c>
      <c r="B947" s="54" t="s">
        <v>3312</v>
      </c>
      <c r="C947" s="54" t="s">
        <v>3313</v>
      </c>
      <c r="D947" s="54" t="s">
        <v>3314</v>
      </c>
      <c r="E947" s="55" t="s">
        <v>3315</v>
      </c>
      <c r="F947" s="56" t="s">
        <v>3320</v>
      </c>
      <c r="G947" s="55" t="s">
        <v>3321</v>
      </c>
      <c r="H947" s="55" t="s">
        <v>3874</v>
      </c>
      <c r="I947" s="5">
        <v>34648.800000000003</v>
      </c>
      <c r="J947" s="8" t="s">
        <v>235</v>
      </c>
      <c r="K947" s="5">
        <f>I947/120*160</f>
        <v>46198.400000000001</v>
      </c>
      <c r="L947" s="21" t="s">
        <v>18</v>
      </c>
      <c r="M947" s="54"/>
      <c r="N947" s="54" t="s">
        <v>3318</v>
      </c>
    </row>
    <row r="948" spans="1:14" ht="45">
      <c r="A948" s="50" t="s">
        <v>3322</v>
      </c>
      <c r="B948" s="11" t="s">
        <v>3312</v>
      </c>
      <c r="C948" s="11" t="s">
        <v>3323</v>
      </c>
      <c r="D948" s="11" t="s">
        <v>3324</v>
      </c>
      <c r="E948" s="4" t="s">
        <v>3325</v>
      </c>
      <c r="F948" s="4" t="s">
        <v>3326</v>
      </c>
      <c r="G948" s="4" t="s">
        <v>3327</v>
      </c>
      <c r="H948" s="4" t="s">
        <v>34</v>
      </c>
      <c r="I948" s="6">
        <v>24439.9</v>
      </c>
      <c r="J948" s="6" t="s">
        <v>3328</v>
      </c>
      <c r="K948" s="6">
        <f>+I948/1/54*160</f>
        <v>72414.518518518526</v>
      </c>
      <c r="L948" s="25" t="s">
        <v>18</v>
      </c>
      <c r="M948" s="11"/>
      <c r="N948" s="11" t="s">
        <v>3329</v>
      </c>
    </row>
    <row r="949" spans="1:14" ht="45">
      <c r="A949" s="50" t="s">
        <v>3330</v>
      </c>
      <c r="B949" s="11" t="s">
        <v>3312</v>
      </c>
      <c r="C949" s="11" t="s">
        <v>3323</v>
      </c>
      <c r="D949" s="11" t="s">
        <v>3324</v>
      </c>
      <c r="E949" s="4" t="s">
        <v>3325</v>
      </c>
      <c r="F949" s="4" t="s">
        <v>3331</v>
      </c>
      <c r="G949" s="4" t="s">
        <v>3327</v>
      </c>
      <c r="H949" s="4" t="s">
        <v>34</v>
      </c>
      <c r="I949" s="6">
        <v>48147.8</v>
      </c>
      <c r="J949" s="6" t="s">
        <v>3328</v>
      </c>
      <c r="K949" s="6">
        <f>+I949/1/108*160</f>
        <v>71330.074074074088</v>
      </c>
      <c r="L949" s="25" t="s">
        <v>18</v>
      </c>
      <c r="M949" s="11"/>
      <c r="N949" s="11" t="s">
        <v>3329</v>
      </c>
    </row>
    <row r="950" spans="1:14" ht="22.5">
      <c r="A950" s="50" t="s">
        <v>3332</v>
      </c>
      <c r="B950" s="11" t="s">
        <v>3333</v>
      </c>
      <c r="C950" s="54" t="s">
        <v>3334</v>
      </c>
      <c r="D950" s="11" t="s">
        <v>3335</v>
      </c>
      <c r="E950" s="4" t="s">
        <v>71</v>
      </c>
      <c r="F950" s="4" t="s">
        <v>1078</v>
      </c>
      <c r="G950" s="4" t="s">
        <v>90</v>
      </c>
      <c r="H950" s="4" t="s">
        <v>16</v>
      </c>
      <c r="I950" s="33">
        <v>1429.3</v>
      </c>
      <c r="J950" s="6" t="s">
        <v>18</v>
      </c>
      <c r="K950" s="6" t="s">
        <v>18</v>
      </c>
      <c r="L950" s="4" t="s">
        <v>18</v>
      </c>
      <c r="M950" s="11"/>
      <c r="N950" s="11" t="s">
        <v>148</v>
      </c>
    </row>
    <row r="951" spans="1:14" ht="22.5">
      <c r="A951" s="50" t="s">
        <v>3336</v>
      </c>
      <c r="B951" s="11" t="s">
        <v>3337</v>
      </c>
      <c r="C951" s="11" t="s">
        <v>3338</v>
      </c>
      <c r="D951" s="11" t="s">
        <v>3339</v>
      </c>
      <c r="E951" s="4" t="s">
        <v>14</v>
      </c>
      <c r="F951" s="4" t="s">
        <v>3340</v>
      </c>
      <c r="G951" s="4" t="s">
        <v>3341</v>
      </c>
      <c r="H951" s="4" t="s">
        <v>34</v>
      </c>
      <c r="I951" s="6">
        <v>3099.7</v>
      </c>
      <c r="J951" s="6" t="s">
        <v>18</v>
      </c>
      <c r="K951" s="6" t="s">
        <v>18</v>
      </c>
      <c r="L951" s="4" t="s">
        <v>18</v>
      </c>
      <c r="M951" s="11"/>
      <c r="N951" s="11" t="s">
        <v>148</v>
      </c>
    </row>
    <row r="952" spans="1:14" ht="22.5">
      <c r="A952" s="50" t="s">
        <v>3342</v>
      </c>
      <c r="B952" s="11" t="s">
        <v>3337</v>
      </c>
      <c r="C952" s="11" t="s">
        <v>3338</v>
      </c>
      <c r="D952" s="11" t="s">
        <v>3339</v>
      </c>
      <c r="E952" s="4" t="s">
        <v>14</v>
      </c>
      <c r="F952" s="4" t="s">
        <v>3343</v>
      </c>
      <c r="G952" s="4" t="s">
        <v>3341</v>
      </c>
      <c r="H952" s="4" t="s">
        <v>34</v>
      </c>
      <c r="I952" s="6">
        <v>6644.5</v>
      </c>
      <c r="J952" s="6" t="s">
        <v>18</v>
      </c>
      <c r="K952" s="6" t="s">
        <v>18</v>
      </c>
      <c r="L952" s="4" t="s">
        <v>18</v>
      </c>
      <c r="M952" s="11"/>
      <c r="N952" s="11" t="s">
        <v>148</v>
      </c>
    </row>
    <row r="953" spans="1:14" ht="22.5">
      <c r="A953" s="50" t="s">
        <v>3344</v>
      </c>
      <c r="B953" s="11" t="s">
        <v>3345</v>
      </c>
      <c r="C953" s="11" t="s">
        <v>3346</v>
      </c>
      <c r="D953" s="11" t="s">
        <v>3347</v>
      </c>
      <c r="E953" s="4" t="s">
        <v>71</v>
      </c>
      <c r="F953" s="4" t="s">
        <v>3348</v>
      </c>
      <c r="G953" s="4" t="s">
        <v>3349</v>
      </c>
      <c r="H953" s="4" t="s">
        <v>155</v>
      </c>
      <c r="I953" s="6">
        <v>82264</v>
      </c>
      <c r="J953" s="6" t="s">
        <v>18</v>
      </c>
      <c r="K953" s="6" t="s">
        <v>18</v>
      </c>
      <c r="L953" s="4" t="s">
        <v>18</v>
      </c>
      <c r="M953" s="11" t="s">
        <v>3350</v>
      </c>
      <c r="N953" s="11" t="s">
        <v>3103</v>
      </c>
    </row>
    <row r="954" spans="1:14" ht="67.5">
      <c r="A954" s="50" t="s">
        <v>3351</v>
      </c>
      <c r="B954" s="13" t="s">
        <v>3345</v>
      </c>
      <c r="C954" s="11" t="s">
        <v>3346</v>
      </c>
      <c r="D954" s="11" t="s">
        <v>3352</v>
      </c>
      <c r="E954" s="4" t="s">
        <v>71</v>
      </c>
      <c r="F954" s="4" t="s">
        <v>3353</v>
      </c>
      <c r="G954" s="4" t="s">
        <v>3354</v>
      </c>
      <c r="H954" s="4" t="s">
        <v>3355</v>
      </c>
      <c r="I954" s="6">
        <v>44991.199999999997</v>
      </c>
      <c r="J954" s="6" t="s">
        <v>18</v>
      </c>
      <c r="K954" s="6" t="s">
        <v>18</v>
      </c>
      <c r="L954" s="4" t="s">
        <v>18</v>
      </c>
      <c r="M954" s="11" t="s">
        <v>3350</v>
      </c>
      <c r="N954" s="11" t="s">
        <v>3103</v>
      </c>
    </row>
    <row r="955" spans="1:14" ht="33.75">
      <c r="A955" s="50" t="s">
        <v>3619</v>
      </c>
      <c r="B955" s="13" t="s">
        <v>3345</v>
      </c>
      <c r="C955" s="11" t="s">
        <v>3346</v>
      </c>
      <c r="D955" s="11" t="s">
        <v>3620</v>
      </c>
      <c r="E955" s="4" t="s">
        <v>3621</v>
      </c>
      <c r="F955" s="4" t="s">
        <v>3622</v>
      </c>
      <c r="G955" s="4" t="s">
        <v>3623</v>
      </c>
      <c r="H955" s="4" t="s">
        <v>3624</v>
      </c>
      <c r="I955" s="6">
        <v>44991.199999999997</v>
      </c>
      <c r="J955" s="6" t="s">
        <v>18</v>
      </c>
      <c r="K955" s="6" t="s">
        <v>18</v>
      </c>
      <c r="L955" s="4" t="s">
        <v>18</v>
      </c>
      <c r="M955" s="11" t="s">
        <v>3350</v>
      </c>
      <c r="N955" s="11" t="s">
        <v>3103</v>
      </c>
    </row>
    <row r="956" spans="1:14" ht="67.5">
      <c r="A956" s="12">
        <v>1189130</v>
      </c>
      <c r="B956" s="12" t="s">
        <v>3356</v>
      </c>
      <c r="C956" s="12" t="s">
        <v>3357</v>
      </c>
      <c r="D956" s="11" t="s">
        <v>3358</v>
      </c>
      <c r="E956" s="42" t="s">
        <v>240</v>
      </c>
      <c r="F956" s="17" t="s">
        <v>3361</v>
      </c>
      <c r="G956" s="4" t="s">
        <v>3362</v>
      </c>
      <c r="H956" s="4" t="s">
        <v>34</v>
      </c>
      <c r="I956" s="6">
        <v>27796.9</v>
      </c>
      <c r="J956" s="6" t="s">
        <v>18</v>
      </c>
      <c r="K956" s="6" t="s">
        <v>18</v>
      </c>
      <c r="L956" s="4" t="s">
        <v>18</v>
      </c>
      <c r="M956" s="11" t="s">
        <v>3359</v>
      </c>
      <c r="N956" s="11" t="s">
        <v>3360</v>
      </c>
    </row>
    <row r="957" spans="1:14" ht="22.5">
      <c r="A957" s="50" t="s">
        <v>3363</v>
      </c>
      <c r="B957" s="11" t="s">
        <v>3364</v>
      </c>
      <c r="C957" s="11" t="s">
        <v>3367</v>
      </c>
      <c r="D957" s="11" t="s">
        <v>3365</v>
      </c>
      <c r="E957" s="4" t="s">
        <v>71</v>
      </c>
      <c r="F957" s="4" t="s">
        <v>3366</v>
      </c>
      <c r="G957" s="4" t="s">
        <v>3671</v>
      </c>
      <c r="H957" s="4" t="s">
        <v>2368</v>
      </c>
      <c r="I957" s="5">
        <v>3438</v>
      </c>
      <c r="J957" s="6" t="s">
        <v>84</v>
      </c>
      <c r="K957" s="6">
        <f>I957/10/50*60</f>
        <v>412.56</v>
      </c>
      <c r="L957" s="4" t="s">
        <v>18</v>
      </c>
      <c r="M957" s="11"/>
      <c r="N957" s="11" t="s">
        <v>148</v>
      </c>
    </row>
    <row r="958" spans="1:14" ht="45">
      <c r="A958" s="50" t="s">
        <v>3368</v>
      </c>
      <c r="B958" s="11" t="s">
        <v>3369</v>
      </c>
      <c r="C958" s="11" t="s">
        <v>3370</v>
      </c>
      <c r="D958" s="11" t="s">
        <v>3371</v>
      </c>
      <c r="E958" s="4" t="s">
        <v>71</v>
      </c>
      <c r="F958" s="4" t="s">
        <v>3372</v>
      </c>
      <c r="G958" s="4" t="s">
        <v>2053</v>
      </c>
      <c r="H958" s="4" t="s">
        <v>16</v>
      </c>
      <c r="I958" s="6">
        <v>21230.3</v>
      </c>
      <c r="J958" s="6" t="s">
        <v>18</v>
      </c>
      <c r="K958" s="6" t="s">
        <v>18</v>
      </c>
      <c r="L958" s="4" t="s">
        <v>18</v>
      </c>
      <c r="M958" s="11"/>
      <c r="N958" s="11"/>
    </row>
    <row r="959" spans="1:14" ht="33.75">
      <c r="A959" s="50" t="s">
        <v>3373</v>
      </c>
      <c r="B959" s="11" t="s">
        <v>3374</v>
      </c>
      <c r="C959" s="11" t="s">
        <v>3375</v>
      </c>
      <c r="D959" s="11" t="s">
        <v>3376</v>
      </c>
      <c r="E959" s="4" t="s">
        <v>3377</v>
      </c>
      <c r="F959" s="4" t="s">
        <v>3378</v>
      </c>
      <c r="G959" s="4" t="s">
        <v>90</v>
      </c>
      <c r="H959" s="4" t="s">
        <v>16</v>
      </c>
      <c r="I959" s="6">
        <v>695.8</v>
      </c>
      <c r="J959" s="6" t="s">
        <v>18</v>
      </c>
      <c r="K959" s="6" t="s">
        <v>18</v>
      </c>
      <c r="L959" s="4" t="s">
        <v>18</v>
      </c>
      <c r="M959" s="11"/>
      <c r="N959" s="11"/>
    </row>
    <row r="960" spans="1:14" ht="33.75">
      <c r="A960" s="88" t="s">
        <v>3379</v>
      </c>
      <c r="B960" s="62" t="s">
        <v>3374</v>
      </c>
      <c r="C960" s="90" t="s">
        <v>3375</v>
      </c>
      <c r="D960" s="90" t="s">
        <v>3380</v>
      </c>
      <c r="E960" s="128" t="s">
        <v>3377</v>
      </c>
      <c r="F960" s="129" t="s">
        <v>3540</v>
      </c>
      <c r="G960" s="128" t="s">
        <v>737</v>
      </c>
      <c r="H960" s="128" t="s">
        <v>734</v>
      </c>
      <c r="I960" s="6">
        <v>1665</v>
      </c>
      <c r="J960" s="24" t="s">
        <v>18</v>
      </c>
      <c r="K960" s="24" t="s">
        <v>18</v>
      </c>
      <c r="L960" s="57" t="s">
        <v>18</v>
      </c>
      <c r="M960" s="54"/>
      <c r="N960" s="54"/>
    </row>
    <row r="961" spans="1:14" ht="33.75">
      <c r="A961" s="88" t="s">
        <v>3381</v>
      </c>
      <c r="B961" s="62" t="s">
        <v>3374</v>
      </c>
      <c r="C961" s="90" t="s">
        <v>3375</v>
      </c>
      <c r="D961" s="90" t="s">
        <v>3380</v>
      </c>
      <c r="E961" s="128" t="s">
        <v>3377</v>
      </c>
      <c r="F961" s="129" t="s">
        <v>3382</v>
      </c>
      <c r="G961" s="128" t="s">
        <v>737</v>
      </c>
      <c r="H961" s="128" t="s">
        <v>734</v>
      </c>
      <c r="I961" s="6">
        <v>977.3</v>
      </c>
      <c r="J961" s="24" t="s">
        <v>18</v>
      </c>
      <c r="K961" s="24" t="s">
        <v>18</v>
      </c>
      <c r="L961" s="57" t="s">
        <v>18</v>
      </c>
      <c r="M961" s="54"/>
      <c r="N961" s="54"/>
    </row>
    <row r="962" spans="1:14" ht="33.75">
      <c r="A962" s="88" t="s">
        <v>3383</v>
      </c>
      <c r="B962" s="62" t="s">
        <v>3374</v>
      </c>
      <c r="C962" s="90" t="s">
        <v>3375</v>
      </c>
      <c r="D962" s="90" t="s">
        <v>3380</v>
      </c>
      <c r="E962" s="128" t="s">
        <v>3377</v>
      </c>
      <c r="F962" s="129" t="s">
        <v>3541</v>
      </c>
      <c r="G962" s="128" t="s">
        <v>737</v>
      </c>
      <c r="H962" s="128" t="s">
        <v>734</v>
      </c>
      <c r="I962" s="6">
        <v>1003.9</v>
      </c>
      <c r="J962" s="24" t="s">
        <v>18</v>
      </c>
      <c r="K962" s="24" t="s">
        <v>18</v>
      </c>
      <c r="L962" s="57" t="s">
        <v>18</v>
      </c>
      <c r="M962" s="54"/>
      <c r="N962" s="54"/>
    </row>
    <row r="963" spans="1:14" ht="22.5">
      <c r="A963" s="50" t="s">
        <v>3384</v>
      </c>
      <c r="B963" s="11" t="s">
        <v>3385</v>
      </c>
      <c r="C963" s="11" t="s">
        <v>3386</v>
      </c>
      <c r="D963" s="11" t="s">
        <v>3736</v>
      </c>
      <c r="E963" s="4" t="s">
        <v>71</v>
      </c>
      <c r="F963" s="4" t="s">
        <v>3387</v>
      </c>
      <c r="G963" s="4" t="s">
        <v>3388</v>
      </c>
      <c r="H963" s="4" t="s">
        <v>145</v>
      </c>
      <c r="I963" s="6">
        <v>9127.4</v>
      </c>
      <c r="J963" s="6" t="s">
        <v>18</v>
      </c>
      <c r="K963" s="6" t="s">
        <v>18</v>
      </c>
      <c r="L963" s="4" t="s">
        <v>18</v>
      </c>
      <c r="M963" s="11"/>
      <c r="N963" s="11" t="s">
        <v>148</v>
      </c>
    </row>
    <row r="964" spans="1:14" ht="22.5">
      <c r="A964" s="50" t="s">
        <v>3389</v>
      </c>
      <c r="B964" s="11" t="s">
        <v>3385</v>
      </c>
      <c r="C964" s="11" t="s">
        <v>3390</v>
      </c>
      <c r="D964" s="11" t="s">
        <v>3736</v>
      </c>
      <c r="E964" s="4" t="s">
        <v>3391</v>
      </c>
      <c r="F964" s="4" t="s">
        <v>3392</v>
      </c>
      <c r="G964" s="4" t="s">
        <v>3388</v>
      </c>
      <c r="H964" s="4" t="s">
        <v>145</v>
      </c>
      <c r="I964" s="6">
        <v>18289.900000000001</v>
      </c>
      <c r="J964" s="6" t="s">
        <v>18</v>
      </c>
      <c r="K964" s="6" t="s">
        <v>18</v>
      </c>
      <c r="L964" s="4" t="s">
        <v>18</v>
      </c>
      <c r="M964" s="11"/>
      <c r="N964" s="11" t="s">
        <v>148</v>
      </c>
    </row>
    <row r="965" spans="1:14" ht="22.5">
      <c r="A965" s="50" t="s">
        <v>3393</v>
      </c>
      <c r="B965" s="11" t="s">
        <v>3385</v>
      </c>
      <c r="C965" s="11" t="s">
        <v>3390</v>
      </c>
      <c r="D965" s="11" t="s">
        <v>3736</v>
      </c>
      <c r="E965" s="4" t="s">
        <v>3391</v>
      </c>
      <c r="F965" s="4" t="s">
        <v>3394</v>
      </c>
      <c r="G965" s="4" t="s">
        <v>3388</v>
      </c>
      <c r="H965" s="4" t="s">
        <v>145</v>
      </c>
      <c r="I965" s="6">
        <v>15202</v>
      </c>
      <c r="J965" s="6" t="s">
        <v>18</v>
      </c>
      <c r="K965" s="6" t="s">
        <v>18</v>
      </c>
      <c r="L965" s="4" t="s">
        <v>18</v>
      </c>
      <c r="M965" s="11"/>
      <c r="N965" s="11" t="s">
        <v>148</v>
      </c>
    </row>
    <row r="966" spans="1:14" ht="22.5">
      <c r="A966" s="50" t="s">
        <v>3395</v>
      </c>
      <c r="B966" s="11" t="s">
        <v>3385</v>
      </c>
      <c r="C966" s="11" t="s">
        <v>3386</v>
      </c>
      <c r="D966" s="11" t="s">
        <v>3736</v>
      </c>
      <c r="E966" s="4" t="s">
        <v>71</v>
      </c>
      <c r="F966" s="4" t="s">
        <v>3396</v>
      </c>
      <c r="G966" s="4" t="s">
        <v>3388</v>
      </c>
      <c r="H966" s="4" t="s">
        <v>145</v>
      </c>
      <c r="I966" s="6">
        <v>30404</v>
      </c>
      <c r="J966" s="6" t="s">
        <v>18</v>
      </c>
      <c r="K966" s="6" t="s">
        <v>18</v>
      </c>
      <c r="L966" s="4" t="s">
        <v>18</v>
      </c>
      <c r="M966" s="11"/>
      <c r="N966" s="11" t="s">
        <v>148</v>
      </c>
    </row>
    <row r="967" spans="1:14" ht="22.5">
      <c r="A967" s="50" t="s">
        <v>3397</v>
      </c>
      <c r="B967" s="11" t="s">
        <v>3385</v>
      </c>
      <c r="C967" s="11" t="s">
        <v>3386</v>
      </c>
      <c r="D967" s="11" t="s">
        <v>3736</v>
      </c>
      <c r="E967" s="4" t="s">
        <v>71</v>
      </c>
      <c r="F967" s="4" t="s">
        <v>3398</v>
      </c>
      <c r="G967" s="4" t="s">
        <v>3388</v>
      </c>
      <c r="H967" s="4" t="s">
        <v>145</v>
      </c>
      <c r="I967" s="6">
        <v>57750.2</v>
      </c>
      <c r="J967" s="6" t="s">
        <v>18</v>
      </c>
      <c r="K967" s="6" t="s">
        <v>18</v>
      </c>
      <c r="L967" s="4" t="s">
        <v>18</v>
      </c>
      <c r="M967" s="11"/>
      <c r="N967" s="11" t="s">
        <v>148</v>
      </c>
    </row>
    <row r="968" spans="1:14" ht="22.5">
      <c r="A968" s="50" t="s">
        <v>3399</v>
      </c>
      <c r="B968" s="11" t="s">
        <v>3385</v>
      </c>
      <c r="C968" s="11" t="s">
        <v>3386</v>
      </c>
      <c r="D968" s="11" t="s">
        <v>3736</v>
      </c>
      <c r="E968" s="4" t="s">
        <v>71</v>
      </c>
      <c r="F968" s="4" t="s">
        <v>3400</v>
      </c>
      <c r="G968" s="4" t="s">
        <v>3401</v>
      </c>
      <c r="H968" s="4" t="s">
        <v>145</v>
      </c>
      <c r="I968" s="6">
        <v>89613.8</v>
      </c>
      <c r="J968" s="6" t="s">
        <v>18</v>
      </c>
      <c r="K968" s="6" t="s">
        <v>18</v>
      </c>
      <c r="L968" s="4" t="s">
        <v>18</v>
      </c>
      <c r="M968" s="11"/>
      <c r="N968" s="11" t="s">
        <v>148</v>
      </c>
    </row>
    <row r="969" spans="1:14" ht="33.75">
      <c r="A969" s="50" t="s">
        <v>3402</v>
      </c>
      <c r="B969" s="11" t="s">
        <v>3403</v>
      </c>
      <c r="C969" s="11" t="s">
        <v>3404</v>
      </c>
      <c r="D969" s="11" t="s">
        <v>3405</v>
      </c>
      <c r="E969" s="4" t="s">
        <v>166</v>
      </c>
      <c r="F969" s="4" t="s">
        <v>3406</v>
      </c>
      <c r="G969" s="4" t="s">
        <v>3407</v>
      </c>
      <c r="H969" s="4" t="s">
        <v>3408</v>
      </c>
      <c r="I969" s="6">
        <v>17036.2</v>
      </c>
      <c r="J969" s="6" t="s">
        <v>18</v>
      </c>
      <c r="K969" s="6" t="s">
        <v>18</v>
      </c>
      <c r="L969" s="4" t="s">
        <v>18</v>
      </c>
      <c r="M969" s="11"/>
      <c r="N969" s="11" t="s">
        <v>148</v>
      </c>
    </row>
    <row r="970" spans="1:14" ht="33.75">
      <c r="A970" s="50" t="s">
        <v>3409</v>
      </c>
      <c r="B970" s="11" t="s">
        <v>3403</v>
      </c>
      <c r="C970" s="11" t="s">
        <v>3404</v>
      </c>
      <c r="D970" s="11" t="s">
        <v>3405</v>
      </c>
      <c r="E970" s="4" t="s">
        <v>166</v>
      </c>
      <c r="F970" s="4" t="s">
        <v>3410</v>
      </c>
      <c r="G970" s="4" t="s">
        <v>3407</v>
      </c>
      <c r="H970" s="4" t="s">
        <v>3408</v>
      </c>
      <c r="I970" s="6">
        <v>32619.5</v>
      </c>
      <c r="J970" s="6" t="s">
        <v>18</v>
      </c>
      <c r="K970" s="6" t="s">
        <v>18</v>
      </c>
      <c r="L970" s="4" t="s">
        <v>18</v>
      </c>
      <c r="M970" s="11"/>
      <c r="N970" s="11" t="s">
        <v>148</v>
      </c>
    </row>
    <row r="971" spans="1:14" ht="33.75">
      <c r="A971" s="50" t="s">
        <v>3411</v>
      </c>
      <c r="B971" s="11" t="s">
        <v>3403</v>
      </c>
      <c r="C971" s="11" t="s">
        <v>3404</v>
      </c>
      <c r="D971" s="11" t="s">
        <v>3405</v>
      </c>
      <c r="E971" s="4" t="s">
        <v>166</v>
      </c>
      <c r="F971" s="4" t="s">
        <v>3412</v>
      </c>
      <c r="G971" s="4" t="s">
        <v>3407</v>
      </c>
      <c r="H971" s="4" t="s">
        <v>3408</v>
      </c>
      <c r="I971" s="6">
        <v>65672.5</v>
      </c>
      <c r="J971" s="6" t="s">
        <v>18</v>
      </c>
      <c r="K971" s="6" t="s">
        <v>18</v>
      </c>
      <c r="L971" s="6" t="s">
        <v>18</v>
      </c>
      <c r="M971" s="11"/>
      <c r="N971" s="11" t="s">
        <v>148</v>
      </c>
    </row>
    <row r="972" spans="1:14" ht="33.75">
      <c r="A972" s="50" t="s">
        <v>3413</v>
      </c>
      <c r="B972" s="11" t="s">
        <v>3403</v>
      </c>
      <c r="C972" s="11" t="s">
        <v>3404</v>
      </c>
      <c r="D972" s="11" t="s">
        <v>3405</v>
      </c>
      <c r="E972" s="4" t="s">
        <v>166</v>
      </c>
      <c r="F972" s="4" t="s">
        <v>3414</v>
      </c>
      <c r="G972" s="4" t="s">
        <v>3407</v>
      </c>
      <c r="H972" s="4" t="s">
        <v>3408</v>
      </c>
      <c r="I972" s="6">
        <v>131345</v>
      </c>
      <c r="J972" s="6" t="s">
        <v>18</v>
      </c>
      <c r="K972" s="6" t="s">
        <v>18</v>
      </c>
      <c r="L972" s="6" t="s">
        <v>18</v>
      </c>
      <c r="M972" s="11"/>
      <c r="N972" s="11" t="s">
        <v>148</v>
      </c>
    </row>
    <row r="973" spans="1:14" ht="22.5">
      <c r="A973" s="50" t="s">
        <v>3419</v>
      </c>
      <c r="B973" s="11" t="s">
        <v>3415</v>
      </c>
      <c r="C973" s="11" t="s">
        <v>3416</v>
      </c>
      <c r="D973" s="11" t="s">
        <v>3417</v>
      </c>
      <c r="E973" s="4" t="s">
        <v>3418</v>
      </c>
      <c r="F973" s="4" t="s">
        <v>3420</v>
      </c>
      <c r="G973" s="4" t="s">
        <v>3566</v>
      </c>
      <c r="H973" s="4" t="s">
        <v>3567</v>
      </c>
      <c r="I973" s="6">
        <v>62712.6</v>
      </c>
      <c r="J973" s="6" t="s">
        <v>18</v>
      </c>
      <c r="K973" s="6" t="s">
        <v>18</v>
      </c>
      <c r="L973" s="6" t="s">
        <v>18</v>
      </c>
      <c r="M973" s="11"/>
      <c r="N973" s="11" t="s">
        <v>148</v>
      </c>
    </row>
    <row r="974" spans="1:14" ht="22.5">
      <c r="A974" s="50" t="s">
        <v>3422</v>
      </c>
      <c r="B974" s="11" t="s">
        <v>3415</v>
      </c>
      <c r="C974" s="11" t="s">
        <v>3416</v>
      </c>
      <c r="D974" s="11" t="s">
        <v>3421</v>
      </c>
      <c r="E974" s="4" t="s">
        <v>3418</v>
      </c>
      <c r="F974" s="4" t="s">
        <v>3423</v>
      </c>
      <c r="G974" s="4" t="s">
        <v>3566</v>
      </c>
      <c r="H974" s="4" t="s">
        <v>3567</v>
      </c>
      <c r="I974" s="6">
        <v>33006.5</v>
      </c>
      <c r="J974" s="6" t="s">
        <v>18</v>
      </c>
      <c r="K974" s="6" t="s">
        <v>18</v>
      </c>
      <c r="L974" s="6" t="s">
        <v>18</v>
      </c>
      <c r="M974" s="11"/>
      <c r="N974" s="11" t="s">
        <v>148</v>
      </c>
    </row>
    <row r="975" spans="1:14" ht="22.5">
      <c r="A975" s="50" t="s">
        <v>3424</v>
      </c>
      <c r="B975" s="11" t="s">
        <v>3415</v>
      </c>
      <c r="C975" s="11" t="s">
        <v>3416</v>
      </c>
      <c r="D975" s="11" t="s">
        <v>3421</v>
      </c>
      <c r="E975" s="4" t="s">
        <v>3418</v>
      </c>
      <c r="F975" s="4" t="s">
        <v>3425</v>
      </c>
      <c r="G975" s="4" t="s">
        <v>3566</v>
      </c>
      <c r="H975" s="4" t="s">
        <v>3567</v>
      </c>
      <c r="I975" s="6">
        <v>53569.5</v>
      </c>
      <c r="J975" s="6" t="s">
        <v>18</v>
      </c>
      <c r="K975" s="6" t="s">
        <v>18</v>
      </c>
      <c r="L975" s="6" t="s">
        <v>18</v>
      </c>
      <c r="M975" s="11"/>
      <c r="N975" s="11" t="s">
        <v>148</v>
      </c>
    </row>
    <row r="976" spans="1:14" ht="22.5">
      <c r="A976" s="50" t="s">
        <v>3426</v>
      </c>
      <c r="B976" s="11" t="s">
        <v>3415</v>
      </c>
      <c r="C976" s="11" t="s">
        <v>3416</v>
      </c>
      <c r="D976" s="11" t="s">
        <v>3421</v>
      </c>
      <c r="E976" s="4" t="s">
        <v>3418</v>
      </c>
      <c r="F976" s="4" t="s">
        <v>3427</v>
      </c>
      <c r="G976" s="4" t="s">
        <v>3566</v>
      </c>
      <c r="H976" s="4" t="s">
        <v>3567</v>
      </c>
      <c r="I976" s="6">
        <v>62712.6</v>
      </c>
      <c r="J976" s="6" t="s">
        <v>18</v>
      </c>
      <c r="K976" s="6" t="s">
        <v>18</v>
      </c>
      <c r="L976" s="6" t="s">
        <v>18</v>
      </c>
      <c r="M976" s="11"/>
      <c r="N976" s="11" t="s">
        <v>148</v>
      </c>
    </row>
    <row r="977" spans="1:14" ht="22.5">
      <c r="A977" s="50" t="s">
        <v>3681</v>
      </c>
      <c r="B977" s="12" t="s">
        <v>3415</v>
      </c>
      <c r="C977" s="11" t="s">
        <v>3416</v>
      </c>
      <c r="D977" s="11" t="s">
        <v>3417</v>
      </c>
      <c r="E977" s="4" t="s">
        <v>14</v>
      </c>
      <c r="F977" s="4" t="s">
        <v>3428</v>
      </c>
      <c r="G977" s="4" t="s">
        <v>3566</v>
      </c>
      <c r="H977" s="4" t="s">
        <v>3567</v>
      </c>
      <c r="I977" s="6">
        <v>125425.2</v>
      </c>
      <c r="J977" s="6" t="s">
        <v>18</v>
      </c>
      <c r="K977" s="6" t="s">
        <v>18</v>
      </c>
      <c r="L977" s="6" t="s">
        <v>18</v>
      </c>
      <c r="M977" s="11"/>
      <c r="N977" s="11" t="s">
        <v>148</v>
      </c>
    </row>
    <row r="978" spans="1:14" ht="22.5">
      <c r="A978" s="50" t="s">
        <v>3429</v>
      </c>
      <c r="B978" s="12" t="s">
        <v>3415</v>
      </c>
      <c r="C978" s="11" t="s">
        <v>3416</v>
      </c>
      <c r="D978" s="11" t="s">
        <v>3421</v>
      </c>
      <c r="E978" s="4" t="s">
        <v>14</v>
      </c>
      <c r="F978" s="4" t="s">
        <v>3430</v>
      </c>
      <c r="G978" s="4" t="s">
        <v>3566</v>
      </c>
      <c r="H978" s="4" t="s">
        <v>3567</v>
      </c>
      <c r="I978" s="6">
        <v>125425.2</v>
      </c>
      <c r="J978" s="6" t="s">
        <v>18</v>
      </c>
      <c r="K978" s="6" t="s">
        <v>18</v>
      </c>
      <c r="L978" s="6" t="s">
        <v>18</v>
      </c>
      <c r="M978" s="11"/>
      <c r="N978" s="11" t="s">
        <v>148</v>
      </c>
    </row>
    <row r="979" spans="1:14" ht="33.75">
      <c r="A979" s="50" t="s">
        <v>3431</v>
      </c>
      <c r="B979" s="11" t="s">
        <v>3432</v>
      </c>
      <c r="C979" s="11" t="s">
        <v>3433</v>
      </c>
      <c r="D979" s="11" t="s">
        <v>3694</v>
      </c>
      <c r="E979" s="4" t="s">
        <v>71</v>
      </c>
      <c r="F979" s="4" t="s">
        <v>3737</v>
      </c>
      <c r="G979" s="4" t="s">
        <v>3570</v>
      </c>
      <c r="H979" s="4" t="s">
        <v>3571</v>
      </c>
      <c r="I979" s="6">
        <v>13931.2</v>
      </c>
      <c r="J979" s="6" t="s">
        <v>18</v>
      </c>
      <c r="K979" s="6" t="s">
        <v>18</v>
      </c>
      <c r="L979" s="6" t="s">
        <v>18</v>
      </c>
      <c r="M979" s="11"/>
      <c r="N979" s="11"/>
    </row>
    <row r="980" spans="1:14" ht="33.75">
      <c r="A980" s="50" t="s">
        <v>3434</v>
      </c>
      <c r="B980" s="11" t="s">
        <v>3432</v>
      </c>
      <c r="C980" s="11" t="s">
        <v>3433</v>
      </c>
      <c r="D980" s="11" t="s">
        <v>3694</v>
      </c>
      <c r="E980" s="4" t="s">
        <v>71</v>
      </c>
      <c r="F980" s="4" t="s">
        <v>3738</v>
      </c>
      <c r="G980" s="4" t="s">
        <v>3570</v>
      </c>
      <c r="H980" s="4" t="s">
        <v>3571</v>
      </c>
      <c r="I980" s="6">
        <v>28905.3</v>
      </c>
      <c r="J980" s="6" t="s">
        <v>18</v>
      </c>
      <c r="K980" s="6" t="s">
        <v>18</v>
      </c>
      <c r="L980" s="6" t="s">
        <v>18</v>
      </c>
      <c r="M980" s="11"/>
      <c r="N980" s="11"/>
    </row>
    <row r="981" spans="1:14" ht="33.75">
      <c r="A981" s="53" t="s">
        <v>3568</v>
      </c>
      <c r="B981" s="53" t="s">
        <v>3432</v>
      </c>
      <c r="C981" s="53" t="s">
        <v>3433</v>
      </c>
      <c r="D981" s="53" t="s">
        <v>3694</v>
      </c>
      <c r="E981" s="133" t="s">
        <v>71</v>
      </c>
      <c r="F981" s="133" t="s">
        <v>3569</v>
      </c>
      <c r="G981" s="133" t="s">
        <v>3570</v>
      </c>
      <c r="H981" s="17" t="s">
        <v>3571</v>
      </c>
      <c r="I981" s="6">
        <v>13931.2</v>
      </c>
      <c r="J981" s="6" t="s">
        <v>18</v>
      </c>
      <c r="K981" s="6" t="s">
        <v>18</v>
      </c>
      <c r="L981" s="6" t="s">
        <v>18</v>
      </c>
      <c r="M981" s="11"/>
      <c r="N981" s="11"/>
    </row>
    <row r="982" spans="1:14" ht="33.75">
      <c r="A982" s="53" t="s">
        <v>3572</v>
      </c>
      <c r="B982" s="53" t="s">
        <v>3432</v>
      </c>
      <c r="C982" s="53" t="s">
        <v>3433</v>
      </c>
      <c r="D982" s="53" t="s">
        <v>3694</v>
      </c>
      <c r="E982" s="133" t="s">
        <v>71</v>
      </c>
      <c r="F982" s="133" t="s">
        <v>3573</v>
      </c>
      <c r="G982" s="133" t="s">
        <v>3570</v>
      </c>
      <c r="H982" s="17" t="s">
        <v>3571</v>
      </c>
      <c r="I982" s="6">
        <v>28905.3</v>
      </c>
      <c r="J982" s="6" t="s">
        <v>18</v>
      </c>
      <c r="K982" s="6" t="s">
        <v>18</v>
      </c>
      <c r="L982" s="6" t="s">
        <v>18</v>
      </c>
      <c r="M982" s="11"/>
      <c r="N982" s="11"/>
    </row>
    <row r="983" spans="1:14" ht="33.75">
      <c r="A983" s="53" t="s">
        <v>3574</v>
      </c>
      <c r="B983" s="53" t="s">
        <v>3432</v>
      </c>
      <c r="C983" s="53" t="s">
        <v>3433</v>
      </c>
      <c r="D983" s="53" t="s">
        <v>3694</v>
      </c>
      <c r="E983" s="133" t="s">
        <v>71</v>
      </c>
      <c r="F983" s="133" t="s">
        <v>3575</v>
      </c>
      <c r="G983" s="133" t="s">
        <v>3570</v>
      </c>
      <c r="H983" s="17" t="s">
        <v>3571</v>
      </c>
      <c r="I983" s="6">
        <v>57283.3</v>
      </c>
      <c r="J983" s="6" t="s">
        <v>18</v>
      </c>
      <c r="K983" s="6" t="s">
        <v>18</v>
      </c>
      <c r="L983" s="6" t="s">
        <v>18</v>
      </c>
      <c r="M983" s="11"/>
      <c r="N983" s="11"/>
    </row>
    <row r="984" spans="1:14" ht="33.75">
      <c r="A984" s="50" t="s">
        <v>3439</v>
      </c>
      <c r="B984" s="11" t="s">
        <v>3435</v>
      </c>
      <c r="C984" s="11" t="s">
        <v>3436</v>
      </c>
      <c r="D984" s="11" t="s">
        <v>3440</v>
      </c>
      <c r="E984" s="4" t="s">
        <v>71</v>
      </c>
      <c r="F984" s="4" t="s">
        <v>3441</v>
      </c>
      <c r="G984" s="4" t="s">
        <v>3437</v>
      </c>
      <c r="H984" s="4" t="s">
        <v>3438</v>
      </c>
      <c r="I984" s="6">
        <v>3041.6</v>
      </c>
      <c r="J984" s="6" t="s">
        <v>18</v>
      </c>
      <c r="K984" s="6" t="s">
        <v>18</v>
      </c>
      <c r="L984" s="6" t="s">
        <v>18</v>
      </c>
      <c r="M984" s="11"/>
      <c r="N984" s="11" t="s">
        <v>148</v>
      </c>
    </row>
    <row r="985" spans="1:14" ht="33.75">
      <c r="A985" s="50" t="s">
        <v>3442</v>
      </c>
      <c r="B985" s="11" t="s">
        <v>3435</v>
      </c>
      <c r="C985" s="11" t="s">
        <v>3436</v>
      </c>
      <c r="D985" s="11" t="s">
        <v>3440</v>
      </c>
      <c r="E985" s="4" t="s">
        <v>71</v>
      </c>
      <c r="F985" s="4" t="s">
        <v>3443</v>
      </c>
      <c r="G985" s="4" t="s">
        <v>3437</v>
      </c>
      <c r="H985" s="4" t="s">
        <v>3438</v>
      </c>
      <c r="I985" s="6">
        <v>5887</v>
      </c>
      <c r="J985" s="6" t="s">
        <v>18</v>
      </c>
      <c r="K985" s="6" t="s">
        <v>18</v>
      </c>
      <c r="L985" s="6" t="s">
        <v>18</v>
      </c>
      <c r="M985" s="11"/>
      <c r="N985" s="11" t="s">
        <v>148</v>
      </c>
    </row>
    <row r="986" spans="1:14" ht="33.75">
      <c r="A986" s="50" t="s">
        <v>3444</v>
      </c>
      <c r="B986" s="11" t="s">
        <v>3435</v>
      </c>
      <c r="C986" s="11" t="s">
        <v>3436</v>
      </c>
      <c r="D986" s="11" t="s">
        <v>3440</v>
      </c>
      <c r="E986" s="4" t="s">
        <v>71</v>
      </c>
      <c r="F986" s="4" t="s">
        <v>3445</v>
      </c>
      <c r="G986" s="4" t="s">
        <v>3437</v>
      </c>
      <c r="H986" s="4" t="s">
        <v>3438</v>
      </c>
      <c r="I986" s="6">
        <v>15208.1</v>
      </c>
      <c r="J986" s="6" t="s">
        <v>18</v>
      </c>
      <c r="K986" s="6" t="s">
        <v>18</v>
      </c>
      <c r="L986" s="6" t="s">
        <v>18</v>
      </c>
      <c r="M986" s="11"/>
      <c r="N986" s="11" t="s">
        <v>148</v>
      </c>
    </row>
    <row r="987" spans="1:14" ht="33.75">
      <c r="A987" s="50" t="s">
        <v>3446</v>
      </c>
      <c r="B987" s="11" t="s">
        <v>3435</v>
      </c>
      <c r="C987" s="11" t="s">
        <v>3436</v>
      </c>
      <c r="D987" s="11" t="s">
        <v>3447</v>
      </c>
      <c r="E987" s="4" t="s">
        <v>71</v>
      </c>
      <c r="F987" s="4" t="s">
        <v>3448</v>
      </c>
      <c r="G987" s="4" t="s">
        <v>3437</v>
      </c>
      <c r="H987" s="4" t="s">
        <v>3438</v>
      </c>
      <c r="I987" s="6">
        <v>3699</v>
      </c>
      <c r="J987" s="6" t="s">
        <v>18</v>
      </c>
      <c r="K987" s="6" t="s">
        <v>18</v>
      </c>
      <c r="L987" s="6" t="s">
        <v>18</v>
      </c>
      <c r="M987" s="11"/>
      <c r="N987" s="11" t="s">
        <v>148</v>
      </c>
    </row>
    <row r="988" spans="1:14" ht="33.75">
      <c r="A988" s="50" t="s">
        <v>3449</v>
      </c>
      <c r="B988" s="11" t="s">
        <v>3435</v>
      </c>
      <c r="C988" s="11" t="s">
        <v>3436</v>
      </c>
      <c r="D988" s="11" t="s">
        <v>3447</v>
      </c>
      <c r="E988" s="4" t="s">
        <v>71</v>
      </c>
      <c r="F988" s="4" t="s">
        <v>3450</v>
      </c>
      <c r="G988" s="4" t="s">
        <v>3437</v>
      </c>
      <c r="H988" s="4" t="s">
        <v>3438</v>
      </c>
      <c r="I988" s="6">
        <v>6691.4</v>
      </c>
      <c r="J988" s="6" t="s">
        <v>18</v>
      </c>
      <c r="K988" s="6" t="s">
        <v>18</v>
      </c>
      <c r="L988" s="6" t="s">
        <v>18</v>
      </c>
      <c r="M988" s="11"/>
      <c r="N988" s="11" t="s">
        <v>148</v>
      </c>
    </row>
    <row r="989" spans="1:14" ht="33.75">
      <c r="A989" s="50" t="s">
        <v>3451</v>
      </c>
      <c r="B989" s="11" t="s">
        <v>3435</v>
      </c>
      <c r="C989" s="11" t="s">
        <v>3436</v>
      </c>
      <c r="D989" s="11" t="s">
        <v>3447</v>
      </c>
      <c r="E989" s="4" t="s">
        <v>71</v>
      </c>
      <c r="F989" s="4" t="s">
        <v>3452</v>
      </c>
      <c r="G989" s="4" t="s">
        <v>3437</v>
      </c>
      <c r="H989" s="4" t="s">
        <v>3438</v>
      </c>
      <c r="I989" s="6">
        <v>18600</v>
      </c>
      <c r="J989" s="6" t="s">
        <v>18</v>
      </c>
      <c r="K989" s="6" t="s">
        <v>18</v>
      </c>
      <c r="L989" s="6" t="s">
        <v>18</v>
      </c>
      <c r="M989" s="11"/>
      <c r="N989" s="11" t="s">
        <v>148</v>
      </c>
    </row>
    <row r="990" spans="1:14" ht="45">
      <c r="A990" s="50" t="s">
        <v>3453</v>
      </c>
      <c r="B990" s="11" t="s">
        <v>3454</v>
      </c>
      <c r="C990" s="11" t="s">
        <v>3455</v>
      </c>
      <c r="D990" s="11" t="s">
        <v>3456</v>
      </c>
      <c r="E990" s="4" t="s">
        <v>71</v>
      </c>
      <c r="F990" s="4" t="s">
        <v>3457</v>
      </c>
      <c r="G990" s="4" t="s">
        <v>3458</v>
      </c>
      <c r="H990" s="4" t="s">
        <v>34</v>
      </c>
      <c r="I990" s="6">
        <v>778.9</v>
      </c>
      <c r="J990" s="6" t="s">
        <v>18</v>
      </c>
      <c r="K990" s="6" t="s">
        <v>18</v>
      </c>
      <c r="L990" s="4" t="s">
        <v>18</v>
      </c>
      <c r="M990" s="11"/>
      <c r="N990" s="11" t="s">
        <v>148</v>
      </c>
    </row>
    <row r="991" spans="1:14" ht="45">
      <c r="A991" s="50" t="s">
        <v>3459</v>
      </c>
      <c r="B991" s="11" t="s">
        <v>3454</v>
      </c>
      <c r="C991" s="11" t="s">
        <v>3455</v>
      </c>
      <c r="D991" s="11" t="s">
        <v>3456</v>
      </c>
      <c r="E991" s="4" t="s">
        <v>71</v>
      </c>
      <c r="F991" s="4" t="s">
        <v>3460</v>
      </c>
      <c r="G991" s="4" t="s">
        <v>3458</v>
      </c>
      <c r="H991" s="4" t="s">
        <v>34</v>
      </c>
      <c r="I991" s="6">
        <v>7789</v>
      </c>
      <c r="J991" s="6" t="s">
        <v>18</v>
      </c>
      <c r="K991" s="6" t="s">
        <v>18</v>
      </c>
      <c r="L991" s="4" t="s">
        <v>18</v>
      </c>
      <c r="M991" s="11"/>
      <c r="N991" s="11" t="s">
        <v>148</v>
      </c>
    </row>
    <row r="992" spans="1:14" ht="45">
      <c r="A992" s="50" t="s">
        <v>3461</v>
      </c>
      <c r="B992" s="11" t="s">
        <v>3454</v>
      </c>
      <c r="C992" s="11" t="s">
        <v>3455</v>
      </c>
      <c r="D992" s="11" t="s">
        <v>3456</v>
      </c>
      <c r="E992" s="4" t="s">
        <v>71</v>
      </c>
      <c r="F992" s="4" t="s">
        <v>3462</v>
      </c>
      <c r="G992" s="4" t="s">
        <v>3458</v>
      </c>
      <c r="H992" s="4" t="s">
        <v>34</v>
      </c>
      <c r="I992" s="6">
        <v>1557.7</v>
      </c>
      <c r="J992" s="6" t="s">
        <v>18</v>
      </c>
      <c r="K992" s="6" t="s">
        <v>18</v>
      </c>
      <c r="L992" s="4" t="s">
        <v>18</v>
      </c>
      <c r="M992" s="11"/>
      <c r="N992" s="11" t="s">
        <v>148</v>
      </c>
    </row>
    <row r="993" spans="1:14" ht="45">
      <c r="A993" s="50" t="s">
        <v>3463</v>
      </c>
      <c r="B993" s="11" t="s">
        <v>3454</v>
      </c>
      <c r="C993" s="11" t="s">
        <v>3455</v>
      </c>
      <c r="D993" s="11" t="s">
        <v>3456</v>
      </c>
      <c r="E993" s="4" t="s">
        <v>71</v>
      </c>
      <c r="F993" s="4" t="s">
        <v>3464</v>
      </c>
      <c r="G993" s="4" t="s">
        <v>3458</v>
      </c>
      <c r="H993" s="4" t="s">
        <v>34</v>
      </c>
      <c r="I993" s="6">
        <v>15577</v>
      </c>
      <c r="J993" s="6" t="s">
        <v>18</v>
      </c>
      <c r="K993" s="6" t="s">
        <v>18</v>
      </c>
      <c r="L993" s="4" t="s">
        <v>18</v>
      </c>
      <c r="M993" s="11"/>
      <c r="N993" s="11" t="s">
        <v>148</v>
      </c>
    </row>
    <row r="994" spans="1:14" ht="45">
      <c r="A994" s="50" t="s">
        <v>3465</v>
      </c>
      <c r="B994" s="11" t="s">
        <v>3454</v>
      </c>
      <c r="C994" s="11" t="s">
        <v>3455</v>
      </c>
      <c r="D994" s="11" t="s">
        <v>3456</v>
      </c>
      <c r="E994" s="4" t="s">
        <v>71</v>
      </c>
      <c r="F994" s="4" t="s">
        <v>3466</v>
      </c>
      <c r="G994" s="4" t="s">
        <v>3458</v>
      </c>
      <c r="H994" s="4" t="s">
        <v>34</v>
      </c>
      <c r="I994" s="6">
        <v>2335.9</v>
      </c>
      <c r="J994" s="6" t="s">
        <v>18</v>
      </c>
      <c r="K994" s="6" t="s">
        <v>18</v>
      </c>
      <c r="L994" s="4" t="s">
        <v>18</v>
      </c>
      <c r="M994" s="11"/>
      <c r="N994" s="11" t="s">
        <v>148</v>
      </c>
    </row>
    <row r="995" spans="1:14" ht="45">
      <c r="A995" s="50" t="s">
        <v>3467</v>
      </c>
      <c r="B995" s="11" t="s">
        <v>3454</v>
      </c>
      <c r="C995" s="11" t="s">
        <v>3455</v>
      </c>
      <c r="D995" s="11" t="s">
        <v>3456</v>
      </c>
      <c r="E995" s="4" t="s">
        <v>71</v>
      </c>
      <c r="F995" s="4" t="s">
        <v>3468</v>
      </c>
      <c r="G995" s="4" t="s">
        <v>3458</v>
      </c>
      <c r="H995" s="4" t="s">
        <v>34</v>
      </c>
      <c r="I995" s="6">
        <v>23359</v>
      </c>
      <c r="J995" s="6" t="s">
        <v>18</v>
      </c>
      <c r="K995" s="6" t="s">
        <v>18</v>
      </c>
      <c r="L995" s="4" t="s">
        <v>18</v>
      </c>
      <c r="M995" s="11"/>
      <c r="N995" s="11" t="s">
        <v>148</v>
      </c>
    </row>
    <row r="996" spans="1:14" ht="45">
      <c r="A996" s="50" t="s">
        <v>3469</v>
      </c>
      <c r="B996" s="11" t="s">
        <v>3454</v>
      </c>
      <c r="C996" s="11" t="s">
        <v>3455</v>
      </c>
      <c r="D996" s="11" t="s">
        <v>3456</v>
      </c>
      <c r="E996" s="4" t="s">
        <v>71</v>
      </c>
      <c r="F996" s="4" t="s">
        <v>3470</v>
      </c>
      <c r="G996" s="4" t="s">
        <v>3458</v>
      </c>
      <c r="H996" s="4" t="s">
        <v>34</v>
      </c>
      <c r="I996" s="6">
        <v>2366.9</v>
      </c>
      <c r="J996" s="6" t="s">
        <v>18</v>
      </c>
      <c r="K996" s="6" t="s">
        <v>18</v>
      </c>
      <c r="L996" s="4" t="s">
        <v>18</v>
      </c>
      <c r="M996" s="11"/>
      <c r="N996" s="11" t="s">
        <v>148</v>
      </c>
    </row>
    <row r="997" spans="1:14" ht="45">
      <c r="A997" s="50" t="s">
        <v>3471</v>
      </c>
      <c r="B997" s="11" t="s">
        <v>3454</v>
      </c>
      <c r="C997" s="11" t="s">
        <v>3455</v>
      </c>
      <c r="D997" s="11" t="s">
        <v>3456</v>
      </c>
      <c r="E997" s="4" t="s">
        <v>71</v>
      </c>
      <c r="F997" s="4" t="s">
        <v>3472</v>
      </c>
      <c r="G997" s="4" t="s">
        <v>3458</v>
      </c>
      <c r="H997" s="4" t="s">
        <v>34</v>
      </c>
      <c r="I997" s="6">
        <v>23668.9</v>
      </c>
      <c r="J997" s="6" t="s">
        <v>18</v>
      </c>
      <c r="K997" s="6" t="s">
        <v>18</v>
      </c>
      <c r="L997" s="4" t="s">
        <v>18</v>
      </c>
      <c r="M997" s="11"/>
      <c r="N997" s="11" t="s">
        <v>148</v>
      </c>
    </row>
    <row r="998" spans="1:14" ht="45">
      <c r="A998" s="50" t="s">
        <v>3473</v>
      </c>
      <c r="B998" s="11" t="s">
        <v>3454</v>
      </c>
      <c r="C998" s="11" t="s">
        <v>3455</v>
      </c>
      <c r="D998" s="11" t="s">
        <v>3456</v>
      </c>
      <c r="E998" s="4" t="s">
        <v>71</v>
      </c>
      <c r="F998" s="4" t="s">
        <v>3474</v>
      </c>
      <c r="G998" s="4" t="s">
        <v>3458</v>
      </c>
      <c r="H998" s="4" t="s">
        <v>34</v>
      </c>
      <c r="I998" s="6">
        <v>3551.2</v>
      </c>
      <c r="J998" s="6" t="s">
        <v>18</v>
      </c>
      <c r="K998" s="6" t="s">
        <v>18</v>
      </c>
      <c r="L998" s="4" t="s">
        <v>18</v>
      </c>
      <c r="M998" s="11"/>
      <c r="N998" s="11" t="s">
        <v>148</v>
      </c>
    </row>
    <row r="999" spans="1:14" ht="45">
      <c r="A999" s="50" t="s">
        <v>3475</v>
      </c>
      <c r="B999" s="11" t="s">
        <v>3454</v>
      </c>
      <c r="C999" s="11" t="s">
        <v>3455</v>
      </c>
      <c r="D999" s="11" t="s">
        <v>3456</v>
      </c>
      <c r="E999" s="4" t="s">
        <v>71</v>
      </c>
      <c r="F999" s="4" t="s">
        <v>3476</v>
      </c>
      <c r="G999" s="4" t="s">
        <v>3458</v>
      </c>
      <c r="H999" s="4" t="s">
        <v>34</v>
      </c>
      <c r="I999" s="6">
        <v>35511.800000000003</v>
      </c>
      <c r="J999" s="4" t="s">
        <v>18</v>
      </c>
      <c r="K999" s="4" t="s">
        <v>18</v>
      </c>
      <c r="L999" s="4" t="s">
        <v>18</v>
      </c>
      <c r="M999" s="11"/>
      <c r="N999" s="11" t="s">
        <v>148</v>
      </c>
    </row>
    <row r="1000" spans="1:14" ht="45">
      <c r="A1000" s="50" t="s">
        <v>3477</v>
      </c>
      <c r="B1000" s="11" t="s">
        <v>3454</v>
      </c>
      <c r="C1000" s="11" t="s">
        <v>3455</v>
      </c>
      <c r="D1000" s="11" t="s">
        <v>3456</v>
      </c>
      <c r="E1000" s="4" t="s">
        <v>71</v>
      </c>
      <c r="F1000" s="4" t="s">
        <v>3478</v>
      </c>
      <c r="G1000" s="4" t="s">
        <v>3458</v>
      </c>
      <c r="H1000" s="4" t="s">
        <v>34</v>
      </c>
      <c r="I1000" s="6">
        <v>9562</v>
      </c>
      <c r="J1000" s="6" t="s">
        <v>18</v>
      </c>
      <c r="K1000" s="6" t="s">
        <v>18</v>
      </c>
      <c r="L1000" s="4" t="s">
        <v>18</v>
      </c>
      <c r="M1000" s="11"/>
      <c r="N1000" s="11" t="s">
        <v>148</v>
      </c>
    </row>
    <row r="1001" spans="1:14" ht="45">
      <c r="A1001" s="50" t="s">
        <v>3479</v>
      </c>
      <c r="B1001" s="11" t="s">
        <v>3454</v>
      </c>
      <c r="C1001" s="11" t="s">
        <v>3455</v>
      </c>
      <c r="D1001" s="11" t="s">
        <v>3456</v>
      </c>
      <c r="E1001" s="4" t="s">
        <v>71</v>
      </c>
      <c r="F1001" s="4" t="s">
        <v>3480</v>
      </c>
      <c r="G1001" s="4" t="s">
        <v>3458</v>
      </c>
      <c r="H1001" s="4" t="s">
        <v>34</v>
      </c>
      <c r="I1001" s="6">
        <v>95620</v>
      </c>
      <c r="J1001" s="6" t="s">
        <v>18</v>
      </c>
      <c r="K1001" s="6" t="s">
        <v>18</v>
      </c>
      <c r="L1001" s="4" t="s">
        <v>18</v>
      </c>
      <c r="M1001" s="11"/>
      <c r="N1001" s="11" t="s">
        <v>148</v>
      </c>
    </row>
    <row r="1002" spans="1:14" ht="22.5">
      <c r="A1002" s="51" t="s">
        <v>3481</v>
      </c>
      <c r="B1002" s="13" t="s">
        <v>3482</v>
      </c>
      <c r="C1002" s="11" t="s">
        <v>3483</v>
      </c>
      <c r="D1002" s="11" t="s">
        <v>3484</v>
      </c>
      <c r="E1002" s="17" t="s">
        <v>71</v>
      </c>
      <c r="F1002" s="4" t="s">
        <v>3485</v>
      </c>
      <c r="G1002" s="4" t="s">
        <v>3486</v>
      </c>
      <c r="H1002" s="4" t="s">
        <v>175</v>
      </c>
      <c r="I1002" s="6">
        <v>1119</v>
      </c>
      <c r="J1002" s="42" t="s">
        <v>18</v>
      </c>
      <c r="K1002" s="42" t="s">
        <v>18</v>
      </c>
      <c r="L1002" s="42" t="s">
        <v>18</v>
      </c>
      <c r="M1002" s="130"/>
      <c r="N1002" s="11" t="s">
        <v>148</v>
      </c>
    </row>
    <row r="1003" spans="1:14" ht="22.5">
      <c r="A1003" s="51" t="s">
        <v>3487</v>
      </c>
      <c r="B1003" s="13" t="s">
        <v>3482</v>
      </c>
      <c r="C1003" s="11" t="s">
        <v>3483</v>
      </c>
      <c r="D1003" s="11" t="s">
        <v>3484</v>
      </c>
      <c r="E1003" s="17" t="s">
        <v>71</v>
      </c>
      <c r="F1003" s="4" t="s">
        <v>3488</v>
      </c>
      <c r="G1003" s="4" t="s">
        <v>3486</v>
      </c>
      <c r="H1003" s="4" t="s">
        <v>175</v>
      </c>
      <c r="I1003" s="6">
        <v>2388.6</v>
      </c>
      <c r="J1003" s="42" t="s">
        <v>18</v>
      </c>
      <c r="K1003" s="42" t="s">
        <v>18</v>
      </c>
      <c r="L1003" s="42" t="s">
        <v>18</v>
      </c>
      <c r="M1003" s="130"/>
      <c r="N1003" s="11" t="s">
        <v>148</v>
      </c>
    </row>
    <row r="1004" spans="1:14" ht="22.5">
      <c r="A1004" s="51" t="s">
        <v>3489</v>
      </c>
      <c r="B1004" s="13" t="s">
        <v>3482</v>
      </c>
      <c r="C1004" s="11" t="s">
        <v>3483</v>
      </c>
      <c r="D1004" s="11" t="s">
        <v>3484</v>
      </c>
      <c r="E1004" s="17" t="s">
        <v>71</v>
      </c>
      <c r="F1004" s="4" t="s">
        <v>3490</v>
      </c>
      <c r="G1004" s="4" t="s">
        <v>3486</v>
      </c>
      <c r="H1004" s="4" t="s">
        <v>175</v>
      </c>
      <c r="I1004" s="6">
        <v>3102.5</v>
      </c>
      <c r="J1004" s="42" t="s">
        <v>18</v>
      </c>
      <c r="K1004" s="42" t="s">
        <v>18</v>
      </c>
      <c r="L1004" s="42" t="s">
        <v>18</v>
      </c>
      <c r="M1004" s="130"/>
      <c r="N1004" s="11" t="s">
        <v>148</v>
      </c>
    </row>
    <row r="1005" spans="1:14" ht="22.5">
      <c r="A1005" s="51" t="s">
        <v>3491</v>
      </c>
      <c r="B1005" s="13" t="s">
        <v>3482</v>
      </c>
      <c r="C1005" s="11" t="s">
        <v>3483</v>
      </c>
      <c r="D1005" s="11" t="s">
        <v>3492</v>
      </c>
      <c r="E1005" s="17" t="s">
        <v>71</v>
      </c>
      <c r="F1005" s="4" t="s">
        <v>3493</v>
      </c>
      <c r="G1005" s="4" t="s">
        <v>3494</v>
      </c>
      <c r="H1005" s="4" t="s">
        <v>984</v>
      </c>
      <c r="I1005" s="6">
        <v>11190</v>
      </c>
      <c r="J1005" s="42" t="s">
        <v>18</v>
      </c>
      <c r="K1005" s="42" t="s">
        <v>18</v>
      </c>
      <c r="L1005" s="42" t="s">
        <v>18</v>
      </c>
      <c r="M1005" s="130"/>
      <c r="N1005" s="11" t="s">
        <v>148</v>
      </c>
    </row>
    <row r="1006" spans="1:14" ht="22.5">
      <c r="A1006" s="51" t="s">
        <v>3495</v>
      </c>
      <c r="B1006" s="13" t="s">
        <v>3482</v>
      </c>
      <c r="C1006" s="11" t="s">
        <v>3483</v>
      </c>
      <c r="D1006" s="11" t="s">
        <v>3492</v>
      </c>
      <c r="E1006" s="17" t="s">
        <v>71</v>
      </c>
      <c r="F1006" s="4" t="s">
        <v>3496</v>
      </c>
      <c r="G1006" s="4" t="s">
        <v>3494</v>
      </c>
      <c r="H1006" s="4" t="s">
        <v>984</v>
      </c>
      <c r="I1006" s="6">
        <v>23886</v>
      </c>
      <c r="J1006" s="42" t="s">
        <v>18</v>
      </c>
      <c r="K1006" s="42" t="s">
        <v>18</v>
      </c>
      <c r="L1006" s="42" t="s">
        <v>18</v>
      </c>
      <c r="M1006" s="130"/>
      <c r="N1006" s="11" t="s">
        <v>148</v>
      </c>
    </row>
    <row r="1007" spans="1:14" ht="22.5">
      <c r="A1007" s="51" t="s">
        <v>3497</v>
      </c>
      <c r="B1007" s="13" t="s">
        <v>3482</v>
      </c>
      <c r="C1007" s="11" t="s">
        <v>3483</v>
      </c>
      <c r="D1007" s="11" t="s">
        <v>3492</v>
      </c>
      <c r="E1007" s="17" t="s">
        <v>71</v>
      </c>
      <c r="F1007" s="4" t="s">
        <v>3498</v>
      </c>
      <c r="G1007" s="4" t="s">
        <v>3494</v>
      </c>
      <c r="H1007" s="4" t="s">
        <v>984</v>
      </c>
      <c r="I1007" s="6">
        <v>31025</v>
      </c>
      <c r="J1007" s="42" t="s">
        <v>18</v>
      </c>
      <c r="K1007" s="42" t="s">
        <v>18</v>
      </c>
      <c r="L1007" s="42" t="s">
        <v>18</v>
      </c>
      <c r="M1007" s="130"/>
      <c r="N1007" s="11" t="s">
        <v>148</v>
      </c>
    </row>
    <row r="1008" spans="1:14" ht="22.5">
      <c r="A1008" s="61" t="s">
        <v>3499</v>
      </c>
      <c r="B1008" s="12" t="s">
        <v>3482</v>
      </c>
      <c r="C1008" s="54" t="s">
        <v>3483</v>
      </c>
      <c r="D1008" s="54" t="s">
        <v>3484</v>
      </c>
      <c r="E1008" s="55" t="s">
        <v>71</v>
      </c>
      <c r="F1008" s="55" t="s">
        <v>3500</v>
      </c>
      <c r="G1008" s="55" t="s">
        <v>3501</v>
      </c>
      <c r="H1008" s="55" t="s">
        <v>175</v>
      </c>
      <c r="I1008" s="5">
        <v>9307.5</v>
      </c>
      <c r="J1008" s="7" t="s">
        <v>18</v>
      </c>
      <c r="K1008" s="7" t="s">
        <v>18</v>
      </c>
      <c r="L1008" s="42" t="s">
        <v>18</v>
      </c>
      <c r="M1008" s="130"/>
      <c r="N1008" s="11" t="s">
        <v>148</v>
      </c>
    </row>
    <row r="1009" spans="1:14" ht="22.5">
      <c r="A1009" s="61" t="s">
        <v>3502</v>
      </c>
      <c r="B1009" s="12" t="s">
        <v>3482</v>
      </c>
      <c r="C1009" s="54" t="s">
        <v>3483</v>
      </c>
      <c r="D1009" s="54" t="s">
        <v>3484</v>
      </c>
      <c r="E1009" s="55" t="s">
        <v>71</v>
      </c>
      <c r="F1009" s="55" t="s">
        <v>3503</v>
      </c>
      <c r="G1009" s="55" t="s">
        <v>3501</v>
      </c>
      <c r="H1009" s="55" t="s">
        <v>175</v>
      </c>
      <c r="I1009" s="5">
        <v>15512.5</v>
      </c>
      <c r="J1009" s="7" t="s">
        <v>18</v>
      </c>
      <c r="K1009" s="7" t="s">
        <v>18</v>
      </c>
      <c r="L1009" s="42" t="s">
        <v>18</v>
      </c>
      <c r="M1009" s="130"/>
      <c r="N1009" s="11" t="s">
        <v>148</v>
      </c>
    </row>
    <row r="1010" spans="1:14" ht="56.25">
      <c r="A1010" s="61" t="s">
        <v>3542</v>
      </c>
      <c r="B1010" s="12" t="s">
        <v>3482</v>
      </c>
      <c r="C1010" s="54" t="s">
        <v>3483</v>
      </c>
      <c r="D1010" s="54" t="s">
        <v>3543</v>
      </c>
      <c r="E1010" s="55" t="s">
        <v>71</v>
      </c>
      <c r="F1010" s="55" t="s">
        <v>3556</v>
      </c>
      <c r="G1010" s="55" t="s">
        <v>3544</v>
      </c>
      <c r="H1010" s="55" t="s">
        <v>3545</v>
      </c>
      <c r="I1010" s="5">
        <v>1119</v>
      </c>
      <c r="J1010" s="7" t="s">
        <v>18</v>
      </c>
      <c r="K1010" s="42" t="s">
        <v>18</v>
      </c>
      <c r="L1010" s="42" t="s">
        <v>18</v>
      </c>
      <c r="M1010" s="130"/>
      <c r="N1010" s="11" t="s">
        <v>148</v>
      </c>
    </row>
    <row r="1011" spans="1:14" ht="56.25">
      <c r="A1011" s="61" t="s">
        <v>3546</v>
      </c>
      <c r="B1011" s="12" t="s">
        <v>3482</v>
      </c>
      <c r="C1011" s="54" t="s">
        <v>3483</v>
      </c>
      <c r="D1011" s="54" t="s">
        <v>3543</v>
      </c>
      <c r="E1011" s="55" t="s">
        <v>71</v>
      </c>
      <c r="F1011" s="55" t="s">
        <v>3547</v>
      </c>
      <c r="G1011" s="55" t="s">
        <v>3544</v>
      </c>
      <c r="H1011" s="55" t="s">
        <v>3545</v>
      </c>
      <c r="I1011" s="5">
        <v>2388.6</v>
      </c>
      <c r="J1011" s="7" t="s">
        <v>18</v>
      </c>
      <c r="K1011" s="7" t="s">
        <v>18</v>
      </c>
      <c r="L1011" s="42" t="s">
        <v>18</v>
      </c>
      <c r="M1011" s="130"/>
      <c r="N1011" s="11" t="s">
        <v>148</v>
      </c>
    </row>
    <row r="1012" spans="1:14" ht="56.25">
      <c r="A1012" s="61" t="s">
        <v>3548</v>
      </c>
      <c r="B1012" s="12" t="s">
        <v>3482</v>
      </c>
      <c r="C1012" s="54" t="s">
        <v>3483</v>
      </c>
      <c r="D1012" s="54" t="s">
        <v>3543</v>
      </c>
      <c r="E1012" s="55" t="s">
        <v>71</v>
      </c>
      <c r="F1012" s="55" t="s">
        <v>3557</v>
      </c>
      <c r="G1012" s="55" t="s">
        <v>3544</v>
      </c>
      <c r="H1012" s="55" t="s">
        <v>3545</v>
      </c>
      <c r="I1012" s="5">
        <v>3102.5</v>
      </c>
      <c r="J1012" s="7" t="s">
        <v>18</v>
      </c>
      <c r="K1012" s="7" t="s">
        <v>18</v>
      </c>
      <c r="L1012" s="42" t="s">
        <v>18</v>
      </c>
      <c r="M1012" s="130"/>
      <c r="N1012" s="11" t="s">
        <v>148</v>
      </c>
    </row>
    <row r="1013" spans="1:14" ht="22.5">
      <c r="A1013" s="50" t="s">
        <v>3508</v>
      </c>
      <c r="B1013" s="11" t="s">
        <v>3504</v>
      </c>
      <c r="C1013" s="11" t="s">
        <v>3505</v>
      </c>
      <c r="D1013" s="11" t="s">
        <v>3506</v>
      </c>
      <c r="E1013" s="4" t="s">
        <v>71</v>
      </c>
      <c r="F1013" s="4" t="s">
        <v>3739</v>
      </c>
      <c r="G1013" s="4" t="s">
        <v>3507</v>
      </c>
      <c r="H1013" s="4" t="s">
        <v>471</v>
      </c>
      <c r="I1013" s="6">
        <v>6149.4</v>
      </c>
      <c r="J1013" s="6" t="s">
        <v>18</v>
      </c>
      <c r="K1013" s="6" t="s">
        <v>18</v>
      </c>
      <c r="L1013" s="4" t="s">
        <v>18</v>
      </c>
      <c r="M1013" s="11"/>
      <c r="N1013" s="11" t="s">
        <v>148</v>
      </c>
    </row>
    <row r="1014" spans="1:14" ht="33.75">
      <c r="A1014" s="50" t="s">
        <v>3509</v>
      </c>
      <c r="B1014" s="11" t="s">
        <v>3510</v>
      </c>
      <c r="C1014" s="11" t="s">
        <v>3511</v>
      </c>
      <c r="D1014" s="11" t="s">
        <v>3512</v>
      </c>
      <c r="E1014" s="4" t="s">
        <v>71</v>
      </c>
      <c r="F1014" s="4" t="s">
        <v>3513</v>
      </c>
      <c r="G1014" s="4" t="s">
        <v>3514</v>
      </c>
      <c r="H1014" s="4" t="s">
        <v>3408</v>
      </c>
      <c r="I1014" s="6">
        <v>180150</v>
      </c>
      <c r="J1014" s="6" t="s">
        <v>18</v>
      </c>
      <c r="K1014" s="6" t="s">
        <v>18</v>
      </c>
      <c r="L1014" s="6" t="s">
        <v>18</v>
      </c>
      <c r="M1014" s="11"/>
      <c r="N1014" s="11" t="s">
        <v>148</v>
      </c>
    </row>
    <row r="1015" spans="1:14" ht="33.75">
      <c r="A1015" s="50" t="s">
        <v>3515</v>
      </c>
      <c r="B1015" s="11" t="s">
        <v>3510</v>
      </c>
      <c r="C1015" s="11" t="s">
        <v>3511</v>
      </c>
      <c r="D1015" s="11" t="s">
        <v>3512</v>
      </c>
      <c r="E1015" s="4" t="s">
        <v>281</v>
      </c>
      <c r="F1015" s="4" t="s">
        <v>3516</v>
      </c>
      <c r="G1015" s="4" t="s">
        <v>3514</v>
      </c>
      <c r="H1015" s="4" t="s">
        <v>3408</v>
      </c>
      <c r="I1015" s="6">
        <v>22232.6</v>
      </c>
      <c r="J1015" s="6" t="s">
        <v>18</v>
      </c>
      <c r="K1015" s="6" t="s">
        <v>18</v>
      </c>
      <c r="L1015" s="6" t="s">
        <v>18</v>
      </c>
      <c r="M1015" s="11"/>
      <c r="N1015" s="11" t="s">
        <v>148</v>
      </c>
    </row>
    <row r="1016" spans="1:14" ht="45">
      <c r="A1016" s="50" t="s">
        <v>3875</v>
      </c>
      <c r="B1016" s="11" t="s">
        <v>3510</v>
      </c>
      <c r="C1016" s="11" t="s">
        <v>3511</v>
      </c>
      <c r="D1016" s="11" t="s">
        <v>3876</v>
      </c>
      <c r="E1016" s="4" t="s">
        <v>71</v>
      </c>
      <c r="F1016" s="4" t="s">
        <v>3877</v>
      </c>
      <c r="G1016" s="4" t="s">
        <v>3878</v>
      </c>
      <c r="H1016" s="4" t="s">
        <v>26</v>
      </c>
      <c r="I1016" s="6">
        <v>27475.8</v>
      </c>
      <c r="J1016" s="6" t="s">
        <v>18</v>
      </c>
      <c r="K1016" s="6" t="s">
        <v>18</v>
      </c>
      <c r="L1016" s="6" t="s">
        <v>18</v>
      </c>
      <c r="M1016" s="11"/>
      <c r="N1016" s="11" t="s">
        <v>148</v>
      </c>
    </row>
    <row r="1017" spans="1:14" ht="45">
      <c r="A1017" s="50" t="s">
        <v>3879</v>
      </c>
      <c r="B1017" s="11" t="s">
        <v>3510</v>
      </c>
      <c r="C1017" s="11" t="s">
        <v>3511</v>
      </c>
      <c r="D1017" s="11" t="s">
        <v>3876</v>
      </c>
      <c r="E1017" s="4" t="s">
        <v>71</v>
      </c>
      <c r="F1017" s="4" t="s">
        <v>3880</v>
      </c>
      <c r="G1017" s="4" t="s">
        <v>3878</v>
      </c>
      <c r="H1017" s="4" t="s">
        <v>26</v>
      </c>
      <c r="I1017" s="6">
        <v>126105</v>
      </c>
      <c r="J1017" s="6" t="s">
        <v>18</v>
      </c>
      <c r="K1017" s="6" t="s">
        <v>18</v>
      </c>
      <c r="L1017" s="6" t="s">
        <v>18</v>
      </c>
      <c r="M1017" s="11"/>
      <c r="N1017" s="11" t="s">
        <v>148</v>
      </c>
    </row>
    <row r="1018" spans="1:14" ht="33.75">
      <c r="A1018" s="50" t="s">
        <v>3517</v>
      </c>
      <c r="B1018" s="11" t="s">
        <v>3518</v>
      </c>
      <c r="C1018" s="11" t="s">
        <v>3519</v>
      </c>
      <c r="D1018" s="11" t="s">
        <v>3520</v>
      </c>
      <c r="E1018" s="4" t="s">
        <v>71</v>
      </c>
      <c r="F1018" s="4" t="s">
        <v>3521</v>
      </c>
      <c r="G1018" s="4" t="s">
        <v>3522</v>
      </c>
      <c r="H1018" s="4" t="s">
        <v>3523</v>
      </c>
      <c r="I1018" s="6">
        <v>13480.1</v>
      </c>
      <c r="J1018" s="6" t="s">
        <v>18</v>
      </c>
      <c r="K1018" s="6" t="s">
        <v>18</v>
      </c>
      <c r="L1018" s="6" t="s">
        <v>18</v>
      </c>
      <c r="M1018" s="11"/>
      <c r="N1018" s="11" t="s">
        <v>148</v>
      </c>
    </row>
  </sheetData>
  <autoFilter ref="A1:N1018" xr:uid="{B8898B16-8879-4C66-895C-EF2DAA56C3EA}"/>
  <pageMargins left="0.7" right="0.7" top="0.75" bottom="0.75" header="0.3" footer="0.3"/>
  <pageSetup paperSize="9" scale="55" fitToHeight="0" orientation="landscape" verticalDpi="0" r:id="rId1"/>
  <headerFooter>
    <oddHeader>&amp;L&amp;"Arial,Bold"Lista B.&amp;"Arial,Regular" Lekovi koji se primenjuju u toku ambulantnog odnosno bolničkog lečenja u zdravstvenim ustanovama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2026-01-29T10:18:41Z</cp:lastPrinted>
  <dcterms:created xsi:type="dcterms:W3CDTF">2024-09-25T09:59:44Z</dcterms:created>
  <dcterms:modified xsi:type="dcterms:W3CDTF">2026-01-29T10:56:56Z</dcterms:modified>
</cp:coreProperties>
</file>